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dema\Documents\ORTODONTK\"/>
    </mc:Choice>
  </mc:AlternateContent>
  <xr:revisionPtr revIDLastSave="0" documentId="13_ncr:1_{38AB2C97-930E-4336-A1E1-C4A5E869815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ESTRO TR" sheetId="21" r:id="rId1"/>
    <sheet name="Totales" sheetId="13" r:id="rId2"/>
    <sheet name="Balance Dres" sheetId="17" r:id="rId3"/>
    <sheet name="1100 Operacional" sheetId="8" r:id="rId4"/>
    <sheet name="1200 Dres" sheetId="3" r:id="rId5"/>
    <sheet name="1300 Insumos" sheetId="4" r:id="rId6"/>
    <sheet name="1400 Laboratorio" sheetId="9" r:id="rId7"/>
    <sheet name="1500 Personal" sheetId="7" r:id="rId8"/>
    <sheet name="1600 y 1700 Equipamiento" sheetId="16" r:id="rId9"/>
    <sheet name="1800 Inversiones" sheetId="18" r:id="rId10"/>
  </sheets>
  <externalReferences>
    <externalReference r:id="rId11"/>
  </externalReferences>
  <definedNames>
    <definedName name="_xlnm._FilterDatabase" localSheetId="0" hidden="1">'MAESTRO TR'!$A$1:$E$505</definedName>
    <definedName name="_xlnm.Print_Titles" localSheetId="3">'1100 Operacional'!$1:$1</definedName>
    <definedName name="_xlnm.Print_Titles" localSheetId="4">'1200 Dres'!$1:$1</definedName>
    <definedName name="_xlnm.Print_Titles" localSheetId="0">'MAESTRO TR'!$1:$1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6" i="21" l="1"/>
  <c r="D479" i="21"/>
  <c r="D427" i="21"/>
  <c r="D413" i="21"/>
  <c r="D398" i="21"/>
  <c r="D382" i="21"/>
  <c r="D368" i="21"/>
  <c r="D254" i="21"/>
  <c r="D71" i="21"/>
  <c r="D13" i="21"/>
  <c r="D12" i="21"/>
  <c r="H9" i="7"/>
  <c r="H8" i="7"/>
  <c r="H4" i="7"/>
  <c r="H2" i="7"/>
  <c r="H16" i="8"/>
  <c r="H2" i="8"/>
  <c r="J12" i="16"/>
  <c r="I12" i="16"/>
  <c r="G9" i="7"/>
  <c r="G8" i="7"/>
  <c r="F8" i="7"/>
  <c r="G4" i="7"/>
  <c r="G2" i="7"/>
  <c r="G7" i="4"/>
  <c r="G14" i="3"/>
  <c r="G4" i="8"/>
  <c r="E25" i="17"/>
  <c r="I7" i="17"/>
  <c r="I6" i="17"/>
  <c r="I5" i="17"/>
  <c r="I4" i="17"/>
  <c r="I3" i="17"/>
  <c r="C3" i="17"/>
  <c r="I37" i="17"/>
  <c r="J10" i="16"/>
  <c r="H4" i="8"/>
  <c r="H11" i="8"/>
  <c r="H14" i="9"/>
  <c r="H22" i="4"/>
  <c r="H19" i="4"/>
  <c r="H12" i="4"/>
  <c r="H12" i="3"/>
  <c r="D4" i="18"/>
  <c r="C4" i="18" s="1"/>
  <c r="C2" i="18"/>
  <c r="G44" i="8"/>
  <c r="M3" i="17"/>
  <c r="F3" i="17"/>
  <c r="G3" i="17"/>
  <c r="K3" i="17"/>
  <c r="O3" i="17"/>
  <c r="C4" i="17"/>
  <c r="F4" i="17"/>
  <c r="G4" i="17"/>
  <c r="K4" i="17"/>
  <c r="M4" i="17"/>
  <c r="O4" i="17"/>
  <c r="C5" i="17"/>
  <c r="F5" i="17"/>
  <c r="N5" i="17" s="1"/>
  <c r="G5" i="17"/>
  <c r="K5" i="17"/>
  <c r="M5" i="17"/>
  <c r="O5" i="17"/>
  <c r="C6" i="17"/>
  <c r="F6" i="17"/>
  <c r="N6" i="17" s="1"/>
  <c r="G6" i="17"/>
  <c r="K6" i="17"/>
  <c r="M6" i="17"/>
  <c r="O6" i="17"/>
  <c r="O7" i="17"/>
  <c r="C13" i="17"/>
  <c r="C7" i="17" s="1"/>
  <c r="F13" i="17"/>
  <c r="F7" i="17" s="1"/>
  <c r="G13" i="17"/>
  <c r="G7" i="17" s="1"/>
  <c r="I13" i="17"/>
  <c r="K13" i="17"/>
  <c r="K7" i="17" s="1"/>
  <c r="M13" i="17"/>
  <c r="M7" i="17" s="1"/>
  <c r="O13" i="17"/>
  <c r="C19" i="17"/>
  <c r="F19" i="17"/>
  <c r="G19" i="17"/>
  <c r="I19" i="17"/>
  <c r="K19" i="17"/>
  <c r="M19" i="17"/>
  <c r="O19" i="17"/>
  <c r="C25" i="17"/>
  <c r="F25" i="17"/>
  <c r="G25" i="17"/>
  <c r="I25" i="17"/>
  <c r="K25" i="17"/>
  <c r="M25" i="17"/>
  <c r="O25" i="17"/>
  <c r="C31" i="17"/>
  <c r="F31" i="17"/>
  <c r="G31" i="17"/>
  <c r="I31" i="17"/>
  <c r="K31" i="17"/>
  <c r="M31" i="17"/>
  <c r="O31" i="17"/>
  <c r="N4" i="17" l="1"/>
  <c r="N3" i="17"/>
  <c r="N7" i="17"/>
  <c r="F27" i="13"/>
  <c r="E27" i="13"/>
  <c r="D27" i="13"/>
  <c r="G12" i="13"/>
  <c r="O15" i="3"/>
  <c r="N15" i="3"/>
  <c r="M15" i="3"/>
  <c r="L15" i="3"/>
  <c r="K15" i="3"/>
  <c r="J15" i="3"/>
  <c r="I15" i="3"/>
  <c r="H15" i="3"/>
  <c r="G15" i="3"/>
  <c r="O27" i="13"/>
  <c r="N27" i="13"/>
  <c r="M27" i="13"/>
  <c r="L27" i="13"/>
  <c r="K27" i="13"/>
  <c r="J27" i="13"/>
  <c r="I27" i="13"/>
  <c r="H27" i="13"/>
  <c r="F4" i="7"/>
  <c r="O12" i="7"/>
  <c r="N12" i="7"/>
  <c r="M12" i="7"/>
  <c r="L12" i="7"/>
  <c r="K12" i="7"/>
  <c r="J12" i="7"/>
  <c r="I12" i="7"/>
  <c r="H12" i="7"/>
  <c r="C24" i="4"/>
  <c r="F14" i="8"/>
  <c r="F19" i="8" s="1"/>
  <c r="F4" i="13" s="1"/>
  <c r="C42" i="8"/>
  <c r="G14" i="7"/>
  <c r="G27" i="13" s="1"/>
  <c r="G12" i="7"/>
  <c r="G26" i="13" s="1"/>
  <c r="G19" i="4"/>
  <c r="G12" i="4"/>
  <c r="G2" i="8"/>
  <c r="C14" i="8"/>
  <c r="F21" i="13"/>
  <c r="E21" i="13"/>
  <c r="D21" i="13"/>
  <c r="G22" i="13"/>
  <c r="F22" i="13"/>
  <c r="E22" i="13"/>
  <c r="D22" i="13"/>
  <c r="E32" i="13"/>
  <c r="D32" i="13"/>
  <c r="D8" i="7"/>
  <c r="D15" i="3"/>
  <c r="D11" i="13"/>
  <c r="C34" i="8"/>
  <c r="F12" i="13"/>
  <c r="E12" i="13"/>
  <c r="D12" i="13"/>
  <c r="O9" i="13"/>
  <c r="N9" i="13"/>
  <c r="M9" i="13"/>
  <c r="L9" i="13"/>
  <c r="K9" i="13"/>
  <c r="J9" i="13"/>
  <c r="I9" i="13"/>
  <c r="H9" i="13"/>
  <c r="C14" i="9"/>
  <c r="O32" i="13"/>
  <c r="N32" i="13"/>
  <c r="M32" i="13"/>
  <c r="L32" i="13"/>
  <c r="K32" i="13"/>
  <c r="J32" i="13"/>
  <c r="I32" i="13"/>
  <c r="H32" i="13"/>
  <c r="G32" i="13"/>
  <c r="O11" i="9"/>
  <c r="O16" i="9" s="1"/>
  <c r="O21" i="13" s="1"/>
  <c r="N11" i="9"/>
  <c r="N16" i="9" s="1"/>
  <c r="N21" i="13" s="1"/>
  <c r="M11" i="9"/>
  <c r="M16" i="9" s="1"/>
  <c r="M21" i="13" s="1"/>
  <c r="L11" i="9"/>
  <c r="L16" i="9" s="1"/>
  <c r="L21" i="13" s="1"/>
  <c r="K11" i="9"/>
  <c r="K16" i="9" s="1"/>
  <c r="K21" i="13" s="1"/>
  <c r="J11" i="9"/>
  <c r="J16" i="9" s="1"/>
  <c r="J21" i="13" s="1"/>
  <c r="I11" i="9"/>
  <c r="I16" i="9" s="1"/>
  <c r="I21" i="13" s="1"/>
  <c r="H11" i="9"/>
  <c r="H16" i="9" s="1"/>
  <c r="H21" i="13" s="1"/>
  <c r="G11" i="9"/>
  <c r="G16" i="9" s="1"/>
  <c r="F11" i="9"/>
  <c r="F16" i="9" s="1"/>
  <c r="E11" i="9"/>
  <c r="E16" i="9" s="1"/>
  <c r="D11" i="9"/>
  <c r="D16" i="9" s="1"/>
  <c r="O22" i="13"/>
  <c r="N22" i="13"/>
  <c r="M22" i="13"/>
  <c r="L22" i="13"/>
  <c r="K22" i="13"/>
  <c r="J22" i="13"/>
  <c r="I22" i="13"/>
  <c r="H22" i="13"/>
  <c r="O19" i="8"/>
  <c r="N19" i="8"/>
  <c r="M19" i="8"/>
  <c r="L19" i="8"/>
  <c r="K19" i="8"/>
  <c r="J19" i="8"/>
  <c r="I19" i="8"/>
  <c r="H19" i="8"/>
  <c r="G19" i="8"/>
  <c r="G4" i="13" s="1"/>
  <c r="O39" i="8"/>
  <c r="O6" i="13" s="1"/>
  <c r="N39" i="8"/>
  <c r="N6" i="13" s="1"/>
  <c r="M39" i="8"/>
  <c r="M6" i="13" s="1"/>
  <c r="L39" i="8"/>
  <c r="L6" i="13" s="1"/>
  <c r="K39" i="8"/>
  <c r="K6" i="13" s="1"/>
  <c r="J39" i="8"/>
  <c r="J6" i="13" s="1"/>
  <c r="I39" i="8"/>
  <c r="I6" i="13" s="1"/>
  <c r="H39" i="8"/>
  <c r="H6" i="13" s="1"/>
  <c r="G39" i="8"/>
  <c r="G6" i="13" s="1"/>
  <c r="F39" i="8"/>
  <c r="F6" i="13" s="1"/>
  <c r="E39" i="8"/>
  <c r="E6" i="13" s="1"/>
  <c r="E2" i="16"/>
  <c r="C9" i="9"/>
  <c r="C8" i="9"/>
  <c r="C7" i="9"/>
  <c r="C6" i="9"/>
  <c r="C5" i="9"/>
  <c r="C4" i="9"/>
  <c r="C3" i="9"/>
  <c r="H12" i="16"/>
  <c r="F32" i="13" s="1"/>
  <c r="G12" i="16"/>
  <c r="F12" i="16"/>
  <c r="F4" i="3"/>
  <c r="C4" i="3" s="1"/>
  <c r="F9" i="7"/>
  <c r="C7" i="7"/>
  <c r="F2" i="7"/>
  <c r="F22" i="4"/>
  <c r="F19" i="4"/>
  <c r="F17" i="4"/>
  <c r="F12" i="4"/>
  <c r="F11" i="4"/>
  <c r="C17" i="3"/>
  <c r="E16" i="8"/>
  <c r="C16" i="8" s="1"/>
  <c r="F2" i="8"/>
  <c r="F4" i="8"/>
  <c r="E9" i="7"/>
  <c r="E5" i="7"/>
  <c r="E4" i="7"/>
  <c r="C4" i="7" s="1"/>
  <c r="E3" i="7"/>
  <c r="F3" i="7" s="1"/>
  <c r="E2" i="7"/>
  <c r="E12" i="7" s="1"/>
  <c r="E26" i="13" s="1"/>
  <c r="E22" i="4"/>
  <c r="E12" i="4"/>
  <c r="E4" i="3"/>
  <c r="E15" i="3" s="1"/>
  <c r="E2" i="8"/>
  <c r="E4" i="8"/>
  <c r="C7" i="8"/>
  <c r="C5" i="8"/>
  <c r="C3" i="8"/>
  <c r="F3" i="16"/>
  <c r="E3" i="16" s="1"/>
  <c r="D9" i="7"/>
  <c r="D5" i="7"/>
  <c r="D3" i="7"/>
  <c r="D2" i="7"/>
  <c r="D22" i="4"/>
  <c r="D19" i="4"/>
  <c r="D17" i="4"/>
  <c r="D11" i="4"/>
  <c r="D9" i="4"/>
  <c r="C9" i="4" s="1"/>
  <c r="C14" i="3"/>
  <c r="D41" i="8"/>
  <c r="C41" i="8" s="1"/>
  <c r="D37" i="8"/>
  <c r="C37" i="8" s="1"/>
  <c r="D13" i="8"/>
  <c r="C13" i="8" s="1"/>
  <c r="D4" i="8"/>
  <c r="D2" i="8"/>
  <c r="D14" i="4"/>
  <c r="C14" i="4" s="1"/>
  <c r="D12" i="4"/>
  <c r="C2" i="9"/>
  <c r="C23" i="4"/>
  <c r="C21" i="4"/>
  <c r="C13" i="4"/>
  <c r="C20" i="4"/>
  <c r="C18" i="4"/>
  <c r="C8" i="4"/>
  <c r="C7" i="4"/>
  <c r="C6" i="4"/>
  <c r="C5" i="4"/>
  <c r="C4" i="4"/>
  <c r="C3" i="4"/>
  <c r="C2" i="4"/>
  <c r="C13" i="3"/>
  <c r="C12" i="3"/>
  <c r="C11" i="3"/>
  <c r="C10" i="3"/>
  <c r="C9" i="3"/>
  <c r="C7" i="3"/>
  <c r="C6" i="3"/>
  <c r="C5" i="3"/>
  <c r="C3" i="3"/>
  <c r="D12" i="7" l="1"/>
  <c r="D26" i="13" s="1"/>
  <c r="F12" i="7"/>
  <c r="F26" i="13" s="1"/>
  <c r="F15" i="3"/>
  <c r="F19" i="3" s="1"/>
  <c r="C11" i="4"/>
  <c r="G21" i="13"/>
  <c r="C21" i="13" s="1"/>
  <c r="C22" i="4"/>
  <c r="D39" i="8"/>
  <c r="C39" i="8" s="1"/>
  <c r="D19" i="8"/>
  <c r="E19" i="8"/>
  <c r="E4" i="13" s="1"/>
  <c r="E12" i="16"/>
  <c r="C12" i="13"/>
  <c r="E19" i="3"/>
  <c r="D19" i="3"/>
  <c r="F19" i="13"/>
  <c r="N19" i="13"/>
  <c r="M19" i="13"/>
  <c r="D19" i="13"/>
  <c r="G19" i="13"/>
  <c r="O19" i="13"/>
  <c r="E19" i="13"/>
  <c r="H19" i="13"/>
  <c r="J19" i="13"/>
  <c r="L19" i="13"/>
  <c r="C11" i="9"/>
  <c r="C16" i="9" s="1"/>
  <c r="K19" i="13"/>
  <c r="I19" i="13"/>
  <c r="C22" i="13"/>
  <c r="C2" i="8"/>
  <c r="C2" i="7"/>
  <c r="C19" i="4"/>
  <c r="C17" i="4"/>
  <c r="C12" i="4"/>
  <c r="C4" i="8"/>
  <c r="O26" i="4"/>
  <c r="O17" i="13" s="1"/>
  <c r="N26" i="4"/>
  <c r="N17" i="13" s="1"/>
  <c r="M26" i="4"/>
  <c r="M17" i="13" s="1"/>
  <c r="L26" i="4"/>
  <c r="L17" i="13" s="1"/>
  <c r="K26" i="4"/>
  <c r="K17" i="13" s="1"/>
  <c r="J26" i="4"/>
  <c r="J17" i="13" s="1"/>
  <c r="I26" i="4"/>
  <c r="I17" i="13" s="1"/>
  <c r="H26" i="4"/>
  <c r="H17" i="13" s="1"/>
  <c r="G26" i="4"/>
  <c r="G17" i="13" s="1"/>
  <c r="F26" i="4"/>
  <c r="F17" i="13" s="1"/>
  <c r="E26" i="4"/>
  <c r="E17" i="13" s="1"/>
  <c r="D26" i="4"/>
  <c r="O15" i="4"/>
  <c r="O16" i="13" s="1"/>
  <c r="N15" i="4"/>
  <c r="N16" i="13" s="1"/>
  <c r="M15" i="4"/>
  <c r="M16" i="13" s="1"/>
  <c r="L15" i="4"/>
  <c r="L16" i="13" s="1"/>
  <c r="K15" i="4"/>
  <c r="K16" i="13" s="1"/>
  <c r="J15" i="4"/>
  <c r="J16" i="13" s="1"/>
  <c r="I15" i="4"/>
  <c r="H15" i="4"/>
  <c r="G15" i="4"/>
  <c r="G16" i="13" s="1"/>
  <c r="F15" i="4"/>
  <c r="F16" i="13" s="1"/>
  <c r="E15" i="4"/>
  <c r="E16" i="13" s="1"/>
  <c r="D15" i="4"/>
  <c r="E10" i="16"/>
  <c r="Q5" i="16"/>
  <c r="O29" i="13" s="1"/>
  <c r="P5" i="16"/>
  <c r="N29" i="13" s="1"/>
  <c r="O5" i="16"/>
  <c r="M29" i="13" s="1"/>
  <c r="N5" i="16"/>
  <c r="L29" i="13" s="1"/>
  <c r="M5" i="16"/>
  <c r="K29" i="13" s="1"/>
  <c r="L5" i="16"/>
  <c r="J29" i="13" s="1"/>
  <c r="K5" i="16"/>
  <c r="I29" i="13" s="1"/>
  <c r="J5" i="16"/>
  <c r="H29" i="13" s="1"/>
  <c r="I5" i="16"/>
  <c r="G29" i="13" s="1"/>
  <c r="H5" i="16"/>
  <c r="F29" i="13" s="1"/>
  <c r="G5" i="16"/>
  <c r="E29" i="13" s="1"/>
  <c r="F5" i="16"/>
  <c r="O26" i="13"/>
  <c r="N26" i="13"/>
  <c r="M26" i="13"/>
  <c r="L26" i="13"/>
  <c r="K26" i="13"/>
  <c r="J26" i="13"/>
  <c r="I26" i="13"/>
  <c r="H26" i="13"/>
  <c r="M36" i="13" l="1"/>
  <c r="O36" i="13"/>
  <c r="L36" i="13"/>
  <c r="I36" i="13"/>
  <c r="C15" i="3"/>
  <c r="C19" i="3"/>
  <c r="F16" i="7"/>
  <c r="E24" i="13"/>
  <c r="E16" i="7"/>
  <c r="G24" i="13"/>
  <c r="C12" i="7"/>
  <c r="D16" i="13"/>
  <c r="C15" i="4"/>
  <c r="C9" i="8"/>
  <c r="C19" i="8"/>
  <c r="E5" i="16"/>
  <c r="D29" i="13"/>
  <c r="D17" i="13"/>
  <c r="C17" i="13" s="1"/>
  <c r="C26" i="4"/>
  <c r="H24" i="13"/>
  <c r="F14" i="13"/>
  <c r="M24" i="13"/>
  <c r="F24" i="13"/>
  <c r="N24" i="13"/>
  <c r="N36" i="13" s="1"/>
  <c r="O24" i="13"/>
  <c r="C27" i="13"/>
  <c r="C19" i="13"/>
  <c r="E14" i="13"/>
  <c r="J24" i="13"/>
  <c r="J36" i="13" s="1"/>
  <c r="I24" i="13"/>
  <c r="K24" i="13"/>
  <c r="K36" i="13" s="1"/>
  <c r="L24" i="13"/>
  <c r="C32" i="13"/>
  <c r="H28" i="4"/>
  <c r="I28" i="4"/>
  <c r="D16" i="7"/>
  <c r="E28" i="4"/>
  <c r="M28" i="4"/>
  <c r="D28" i="4"/>
  <c r="C28" i="4" s="1"/>
  <c r="F28" i="4"/>
  <c r="N28" i="4"/>
  <c r="G28" i="4"/>
  <c r="J28" i="4"/>
  <c r="K28" i="4"/>
  <c r="L28" i="4"/>
  <c r="H16" i="13"/>
  <c r="I16" i="13"/>
  <c r="O28" i="4"/>
  <c r="C16" i="13" l="1"/>
  <c r="D14" i="13"/>
  <c r="D24" i="13"/>
  <c r="C24" i="13" s="1"/>
  <c r="C26" i="13"/>
  <c r="C29" i="13" l="1"/>
  <c r="O50" i="8"/>
  <c r="O7" i="13" s="1"/>
  <c r="N50" i="8"/>
  <c r="N7" i="13" s="1"/>
  <c r="M50" i="8"/>
  <c r="M7" i="13" s="1"/>
  <c r="L50" i="8"/>
  <c r="L7" i="13" s="1"/>
  <c r="K50" i="8"/>
  <c r="K7" i="13" s="1"/>
  <c r="J50" i="8"/>
  <c r="J7" i="13" s="1"/>
  <c r="H50" i="8"/>
  <c r="H7" i="13" s="1"/>
  <c r="G50" i="8"/>
  <c r="G7" i="13" s="1"/>
  <c r="F50" i="8"/>
  <c r="F7" i="13" s="1"/>
  <c r="O31" i="8"/>
  <c r="O5" i="13" s="1"/>
  <c r="N31" i="8"/>
  <c r="N5" i="13" s="1"/>
  <c r="L31" i="8"/>
  <c r="L5" i="13" s="1"/>
  <c r="I31" i="8"/>
  <c r="I5" i="13" s="1"/>
  <c r="H31" i="8"/>
  <c r="H5" i="13" s="1"/>
  <c r="G31" i="8"/>
  <c r="G5" i="13" s="1"/>
  <c r="O4" i="13"/>
  <c r="N4" i="13"/>
  <c r="M4" i="13"/>
  <c r="L4" i="13"/>
  <c r="J4" i="13"/>
  <c r="I4" i="13"/>
  <c r="H4" i="13"/>
  <c r="D4" i="13"/>
  <c r="O9" i="8"/>
  <c r="H9" i="8"/>
  <c r="G9" i="8"/>
  <c r="F9" i="8"/>
  <c r="E9" i="8"/>
  <c r="D9" i="8"/>
  <c r="D3" i="13" s="1"/>
  <c r="C10" i="7"/>
  <c r="E3" i="13" l="1"/>
  <c r="F3" i="13"/>
  <c r="G3" i="13"/>
  <c r="G2" i="13" s="1"/>
  <c r="G52" i="8"/>
  <c r="H3" i="13"/>
  <c r="H2" i="13" s="1"/>
  <c r="H52" i="8"/>
  <c r="O3" i="13"/>
  <c r="O2" i="13" s="1"/>
  <c r="O52" i="8"/>
  <c r="O16" i="7" l="1"/>
  <c r="G16" i="7"/>
  <c r="H16" i="7"/>
  <c r="I16" i="7" l="1"/>
  <c r="C3" i="7"/>
  <c r="K16" i="7"/>
  <c r="J16" i="7"/>
  <c r="C14" i="7"/>
  <c r="M16" i="7"/>
  <c r="N16" i="7"/>
  <c r="C5" i="7"/>
  <c r="C9" i="7"/>
  <c r="L16" i="7"/>
  <c r="C8" i="7"/>
  <c r="C16" i="7" l="1"/>
  <c r="E50" i="8"/>
  <c r="E7" i="13" s="1"/>
  <c r="D50" i="8"/>
  <c r="K31" i="8"/>
  <c r="K5" i="13" s="1"/>
  <c r="J31" i="8"/>
  <c r="J5" i="13" s="1"/>
  <c r="M31" i="8"/>
  <c r="M5" i="13" s="1"/>
  <c r="E31" i="8"/>
  <c r="I9" i="8"/>
  <c r="K9" i="8"/>
  <c r="J9" i="8"/>
  <c r="K3" i="13" l="1"/>
  <c r="K52" i="8"/>
  <c r="E5" i="13"/>
  <c r="E52" i="8"/>
  <c r="D7" i="13"/>
  <c r="I3" i="13"/>
  <c r="I52" i="8"/>
  <c r="J3" i="13"/>
  <c r="J2" i="13" s="1"/>
  <c r="J52" i="8"/>
  <c r="I50" i="8"/>
  <c r="I7" i="13" s="1"/>
  <c r="E2" i="13"/>
  <c r="K4" i="13"/>
  <c r="N9" i="8"/>
  <c r="O14" i="13"/>
  <c r="I14" i="13"/>
  <c r="H14" i="13"/>
  <c r="H36" i="13" s="1"/>
  <c r="C50" i="8" l="1"/>
  <c r="N3" i="13"/>
  <c r="N2" i="13" s="1"/>
  <c r="N52" i="8"/>
  <c r="C4" i="13"/>
  <c r="K2" i="13"/>
  <c r="C7" i="13"/>
  <c r="I2" i="13"/>
  <c r="N14" i="13"/>
  <c r="F31" i="8"/>
  <c r="D31" i="8"/>
  <c r="D5" i="13" s="1"/>
  <c r="F5" i="13" l="1"/>
  <c r="F2" i="13" s="1"/>
  <c r="F52" i="8"/>
  <c r="C31" i="8"/>
  <c r="C5" i="13" l="1"/>
  <c r="G14" i="13"/>
  <c r="L9" i="8"/>
  <c r="L3" i="13" l="1"/>
  <c r="L2" i="13" s="1"/>
  <c r="L52" i="8"/>
  <c r="M9" i="8"/>
  <c r="J14" i="13"/>
  <c r="M14" i="13"/>
  <c r="L14" i="13"/>
  <c r="K14" i="13"/>
  <c r="M3" i="13" l="1"/>
  <c r="M2" i="13" s="1"/>
  <c r="M52" i="8"/>
  <c r="C14" i="13"/>
  <c r="C3" i="13" l="1"/>
  <c r="D6" i="13"/>
  <c r="C6" i="13" s="1"/>
  <c r="D52" i="8"/>
  <c r="C52" i="8" s="1"/>
  <c r="D9" i="13"/>
  <c r="D36" i="13" s="1"/>
  <c r="C2" i="13" l="1"/>
  <c r="D2" i="13"/>
  <c r="E11" i="13"/>
  <c r="E9" i="13" l="1"/>
  <c r="E36" i="13" s="1"/>
  <c r="F11" i="13"/>
  <c r="F9" i="13" l="1"/>
  <c r="F36" i="13" s="1"/>
  <c r="G19" i="3"/>
  <c r="G11" i="13"/>
  <c r="C11" i="13" s="1"/>
  <c r="C9" i="13" s="1"/>
  <c r="G9" i="13" l="1"/>
  <c r="I19" i="3"/>
  <c r="O19" i="3"/>
  <c r="H19" i="3"/>
  <c r="L19" i="3"/>
  <c r="J19" i="3"/>
  <c r="K19" i="3"/>
  <c r="M19" i="3"/>
  <c r="N19" i="3"/>
  <c r="G36" i="13" l="1"/>
  <c r="C36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Jaime de Mayo</author>
  </authors>
  <commentList>
    <comment ref="J2" authorId="0" shapeId="0" xr:uid="{BC3A8EBC-33F2-4DB1-8C1E-E00C9C51AD6E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G44" authorId="0" shapeId="0" xr:uid="{5BEF8A1E-6733-4BF9-86E8-975562A9E7CA}">
      <text>
        <r>
          <rPr>
            <b/>
            <sz val="9"/>
            <color indexed="81"/>
            <rFont val="Tahoma"/>
            <family val="2"/>
          </rPr>
          <t>estimacion de recuperación de gastos TC Jaime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Jaime de Mayo</author>
  </authors>
  <commentList>
    <comment ref="L2" authorId="0" shapeId="0" xr:uid="{C0DBFDF6-CF46-4666-8AE3-A86F9E22A7A1}">
      <text>
        <r>
          <rPr>
            <b/>
            <sz val="9"/>
            <color indexed="81"/>
            <rFont val="Tahoma"/>
            <family val="2"/>
          </rPr>
          <t>Revisar si no está repetiodo el pago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 xr:uid="{E8AC8A12-9D00-4333-A3D5-A857157E87A9}">
      <text>
        <r>
          <rPr>
            <b/>
            <sz val="9"/>
            <color indexed="81"/>
            <rFont val="Tahoma"/>
            <family val="2"/>
          </rPr>
          <t>2 facturas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0" shapeId="0" xr:uid="{8B0F276F-A304-4E8C-A6FC-0193D927032D}">
      <text>
        <r>
          <rPr>
            <b/>
            <sz val="9"/>
            <color indexed="81"/>
            <rFont val="Tahoma"/>
            <family val="2"/>
          </rPr>
          <t>3 cantidades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Jaime de Mayo</author>
  </authors>
  <commentList>
    <comment ref="G14" authorId="0" shapeId="0" xr:uid="{96CF1AB9-7D57-4C8C-99BF-D82A3CB71E17}">
      <text>
        <r>
          <rPr>
            <b/>
            <sz val="9"/>
            <color indexed="81"/>
            <rFont val="Tahoma"/>
            <family val="2"/>
          </rPr>
          <t>incluye reembolso natan. Cierre contratos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<sst xmlns="http://schemas.openxmlformats.org/spreadsheetml/2006/main" count="1927" uniqueCount="443">
  <si>
    <t xml:space="preserve">ITEM </t>
  </si>
  <si>
    <t>Destino</t>
  </si>
  <si>
    <t>RUT</t>
  </si>
  <si>
    <t>Fech</t>
  </si>
  <si>
    <t>Monto</t>
  </si>
  <si>
    <t>Doc SII</t>
  </si>
  <si>
    <t>Emitid el</t>
  </si>
  <si>
    <t>Nots</t>
  </si>
  <si>
    <t>1110</t>
  </si>
  <si>
    <t>Del Pilar</t>
  </si>
  <si>
    <t>76.094.637-0</t>
  </si>
  <si>
    <t>Albenda</t>
  </si>
  <si>
    <t>Nahan Muñoz</t>
  </si>
  <si>
    <t>8.345.239-0</t>
  </si>
  <si>
    <t>reembolso Nahan. Cot Lucy O</t>
  </si>
  <si>
    <t>Patio - arriendo</t>
  </si>
  <si>
    <t>77.070.384-0</t>
  </si>
  <si>
    <t>Patio - Servicios</t>
  </si>
  <si>
    <t>1120</t>
  </si>
  <si>
    <t>Buhos Chle</t>
  </si>
  <si>
    <t>85.462.700-7</t>
  </si>
  <si>
    <t>Mascarillas, cancela factura pdte año 2020</t>
  </si>
  <si>
    <t>Completa pago Buhos N. 65057</t>
  </si>
  <si>
    <t>Marcela Torrez Cordovez</t>
  </si>
  <si>
    <t>7.173.015-8</t>
  </si>
  <si>
    <t>MTC desechables</t>
  </si>
  <si>
    <t>Quimica EIRL</t>
  </si>
  <si>
    <t>79.584.030-3</t>
  </si>
  <si>
    <t xml:space="preserve">Hector Ramirez Proveedora Art Dentales </t>
  </si>
  <si>
    <t>6.779.524-5</t>
  </si>
  <si>
    <t>Hector Ramirez Deysol.cl desinfectantes</t>
  </si>
  <si>
    <t>Troyanos</t>
  </si>
  <si>
    <t>76.798.414-6</t>
  </si>
  <si>
    <t>Elegantex</t>
  </si>
  <si>
    <t>V&amp;V Embalajes</t>
  </si>
  <si>
    <t>76.076.795-6</t>
  </si>
  <si>
    <t>1130</t>
  </si>
  <si>
    <t>Caja Chica</t>
  </si>
  <si>
    <t>12.498.990-6</t>
  </si>
  <si>
    <t>Maureen Stder</t>
  </si>
  <si>
    <t>reembolso de? Preguntar Maureen</t>
  </si>
  <si>
    <t>Stder Maurren</t>
  </si>
  <si>
    <t>Maurren</t>
  </si>
  <si>
    <t>1140</t>
  </si>
  <si>
    <t>ArteMarmol Muebles ltda</t>
  </si>
  <si>
    <t>76.198.989-8</t>
  </si>
  <si>
    <t xml:space="preserve">Carlos Albarran </t>
  </si>
  <si>
    <t>26.313.826-0</t>
  </si>
  <si>
    <t>Extintores</t>
  </si>
  <si>
    <t>Carlos José Villalobos</t>
  </si>
  <si>
    <t>27.392.098-6</t>
  </si>
  <si>
    <t>Elliot Keim</t>
  </si>
  <si>
    <t>12.906.983-K</t>
  </si>
  <si>
    <t>Abono pintura y arreglos</t>
  </si>
  <si>
    <t>N/A</t>
  </si>
  <si>
    <t>abono pintura</t>
  </si>
  <si>
    <t>Expro Spa</t>
  </si>
  <si>
    <t>99.574.460-0</t>
  </si>
  <si>
    <t>repuestos autoclave bioart</t>
  </si>
  <si>
    <t>Jaime venegas durand</t>
  </si>
  <si>
    <t>8.691.158-2</t>
  </si>
  <si>
    <t>Jorge Pino</t>
  </si>
  <si>
    <t>9.969.907-8</t>
  </si>
  <si>
    <t>Mantención Rayos X Huechuraba</t>
  </si>
  <si>
    <t>Loreto Mateo Gestion de Servicios</t>
  </si>
  <si>
    <t>76.327.980-4</t>
  </si>
  <si>
    <t>cot ppb1362 mirilla plomada puerta rayo</t>
  </si>
  <si>
    <t>Factura extintores Kadima Ortodonti</t>
  </si>
  <si>
    <t>Marcelo Sigari</t>
  </si>
  <si>
    <t>23.097.010-6</t>
  </si>
  <si>
    <t>Muebles</t>
  </si>
  <si>
    <t>Nelson alejandro contreras</t>
  </si>
  <si>
    <t>10.737.703-4</t>
  </si>
  <si>
    <t>Silva Hnos</t>
  </si>
  <si>
    <t>76.308.220-2</t>
  </si>
  <si>
    <t>Cierre pasada recepción-a clinica</t>
  </si>
  <si>
    <t>Sociedad Cila Ltda</t>
  </si>
  <si>
    <t>83.217.600-1</t>
  </si>
  <si>
    <t>equipamiento selladora Vitacura</t>
  </si>
  <si>
    <t>1150</t>
  </si>
  <si>
    <t>Asesoria y Gestion Maguncia</t>
  </si>
  <si>
    <t>76.278.881-0</t>
  </si>
  <si>
    <t>Asesorías e Inv Gestión Legal</t>
  </si>
  <si>
    <t>76.885280-4</t>
  </si>
  <si>
    <t>sesion de contrato berta correa loc 3</t>
  </si>
  <si>
    <t>Capacitaciones en Educación y Salud ltda</t>
  </si>
  <si>
    <t>76.243.265-K</t>
  </si>
  <si>
    <t>Cristian Caceres</t>
  </si>
  <si>
    <t>12.380.649-2</t>
  </si>
  <si>
    <t>Publicidad Pag web</t>
  </si>
  <si>
    <t>Dentidesk</t>
  </si>
  <si>
    <t>6.499.149-3</t>
  </si>
  <si>
    <t>reembolso Jaime</t>
  </si>
  <si>
    <t>Dentidesk Abril</t>
  </si>
  <si>
    <t>reembolso a jaime</t>
  </si>
  <si>
    <t>Dentidesk marzo</t>
  </si>
  <si>
    <t>reembolso a Jaime</t>
  </si>
  <si>
    <t>Serv Tec e Informaticos Dentales</t>
  </si>
  <si>
    <t>76.270.468-4</t>
  </si>
  <si>
    <t>Servicio de Cpacitación Bustos &amp; Bustos</t>
  </si>
  <si>
    <t>76.108.611-1</t>
  </si>
  <si>
    <t>servicio juridico cerda meneses</t>
  </si>
  <si>
    <t>76.408.864-6</t>
  </si>
  <si>
    <t>1210</t>
  </si>
  <si>
    <t>Alvaro Acevedo</t>
  </si>
  <si>
    <t>19.900.560-K</t>
  </si>
  <si>
    <t>499.737 </t>
  </si>
  <si>
    <t xml:space="preserve">Catalina Hidalgo </t>
  </si>
  <si>
    <t>17.702.461-9</t>
  </si>
  <si>
    <t>reembolso a Tamara</t>
  </si>
  <si>
    <t>Dalan Torres</t>
  </si>
  <si>
    <t>16.353.788-5</t>
  </si>
  <si>
    <t>pago pedte paciente….</t>
  </si>
  <si>
    <t>rrembolso laboratorio</t>
  </si>
  <si>
    <t>Viviana</t>
  </si>
  <si>
    <t xml:space="preserve">Daniel Rubio </t>
  </si>
  <si>
    <t>18.024.217-1</t>
  </si>
  <si>
    <t>Fanny Mujica</t>
  </si>
  <si>
    <t>16.069.825-K</t>
  </si>
  <si>
    <t>Fernanda Nagdar</t>
  </si>
  <si>
    <t>18.116.015-2</t>
  </si>
  <si>
    <t>Francisca Andrade</t>
  </si>
  <si>
    <t>19.078.868-7</t>
  </si>
  <si>
    <t>Francisca Betanzo</t>
  </si>
  <si>
    <t>18.925.232-3</t>
  </si>
  <si>
    <t>Francisco Jesús</t>
  </si>
  <si>
    <t>Gianina Picasso</t>
  </si>
  <si>
    <t>14.218.397-8</t>
  </si>
  <si>
    <t xml:space="preserve">OJO  error de ajuste. Fact 34 es por 4.65.280 y dentidesk Ene es por 2.025.090 </t>
  </si>
  <si>
    <t>4.700.985 </t>
  </si>
  <si>
    <t>Javiera Garate</t>
  </si>
  <si>
    <t>16.478.320-0</t>
  </si>
  <si>
    <t>Jose Leyton</t>
  </si>
  <si>
    <t>16.557.257-2</t>
  </si>
  <si>
    <t>Maria Jose Galvez</t>
  </si>
  <si>
    <t>18.776.798-9</t>
  </si>
  <si>
    <t>María José Galvez</t>
  </si>
  <si>
    <t>Practica</t>
  </si>
  <si>
    <t>Paola Bedoya</t>
  </si>
  <si>
    <t>24.346.718-7</t>
  </si>
  <si>
    <t>Rocio Vidal</t>
  </si>
  <si>
    <t>16.660.937-2</t>
  </si>
  <si>
    <t>Sebastian Andrade</t>
  </si>
  <si>
    <t>289.613 </t>
  </si>
  <si>
    <t>Victor Uribe M</t>
  </si>
  <si>
    <t>14.141.367-8</t>
  </si>
  <si>
    <t>1290</t>
  </si>
  <si>
    <t>Tamara de Mayo</t>
  </si>
  <si>
    <t>10.702.883-8</t>
  </si>
  <si>
    <t>Completa Honorarios</t>
  </si>
  <si>
    <t>1310</t>
  </si>
  <si>
    <t>Clera Importadora Insumos dentales</t>
  </si>
  <si>
    <t>77.204.347-K</t>
  </si>
  <si>
    <t>Dice Cotización N.37. pago duplicado?</t>
  </si>
  <si>
    <t>77.240.347-K</t>
  </si>
  <si>
    <t>Dental Macarena</t>
  </si>
  <si>
    <t>76.786.878-2</t>
  </si>
  <si>
    <t>DentaMax</t>
  </si>
  <si>
    <t>76.150.213-1</t>
  </si>
  <si>
    <t>Articulos medicos</t>
  </si>
  <si>
    <t>Dentoval</t>
  </si>
  <si>
    <t>76.512.279-1</t>
  </si>
  <si>
    <t>Dentswiss</t>
  </si>
  <si>
    <t>76.415.174-7</t>
  </si>
  <si>
    <t>Dipromed</t>
  </si>
  <si>
    <t>86.397.000-8</t>
  </si>
  <si>
    <t>Imperio dent</t>
  </si>
  <si>
    <t>10.637.217-9</t>
  </si>
  <si>
    <t>Carla Kunstman</t>
  </si>
  <si>
    <t>Importadora y Comer TECH</t>
  </si>
  <si>
    <t>76.985.007-4</t>
  </si>
  <si>
    <t>nancy ceballo guzman</t>
  </si>
  <si>
    <t>15.148.558-8</t>
  </si>
  <si>
    <t>Fotografía Lab Dental NCG</t>
  </si>
  <si>
    <t>Fotografia</t>
  </si>
  <si>
    <t>Roberto Huserman</t>
  </si>
  <si>
    <t>7.890.582-4</t>
  </si>
  <si>
    <t>Sonrie Pro</t>
  </si>
  <si>
    <t>76.723.245-4</t>
  </si>
  <si>
    <t>1320</t>
  </si>
  <si>
    <t>American Dental</t>
  </si>
  <si>
    <t>77.323.680-1</t>
  </si>
  <si>
    <t>Biotech</t>
  </si>
  <si>
    <t>76.006.366-5</t>
  </si>
  <si>
    <t>China</t>
  </si>
  <si>
    <t>96.900.260-4</t>
  </si>
  <si>
    <t>Insumos China. pagado através de serman y Dobry</t>
  </si>
  <si>
    <t xml:space="preserve">Imp y distri Producto </t>
  </si>
  <si>
    <t>76.766.148-7</t>
  </si>
  <si>
    <t>Damus</t>
  </si>
  <si>
    <t>Importadora GAC</t>
  </si>
  <si>
    <t>77.485.460-6</t>
  </si>
  <si>
    <t>falto el iva y se pago la 70053  en otra Tr, los 152882 quedaron como abono</t>
  </si>
  <si>
    <t>Pago total de la 70053</t>
  </si>
  <si>
    <t>Insumedent</t>
  </si>
  <si>
    <t>76.712.267-5</t>
  </si>
  <si>
    <t>Abono a los 336.544</t>
  </si>
  <si>
    <t>Compelta diferencia por 336.544</t>
  </si>
  <si>
    <t>Think 3D Chile</t>
  </si>
  <si>
    <t>76.629.279-8</t>
  </si>
  <si>
    <t>Insumos (fotos) odontologicos</t>
  </si>
  <si>
    <t>1410</t>
  </si>
  <si>
    <t>American Dental Art</t>
  </si>
  <si>
    <t>Daisy Hevia</t>
  </si>
  <si>
    <t>15.565.617-4</t>
  </si>
  <si>
    <t>Ojo no está en le registro de Transfer, pero si en la cartola Bco</t>
  </si>
  <si>
    <t>Lingual camila Lagos. Está en la fichha'</t>
  </si>
  <si>
    <t>Eduardo Marin</t>
  </si>
  <si>
    <t>Edo Marin</t>
  </si>
  <si>
    <t>Lorena Bustos</t>
  </si>
  <si>
    <t>13.071.458-7</t>
  </si>
  <si>
    <t>Lab Complemento Dental</t>
  </si>
  <si>
    <t>Ortolab</t>
  </si>
  <si>
    <t>76.65.8200-1</t>
  </si>
  <si>
    <t>76.658.200-1</t>
  </si>
  <si>
    <t>1450</t>
  </si>
  <si>
    <t>Rodrigo Haristoy</t>
  </si>
  <si>
    <t>10.344.198-6</t>
  </si>
  <si>
    <t>Factura de Inversiones PARO RUT. 76.279.576-0</t>
  </si>
  <si>
    <t>1510</t>
  </si>
  <si>
    <t>Angela Quevedo</t>
  </si>
  <si>
    <t>18.220.909-0</t>
  </si>
  <si>
    <t>Completa Febrero</t>
  </si>
  <si>
    <t>Benjamin Alvarez</t>
  </si>
  <si>
    <t>20.497.897-2</t>
  </si>
  <si>
    <t>adelanto Agosto</t>
  </si>
  <si>
    <t>Estefanie Grisales</t>
  </si>
  <si>
    <t>25.915.792-7 </t>
  </si>
  <si>
    <t>25.915.792-7</t>
  </si>
  <si>
    <t>Gema Gollares</t>
  </si>
  <si>
    <t>12.289.035-K</t>
  </si>
  <si>
    <t>Ivanna Gallardo</t>
  </si>
  <si>
    <t>20.448.690-5</t>
  </si>
  <si>
    <t>24.916.227-2</t>
  </si>
  <si>
    <t>Jeferson Rodriguez</t>
  </si>
  <si>
    <t>25.106.191-2</t>
  </si>
  <si>
    <t>Finiquito</t>
  </si>
  <si>
    <t>Lucy Orellana</t>
  </si>
  <si>
    <t>11.873.715-6</t>
  </si>
  <si>
    <t>Maureen Fuentes</t>
  </si>
  <si>
    <t>12.498.990-6 </t>
  </si>
  <si>
    <t>Febrero</t>
  </si>
  <si>
    <t>Marzo</t>
  </si>
  <si>
    <t>saldo sueldo Marzo</t>
  </si>
  <si>
    <t>Melanie Pereira</t>
  </si>
  <si>
    <t>19.417.051-3</t>
  </si>
  <si>
    <t xml:space="preserve"> febrero</t>
  </si>
  <si>
    <t xml:space="preserve">Yeismeir Matias Salazar </t>
  </si>
  <si>
    <t>20.147.090-0</t>
  </si>
  <si>
    <t>Yesharet Monserat Pino</t>
  </si>
  <si>
    <t>19.597.855-7</t>
  </si>
  <si>
    <t>1550</t>
  </si>
  <si>
    <t>Reembolso cotizaciones</t>
  </si>
  <si>
    <t>PREVIRED</t>
  </si>
  <si>
    <t>1610</t>
  </si>
  <si>
    <t>Credito N° 420020487800</t>
  </si>
  <si>
    <t>EQYS</t>
  </si>
  <si>
    <t>76.858.865-1</t>
  </si>
  <si>
    <t>50 % porTotem Atención</t>
  </si>
  <si>
    <t>Totem Atención</t>
  </si>
  <si>
    <t>1710</t>
  </si>
  <si>
    <t>SII</t>
  </si>
  <si>
    <t>2.765.043 </t>
  </si>
  <si>
    <t>T.G.R.</t>
  </si>
  <si>
    <t>1800</t>
  </si>
  <si>
    <t>Inversión Fondo Mutuo</t>
  </si>
  <si>
    <t>1900</t>
  </si>
  <si>
    <t>Fabiola Maturana Benal</t>
  </si>
  <si>
    <t>16.127.927-7</t>
  </si>
  <si>
    <t>Paciente? No hat correo de cobranza</t>
  </si>
  <si>
    <t>Gonzalo Alfonso Chacana</t>
  </si>
  <si>
    <t>9.009.757-1</t>
  </si>
  <si>
    <t>reembolso a un paciente</t>
  </si>
  <si>
    <t>Reembolso. Por reembolso a paciente</t>
  </si>
  <si>
    <t>Reembolso de ?</t>
  </si>
  <si>
    <t>Miriam Riquelme</t>
  </si>
  <si>
    <t>12.873.479-1</t>
  </si>
  <si>
    <t>Paciente Reembolso</t>
  </si>
  <si>
    <t>Natalia Ramos</t>
  </si>
  <si>
    <t>16.579.296-3</t>
  </si>
  <si>
    <t xml:space="preserve">Reembolso a paciente </t>
  </si>
  <si>
    <t>Natasha Rodriguez Gary</t>
  </si>
  <si>
    <t>17.451.951-K</t>
  </si>
  <si>
    <t>Devolucion Paciente</t>
  </si>
  <si>
    <t>Paula Scarcella</t>
  </si>
  <si>
    <t>15.423.723-2</t>
  </si>
  <si>
    <t>Devolución</t>
  </si>
  <si>
    <t>Sociedad llanque y Mostacedo</t>
  </si>
  <si>
    <t>76.592.309-3</t>
  </si>
  <si>
    <t>2110</t>
  </si>
  <si>
    <t>Comunes Kennedy</t>
  </si>
  <si>
    <t>56.065.090-6</t>
  </si>
  <si>
    <t>Carlos Guerra</t>
  </si>
  <si>
    <t>12.513.092-5</t>
  </si>
  <si>
    <t>Paciente???</t>
  </si>
  <si>
    <t>CELCOM SA</t>
  </si>
  <si>
    <t>76.023.762-0</t>
  </si>
  <si>
    <t>Erika Orellana</t>
  </si>
  <si>
    <t>12.105.985-1</t>
  </si>
  <si>
    <t>Jonathan Espinoza Ramirez</t>
  </si>
  <si>
    <t>25.581.195-9</t>
  </si>
  <si>
    <t>Sin info de correo</t>
  </si>
  <si>
    <t>Item</t>
  </si>
  <si>
    <t>Alcance</t>
  </si>
  <si>
    <t>TOTAL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</si>
  <si>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</si>
  <si>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</si>
  <si>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</si>
  <si>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</si>
  <si>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</si>
  <si>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</si>
  <si>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</si>
  <si>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</si>
  <si>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</si>
  <si>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</si>
  <si>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</si>
  <si>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</si>
  <si>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Gastos Grales</t>
  </si>
  <si>
    <t>Fijo Mensual</t>
  </si>
  <si>
    <t>Oper Clinica</t>
  </si>
  <si>
    <t>Varios</t>
  </si>
  <si>
    <t>Mant Infraes</t>
  </si>
  <si>
    <t>Servicios TI y otros</t>
  </si>
  <si>
    <t>Doctores</t>
  </si>
  <si>
    <t>Dres</t>
  </si>
  <si>
    <t>Tama</t>
  </si>
  <si>
    <t>Insumos Dent</t>
  </si>
  <si>
    <t>Art Lim Dental</t>
  </si>
  <si>
    <t>Art Aten Paciente</t>
  </si>
  <si>
    <t>Laboratorio</t>
  </si>
  <si>
    <t>Lab</t>
  </si>
  <si>
    <t>Rayos</t>
  </si>
  <si>
    <t>Personal</t>
  </si>
  <si>
    <t>Previred</t>
  </si>
  <si>
    <t>Infraestructura</t>
  </si>
  <si>
    <t>Imptos</t>
  </si>
  <si>
    <t>TOTALES</t>
  </si>
  <si>
    <t>Dalan - Viviana</t>
  </si>
  <si>
    <t>Frencisco J Rojas</t>
  </si>
  <si>
    <t>Gianina</t>
  </si>
  <si>
    <t>Maria José Galvez</t>
  </si>
  <si>
    <t>Victor Uribe Muñoz</t>
  </si>
  <si>
    <t>SUB TOTAL</t>
  </si>
  <si>
    <t>LIQ bruta</t>
  </si>
  <si>
    <t>Prod Bruta</t>
  </si>
  <si>
    <t>Prod Neta</t>
  </si>
  <si>
    <t>VA Clínica</t>
  </si>
  <si>
    <t>ENERO</t>
  </si>
  <si>
    <t>FEBRERO</t>
  </si>
  <si>
    <t>LIQ</t>
  </si>
  <si>
    <t>MARZO</t>
  </si>
  <si>
    <t>ABRIL</t>
  </si>
  <si>
    <t>MAYO</t>
  </si>
  <si>
    <t>Gastos Administrativos</t>
  </si>
  <si>
    <t>Albenda (del Pilar)</t>
  </si>
  <si>
    <t>Centros Com IIII (Patio)arriendo</t>
  </si>
  <si>
    <t>Centros Com IIII (Patio)Servicios</t>
  </si>
  <si>
    <t>GTD Manquehue</t>
  </si>
  <si>
    <t>Dentidesk Licencia</t>
  </si>
  <si>
    <t>Nahan Contabilidad</t>
  </si>
  <si>
    <t>Buhos SCI Ltda</t>
  </si>
  <si>
    <t>Trema dental</t>
  </si>
  <si>
    <t>Hector Ramirez Quimica IERL (Prov Art dentales)</t>
  </si>
  <si>
    <t>Ximena Torres Cordovez</t>
  </si>
  <si>
    <t>Maureen - Caja Chica</t>
  </si>
  <si>
    <t>Troyanos elegantex</t>
  </si>
  <si>
    <t>Velmix</t>
  </si>
  <si>
    <t>Comecial Vtalcom</t>
  </si>
  <si>
    <t>Comercializadora JMD Spa</t>
  </si>
  <si>
    <t>L Castaños</t>
  </si>
  <si>
    <t>Maria Isabel Jara</t>
  </si>
  <si>
    <t>Norma arriagada</t>
  </si>
  <si>
    <t>Packing impresores</t>
  </si>
  <si>
    <t>Sociedad Lanque Mostacedo</t>
  </si>
  <si>
    <t>UC Movil</t>
  </si>
  <si>
    <t>Zeal Chile</t>
  </si>
  <si>
    <t>ZHONG</t>
  </si>
  <si>
    <t xml:space="preserve">SUB TOTAL </t>
  </si>
  <si>
    <t>Cristian Solorza</t>
  </si>
  <si>
    <t>ELLIOT KEIN</t>
  </si>
  <si>
    <t>Fernando Navarrete</t>
  </si>
  <si>
    <t>Nelson Contreras</t>
  </si>
  <si>
    <t>Sub total</t>
  </si>
  <si>
    <t>Servicio de capacitación</t>
  </si>
  <si>
    <t>Servicio juridico cerda Meneses</t>
  </si>
  <si>
    <t>Capacitaciones en Salud</t>
  </si>
  <si>
    <t>UPWORK Aldo Pagina WEB</t>
  </si>
  <si>
    <t>Comercial Pincelada</t>
  </si>
  <si>
    <t>Gestion Maguncia</t>
  </si>
  <si>
    <t>Michelle Reich</t>
  </si>
  <si>
    <t>Punto G Publicidad</t>
  </si>
  <si>
    <t>Veronica Jara</t>
  </si>
  <si>
    <t>Catalina Hidalgo</t>
  </si>
  <si>
    <t>Dalan Torres Soto</t>
  </si>
  <si>
    <t>Francisca Andrade Rios</t>
  </si>
  <si>
    <t>Francisco Jesus Rojas</t>
  </si>
  <si>
    <t>Juan Sebastian Andrade</t>
  </si>
  <si>
    <t>GCPY Giannina Picasso</t>
  </si>
  <si>
    <t>Fernanda Nagbar</t>
  </si>
  <si>
    <t>sub total</t>
  </si>
  <si>
    <t>Tamara</t>
  </si>
  <si>
    <t>TOTAL 1200</t>
  </si>
  <si>
    <t>INSUMOS</t>
  </si>
  <si>
    <t>Comercial Express Den</t>
  </si>
  <si>
    <t xml:space="preserve">Comercializadora Biomateriales </t>
  </si>
  <si>
    <t>Cristian Barahona PEREZ</t>
  </si>
  <si>
    <t>Dentaid</t>
  </si>
  <si>
    <t>Dentamax</t>
  </si>
  <si>
    <t>Dentobal</t>
  </si>
  <si>
    <t>imperio dent</t>
  </si>
  <si>
    <t>ORTOTEK</t>
  </si>
  <si>
    <t>Nancy Ceballos</t>
  </si>
  <si>
    <t>importadora GAC</t>
  </si>
  <si>
    <t>Importadora TECH</t>
  </si>
  <si>
    <t>Importadora y Distribuidora de Producto (DAMUS)</t>
  </si>
  <si>
    <t>Mayordent Chile Ltda</t>
  </si>
  <si>
    <t>Tecno Import</t>
  </si>
  <si>
    <t>Patricio Lira</t>
  </si>
  <si>
    <t>SUBTOTAL</t>
  </si>
  <si>
    <t>TOTAL 1300</t>
  </si>
  <si>
    <t>LABORATORIO</t>
  </si>
  <si>
    <t>American dental art</t>
  </si>
  <si>
    <t>Barbara Jopia</t>
  </si>
  <si>
    <t>Dental Macarena Sanchez (Edo Marin)</t>
  </si>
  <si>
    <t>Jaime Venegas</t>
  </si>
  <si>
    <t>Lorena Bustos - Laboratorio Complemento</t>
  </si>
  <si>
    <t xml:space="preserve">   </t>
  </si>
  <si>
    <t>SUB Total</t>
  </si>
  <si>
    <t>TOTAL 1400</t>
  </si>
  <si>
    <t>PERSONAL</t>
  </si>
  <si>
    <t>Angela Quevedo Basualto</t>
  </si>
  <si>
    <t>Estefany Grisales</t>
  </si>
  <si>
    <t>Jefferson Rodriguez</t>
  </si>
  <si>
    <t>Maureen Fuentes - Suledo</t>
  </si>
  <si>
    <t>Yesharet Monserrat</t>
  </si>
  <si>
    <t>TOTAL 1500</t>
  </si>
  <si>
    <t>Infraestructura activo Fijo</t>
  </si>
  <si>
    <t>cuota equipos</t>
  </si>
  <si>
    <t>Impuestos y Patentes</t>
  </si>
  <si>
    <t>Impuestos</t>
  </si>
  <si>
    <t>Patente</t>
  </si>
  <si>
    <t>Inversiones</t>
  </si>
  <si>
    <t>Fdo Mutuo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</si>
</sst>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Calibri"/>
      <family val="2"/>
    </font>
    <font>
      <sz val="11"/>
      <color theme="1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333333"/>
      <name val="Arial"/>
      <family val="2"/>
    </font>
    <font>
      <sz val="10"/>
      <color rgb="FF333333"/>
      <name val="Arial"/>
      <family val="2"/>
    </font>
    <font>
      <sz val="10"/>
      <color rgb="FF333333"/>
      <name val="Tahoma"/>
      <family val="2"/>
    </font>
    <font>
      <sz val="9"/>
      <color rgb="FF33333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 applyBorder="0"/>
    <xf numFmtId="0" fontId="4" fillId="0" borderId="0"/>
    <xf numFmtId="0" fontId="3" fillId="0" borderId="0"/>
    <xf numFmtId="0" fontId="2" fillId="0" borderId="0"/>
    <xf numFmtId="0" fontId="1" fillId="0" borderId="0"/>
  </cellStyleXfs>
  <cellXfs count="136">
    <xf numFmtId="0" fontId="0" fillId="0" borderId="0" xfId="0"/>
    <xf numFmtId="0" fontId="5" fillId="0" borderId="1" xfId="0" applyFont="1" applyBorder="1" applyAlignment="1">
      <alignment horizontal="left" wrapText="1" indent="1"/>
    </xf>
    <xf numFmtId="0" fontId="8" fillId="2" borderId="0" xfId="0" applyFont="1" applyFill="1"/>
    <xf numFmtId="0" fontId="7" fillId="0" borderId="1" xfId="0" applyFont="1" applyBorder="1" applyAlignment="1">
      <alignment horizontal="left" wrapText="1" indent="1"/>
    </xf>
    <xf numFmtId="0" fontId="9" fillId="0" borderId="0" xfId="0" applyFont="1"/>
    <xf numFmtId="0" fontId="5" fillId="0" borderId="1" xfId="0" applyFont="1" applyBorder="1" applyAlignment="1">
      <alignment horizontal="center"/>
    </xf>
    <xf numFmtId="3" fontId="7" fillId="0" borderId="1" xfId="0" applyNumberFormat="1" applyFont="1" applyBorder="1"/>
    <xf numFmtId="3" fontId="7" fillId="5" borderId="1" xfId="0" applyNumberFormat="1" applyFont="1" applyFill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 wrapText="1" indent="1"/>
    </xf>
    <xf numFmtId="0" fontId="8" fillId="3" borderId="1" xfId="0" applyFont="1" applyFill="1" applyBorder="1" applyAlignment="1">
      <alignment horizontal="center" wrapText="1"/>
    </xf>
    <xf numFmtId="3" fontId="5" fillId="0" borderId="1" xfId="0" applyNumberFormat="1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wrapText="1" indent="1"/>
    </xf>
    <xf numFmtId="0" fontId="9" fillId="3" borderId="3" xfId="0" applyFont="1" applyFill="1" applyBorder="1"/>
    <xf numFmtId="3" fontId="9" fillId="6" borderId="3" xfId="0" applyNumberFormat="1" applyFont="1" applyFill="1" applyBorder="1"/>
    <xf numFmtId="0" fontId="9" fillId="4" borderId="3" xfId="0" applyFont="1" applyFill="1" applyBorder="1"/>
    <xf numFmtId="3" fontId="9" fillId="4" borderId="3" xfId="0" applyNumberFormat="1" applyFont="1" applyFill="1" applyBorder="1"/>
    <xf numFmtId="0" fontId="9" fillId="6" borderId="3" xfId="0" applyFont="1" applyFill="1" applyBorder="1"/>
    <xf numFmtId="3" fontId="7" fillId="6" borderId="1" xfId="0" applyNumberFormat="1" applyFont="1" applyFill="1" applyBorder="1"/>
    <xf numFmtId="0" fontId="9" fillId="0" borderId="0" xfId="0" applyFont="1" applyBorder="1"/>
    <xf numFmtId="3" fontId="9" fillId="0" borderId="0" xfId="0" applyNumberFormat="1" applyFont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 wrapText="1" indent="1"/>
    </xf>
    <xf numFmtId="0" fontId="6" fillId="2" borderId="1" xfId="0" applyFont="1" applyFill="1" applyBorder="1"/>
    <xf numFmtId="3" fontId="7" fillId="0" borderId="0" xfId="0" applyNumberFormat="1" applyFont="1" applyBorder="1"/>
    <xf numFmtId="3" fontId="5" fillId="0" borderId="0" xfId="0" applyNumberFormat="1" applyFont="1" applyBorder="1"/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left" wrapText="1" indent="1"/>
    </xf>
    <xf numFmtId="3" fontId="7" fillId="0" borderId="2" xfId="0" applyNumberFormat="1" applyFont="1" applyBorder="1"/>
    <xf numFmtId="0" fontId="5" fillId="0" borderId="5" xfId="0" applyFont="1" applyBorder="1" applyAlignment="1">
      <alignment horizontal="left" wrapText="1" indent="1"/>
    </xf>
    <xf numFmtId="3" fontId="7" fillId="0" borderId="5" xfId="0" applyNumberFormat="1" applyFont="1" applyBorder="1"/>
    <xf numFmtId="0" fontId="12" fillId="0" borderId="6" xfId="0" applyFont="1" applyBorder="1" applyAlignment="1">
      <alignment horizontal="left" wrapText="1" indent="1"/>
    </xf>
    <xf numFmtId="3" fontId="7" fillId="6" borderId="7" xfId="0" applyNumberFormat="1" applyFont="1" applyFill="1" applyBorder="1"/>
    <xf numFmtId="0" fontId="5" fillId="5" borderId="4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 wrapText="1" indent="1"/>
    </xf>
    <xf numFmtId="3" fontId="7" fillId="5" borderId="2" xfId="0" applyNumberFormat="1" applyFont="1" applyFill="1" applyBorder="1"/>
    <xf numFmtId="0" fontId="12" fillId="5" borderId="6" xfId="0" applyFont="1" applyFill="1" applyBorder="1" applyAlignment="1">
      <alignment horizontal="left" wrapText="1" indent="1"/>
    </xf>
    <xf numFmtId="0" fontId="12" fillId="7" borderId="6" xfId="0" applyFont="1" applyFill="1" applyBorder="1" applyAlignment="1">
      <alignment horizontal="left" wrapText="1" indent="1"/>
    </xf>
    <xf numFmtId="0" fontId="0" fillId="0" borderId="4" xfId="0" applyBorder="1"/>
    <xf numFmtId="3" fontId="14" fillId="6" borderId="7" xfId="0" applyNumberFormat="1" applyFont="1" applyFill="1" applyBorder="1"/>
    <xf numFmtId="0" fontId="12" fillId="0" borderId="8" xfId="0" applyFont="1" applyBorder="1" applyAlignment="1">
      <alignment horizontal="left" wrapText="1" indent="1"/>
    </xf>
    <xf numFmtId="3" fontId="14" fillId="0" borderId="9" xfId="0" applyNumberFormat="1" applyFont="1" applyBorder="1"/>
    <xf numFmtId="0" fontId="12" fillId="4" borderId="3" xfId="0" applyFont="1" applyFill="1" applyBorder="1" applyAlignment="1">
      <alignment horizontal="left" wrapText="1" indent="1"/>
    </xf>
    <xf numFmtId="3" fontId="9" fillId="0" borderId="1" xfId="0" applyNumberFormat="1" applyFont="1" applyBorder="1"/>
    <xf numFmtId="0" fontId="7" fillId="0" borderId="0" xfId="0" applyFont="1" applyBorder="1" applyAlignment="1">
      <alignment horizontal="left" wrapText="1" indent="1"/>
    </xf>
    <xf numFmtId="0" fontId="5" fillId="0" borderId="2" xfId="0" applyFont="1" applyBorder="1" applyAlignment="1">
      <alignment horizontal="center"/>
    </xf>
    <xf numFmtId="0" fontId="13" fillId="0" borderId="1" xfId="0" applyFont="1" applyBorder="1" applyAlignment="1">
      <alignment horizontal="left" wrapText="1" indent="1"/>
    </xf>
    <xf numFmtId="3" fontId="8" fillId="6" borderId="1" xfId="0" applyNumberFormat="1" applyFont="1" applyFill="1" applyBorder="1"/>
    <xf numFmtId="0" fontId="7" fillId="3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5" fillId="0" borderId="0" xfId="0" applyFont="1"/>
    <xf numFmtId="0" fontId="9" fillId="0" borderId="1" xfId="0" applyFont="1" applyBorder="1"/>
    <xf numFmtId="3" fontId="7" fillId="6" borderId="0" xfId="0" applyNumberFormat="1" applyFont="1" applyFill="1" applyBorder="1"/>
    <xf numFmtId="0" fontId="0" fillId="0" borderId="0" xfId="0" applyBorder="1"/>
    <xf numFmtId="0" fontId="7" fillId="8" borderId="1" xfId="0" applyFont="1" applyFill="1" applyBorder="1" applyAlignment="1">
      <alignment horizontal="left" wrapText="1" indent="1"/>
    </xf>
    <xf numFmtId="3" fontId="7" fillId="8" borderId="1" xfId="0" applyNumberFormat="1" applyFont="1" applyFill="1" applyBorder="1"/>
    <xf numFmtId="0" fontId="7" fillId="8" borderId="0" xfId="0" applyFont="1" applyFill="1" applyBorder="1" applyAlignment="1">
      <alignment horizontal="left" wrapText="1" indent="1"/>
    </xf>
    <xf numFmtId="3" fontId="7" fillId="8" borderId="0" xfId="0" applyNumberFormat="1" applyFont="1" applyFill="1" applyBorder="1"/>
    <xf numFmtId="0" fontId="16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 wrapText="1" indent="1"/>
    </xf>
    <xf numFmtId="0" fontId="12" fillId="2" borderId="0" xfId="0" applyFont="1" applyFill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17" fillId="0" borderId="0" xfId="0" applyFont="1"/>
    <xf numFmtId="0" fontId="5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left" wrapText="1" indent="1"/>
    </xf>
    <xf numFmtId="3" fontId="9" fillId="0" borderId="0" xfId="0" applyNumberFormat="1" applyFont="1"/>
    <xf numFmtId="3" fontId="7" fillId="4" borderId="3" xfId="0" applyNumberFormat="1" applyFont="1" applyFill="1" applyBorder="1"/>
    <xf numFmtId="0" fontId="9" fillId="4" borderId="0" xfId="0" applyFont="1" applyFill="1" applyBorder="1"/>
    <xf numFmtId="3" fontId="9" fillId="4" borderId="0" xfId="0" applyNumberFormat="1" applyFont="1" applyFill="1" applyBorder="1"/>
    <xf numFmtId="0" fontId="15" fillId="0" borderId="1" xfId="0" applyFont="1" applyBorder="1"/>
    <xf numFmtId="0" fontId="7" fillId="3" borderId="1" xfId="0" applyFont="1" applyFill="1" applyBorder="1" applyAlignment="1">
      <alignment horizontal="center" wrapText="1"/>
    </xf>
    <xf numFmtId="0" fontId="17" fillId="0" borderId="1" xfId="0" applyFont="1" applyBorder="1"/>
    <xf numFmtId="3" fontId="5" fillId="4" borderId="1" xfId="0" applyNumberFormat="1" applyFont="1" applyFill="1" applyBorder="1"/>
    <xf numFmtId="0" fontId="12" fillId="0" borderId="1" xfId="0" applyFont="1" applyBorder="1" applyAlignment="1">
      <alignment horizontal="left" wrapText="1" indent="1"/>
    </xf>
    <xf numFmtId="0" fontId="7" fillId="9" borderId="1" xfId="0" applyFont="1" applyFill="1" applyBorder="1" applyAlignment="1">
      <alignment horizontal="left" wrapText="1" indent="1"/>
    </xf>
    <xf numFmtId="3" fontId="7" fillId="9" borderId="1" xfId="0" applyNumberFormat="1" applyFont="1" applyFill="1" applyBorder="1"/>
    <xf numFmtId="0" fontId="7" fillId="4" borderId="1" xfId="0" applyFont="1" applyFill="1" applyBorder="1" applyAlignment="1">
      <alignment horizontal="left" wrapText="1" indent="1"/>
    </xf>
    <xf numFmtId="0" fontId="8" fillId="4" borderId="1" xfId="0" applyFont="1" applyFill="1" applyBorder="1" applyAlignment="1">
      <alignment horizontal="left" wrapText="1" indent="1"/>
    </xf>
    <xf numFmtId="3" fontId="7" fillId="4" borderId="1" xfId="0" applyNumberFormat="1" applyFont="1" applyFill="1" applyBorder="1"/>
    <xf numFmtId="0" fontId="7" fillId="4" borderId="1" xfId="0" applyFont="1" applyFill="1" applyBorder="1" applyAlignment="1">
      <alignment horizontal="center"/>
    </xf>
    <xf numFmtId="0" fontId="18" fillId="4" borderId="0" xfId="0" applyFont="1" applyFill="1"/>
    <xf numFmtId="0" fontId="9" fillId="4" borderId="0" xfId="0" applyFont="1" applyFill="1"/>
    <xf numFmtId="0" fontId="7" fillId="5" borderId="1" xfId="0" applyFont="1" applyFill="1" applyBorder="1" applyAlignment="1">
      <alignment horizontal="left" wrapText="1" indent="1"/>
    </xf>
    <xf numFmtId="0" fontId="8" fillId="2" borderId="1" xfId="0" applyFont="1" applyFill="1" applyBorder="1"/>
    <xf numFmtId="0" fontId="7" fillId="5" borderId="0" xfId="0" applyFont="1" applyFill="1" applyBorder="1" applyAlignment="1">
      <alignment horizontal="left" wrapText="1" indent="1"/>
    </xf>
    <xf numFmtId="3" fontId="7" fillId="5" borderId="0" xfId="0" applyNumberFormat="1" applyFont="1" applyFill="1" applyBorder="1"/>
    <xf numFmtId="0" fontId="9" fillId="4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3" fontId="0" fillId="0" borderId="1" xfId="0" applyNumberFormat="1" applyBorder="1"/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/>
    <xf numFmtId="0" fontId="9" fillId="3" borderId="3" xfId="0" applyFont="1" applyFill="1" applyBorder="1" applyAlignment="1">
      <alignment horizontal="center"/>
    </xf>
    <xf numFmtId="3" fontId="7" fillId="4" borderId="5" xfId="0" applyNumberFormat="1" applyFont="1" applyFill="1" applyBorder="1"/>
    <xf numFmtId="0" fontId="9" fillId="0" borderId="0" xfId="0" applyFont="1" applyAlignment="1">
      <alignment wrapText="1"/>
    </xf>
    <xf numFmtId="0" fontId="2" fillId="0" borderId="0" xfId="3"/>
    <xf numFmtId="0" fontId="7" fillId="0" borderId="0" xfId="3" applyFont="1"/>
    <xf numFmtId="3" fontId="5" fillId="0" borderId="1" xfId="3" applyNumberFormat="1" applyFont="1" applyBorder="1"/>
    <xf numFmtId="0" fontId="5" fillId="0" borderId="1" xfId="3" applyFont="1" applyBorder="1"/>
    <xf numFmtId="0" fontId="5" fillId="0" borderId="0" xfId="3" applyFont="1"/>
    <xf numFmtId="3" fontId="5" fillId="0" borderId="12" xfId="3" applyNumberFormat="1" applyFont="1" applyBorder="1"/>
    <xf numFmtId="3" fontId="6" fillId="5" borderId="1" xfId="3" applyNumberFormat="1" applyFont="1" applyFill="1" applyBorder="1"/>
    <xf numFmtId="3" fontId="5" fillId="6" borderId="1" xfId="3" applyNumberFormat="1" applyFont="1" applyFill="1" applyBorder="1"/>
    <xf numFmtId="0" fontId="5" fillId="0" borderId="0" xfId="3" applyFont="1" applyAlignment="1">
      <alignment wrapText="1"/>
    </xf>
    <xf numFmtId="0" fontId="5" fillId="10" borderId="1" xfId="3" applyFont="1" applyFill="1" applyBorder="1" applyAlignment="1">
      <alignment wrapText="1"/>
    </xf>
    <xf numFmtId="0" fontId="5" fillId="10" borderId="1" xfId="3" applyFont="1" applyFill="1" applyBorder="1"/>
    <xf numFmtId="0" fontId="5" fillId="5" borderId="8" xfId="0" applyFont="1" applyFill="1" applyBorder="1" applyAlignment="1">
      <alignment horizontal="left" wrapText="1" indent="1"/>
    </xf>
    <xf numFmtId="49" fontId="19" fillId="11" borderId="2" xfId="4" applyNumberFormat="1" applyFont="1" applyFill="1" applyBorder="1" applyAlignment="1">
      <alignment horizontal="center" vertical="center" wrapText="1"/>
    </xf>
    <xf numFmtId="0" fontId="19" fillId="11" borderId="2" xfId="4" applyFont="1" applyFill="1" applyBorder="1" applyAlignment="1">
      <alignment horizontal="center" vertical="center" wrapText="1"/>
    </xf>
    <xf numFmtId="14" fontId="19" fillId="11" borderId="2" xfId="4" applyNumberFormat="1" applyFont="1" applyFill="1" applyBorder="1" applyAlignment="1">
      <alignment horizontal="center" vertical="center" wrapText="1"/>
    </xf>
    <xf numFmtId="1" fontId="19" fillId="11" borderId="2" xfId="4" applyNumberFormat="1" applyFont="1" applyFill="1" applyBorder="1" applyAlignment="1">
      <alignment horizontal="center" vertical="center" wrapText="1"/>
    </xf>
    <xf numFmtId="0" fontId="1" fillId="0" borderId="0" xfId="4"/>
    <xf numFmtId="49" fontId="7" fillId="0" borderId="1" xfId="4" applyNumberFormat="1" applyFont="1" applyBorder="1" applyAlignment="1">
      <alignment horizontal="center" wrapText="1"/>
    </xf>
    <xf numFmtId="0" fontId="7" fillId="0" borderId="1" xfId="4" applyFont="1" applyBorder="1"/>
    <xf numFmtId="14" fontId="20" fillId="12" borderId="1" xfId="4" applyNumberFormat="1" applyFont="1" applyFill="1" applyBorder="1" applyAlignment="1">
      <alignment horizontal="center" vertical="center" wrapText="1"/>
    </xf>
    <xf numFmtId="3" fontId="20" fillId="13" borderId="1" xfId="4" applyNumberFormat="1" applyFont="1" applyFill="1" applyBorder="1" applyAlignment="1">
      <alignment horizontal="right" vertical="center" wrapText="1"/>
    </xf>
    <xf numFmtId="0" fontId="7" fillId="0" borderId="1" xfId="4" applyFont="1" applyBorder="1" applyAlignment="1">
      <alignment wrapText="1"/>
    </xf>
    <xf numFmtId="0" fontId="20" fillId="12" borderId="1" xfId="4" applyFont="1" applyFill="1" applyBorder="1" applyAlignment="1">
      <alignment horizontal="left" vertical="center" wrapText="1"/>
    </xf>
    <xf numFmtId="0" fontId="1" fillId="0" borderId="1" xfId="4" applyBorder="1"/>
    <xf numFmtId="16" fontId="1" fillId="0" borderId="1" xfId="4" applyNumberFormat="1" applyBorder="1"/>
    <xf numFmtId="0" fontId="21" fillId="12" borderId="1" xfId="4" applyFont="1" applyFill="1" applyBorder="1" applyAlignment="1">
      <alignment horizontal="left" vertical="center" wrapText="1"/>
    </xf>
    <xf numFmtId="49" fontId="7" fillId="0" borderId="1" xfId="4" applyNumberFormat="1" applyFont="1" applyBorder="1" applyAlignment="1">
      <alignment horizontal="center"/>
    </xf>
    <xf numFmtId="0" fontId="22" fillId="12" borderId="1" xfId="4" applyFont="1" applyFill="1" applyBorder="1" applyAlignment="1">
      <alignment horizontal="left" vertical="center" wrapText="1"/>
    </xf>
    <xf numFmtId="16" fontId="7" fillId="0" borderId="1" xfId="4" applyNumberFormat="1" applyFont="1" applyBorder="1"/>
    <xf numFmtId="0" fontId="20" fillId="3" borderId="1" xfId="4" applyFont="1" applyFill="1" applyBorder="1" applyAlignment="1">
      <alignment horizontal="left" vertical="center" wrapText="1"/>
    </xf>
    <xf numFmtId="0" fontId="1" fillId="3" borderId="1" xfId="4" applyFill="1" applyBorder="1"/>
    <xf numFmtId="16" fontId="1" fillId="3" borderId="1" xfId="4" applyNumberFormat="1" applyFill="1" applyBorder="1"/>
    <xf numFmtId="14" fontId="7" fillId="0" borderId="1" xfId="4" applyNumberFormat="1" applyFont="1" applyBorder="1"/>
    <xf numFmtId="49" fontId="1" fillId="0" borderId="1" xfId="4" applyNumberFormat="1" applyBorder="1" applyAlignment="1">
      <alignment horizontal="center" wrapText="1"/>
    </xf>
    <xf numFmtId="49" fontId="1" fillId="0" borderId="0" xfId="4" applyNumberFormat="1" applyAlignment="1">
      <alignment horizontal="center" wrapText="1"/>
    </xf>
    <xf numFmtId="14" fontId="1" fillId="0" borderId="0" xfId="4" applyNumberFormat="1"/>
    <xf numFmtId="1" fontId="1" fillId="0" borderId="0" xfId="4" applyNumberFormat="1"/>
  </cellXfs>
  <cellStyles count="5">
    <cellStyle name="Normal" xfId="0" builtinId="0"/>
    <cellStyle name="Normal 2" xfId="1" xr:uid="{735A66E1-4956-42BD-A90D-935C174EA701}"/>
    <cellStyle name="Normal 2 2" xfId="2" xr:uid="{9AF38239-F5EF-47DA-94A6-EA937CDB954A}"/>
    <cellStyle name="Normal 2 2 2" xfId="4" xr:uid="{D5FEB616-2A2F-4928-A3A5-3E9232C6414B}"/>
    <cellStyle name="Normal 3" xfId="3" xr:uid="{8867C928-8992-4940-9453-82F9000CA1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%20Santander%20al%2019Ago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DER 01Ene - 23Ago"/>
      <sheetName val="Master TR"/>
      <sheetName val="Plan Cuentas"/>
      <sheetName val="Maestro CC"/>
    </sheetNames>
    <sheetDataSet>
      <sheetData sheetId="0">
        <row r="578">
          <cell r="A578">
            <v>44342</v>
          </cell>
        </row>
        <row r="579">
          <cell r="A579">
            <v>44342</v>
          </cell>
        </row>
        <row r="580">
          <cell r="A580">
            <v>44342</v>
          </cell>
        </row>
        <row r="581">
          <cell r="A581">
            <v>44342</v>
          </cell>
        </row>
        <row r="591">
          <cell r="A591">
            <v>44347</v>
          </cell>
        </row>
        <row r="592">
          <cell r="A592">
            <v>44347</v>
          </cell>
        </row>
        <row r="593">
          <cell r="A593">
            <v>44347</v>
          </cell>
        </row>
        <row r="594">
          <cell r="A594">
            <v>44347</v>
          </cell>
        </row>
        <row r="595">
          <cell r="A595">
            <v>44347</v>
          </cell>
        </row>
        <row r="596">
          <cell r="A596">
            <v>44347</v>
          </cell>
        </row>
        <row r="597">
          <cell r="A597">
            <v>44347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284A6-E853-49C3-97A8-276A72BFE3EC}">
  <dimension ref="A1:H505"/>
  <sheetViews>
    <sheetView tabSelected="1" workbookViewId="0">
      <pane ySplit="1" topLeftCell="A290" activePane="bottomLeft" state="frozen"/>
      <selection pane="bottomLeft" activeCell="L301" sqref="L301"/>
    </sheetView>
  </sheetViews>
  <sheetFormatPr defaultColWidth="10.85546875" defaultRowHeight="14.45"/>
  <cols>
    <col min="1" max="1" width="6.7109375" style="133" customWidth="1"/>
    <col min="2" max="2" width="15.85546875" style="115" customWidth="1"/>
    <col min="3" max="3" width="12.28515625" style="115" customWidth="1"/>
    <col min="4" max="4" width="11.7109375" style="134" customWidth="1"/>
    <col min="5" max="5" width="9.85546875" style="135" customWidth="1"/>
    <col min="6" max="6" width="7.42578125" style="115" bestFit="1" customWidth="1"/>
    <col min="7" max="7" width="10.42578125" style="115" customWidth="1"/>
    <col min="8" max="8" width="20.140625" style="115" customWidth="1"/>
    <col min="9" max="16384" width="10.85546875" style="115"/>
  </cols>
  <sheetData>
    <row r="1" spans="1:8">
      <c r="A1" s="111" t="s">
        <v>0</v>
      </c>
      <c r="B1" s="112" t="s">
        <v>1</v>
      </c>
      <c r="C1" s="112" t="s">
        <v>2</v>
      </c>
      <c r="D1" s="113" t="s">
        <v>3</v>
      </c>
      <c r="E1" s="114" t="s">
        <v>4</v>
      </c>
      <c r="F1" s="112" t="s">
        <v>5</v>
      </c>
      <c r="G1" s="112" t="s">
        <v>6</v>
      </c>
      <c r="H1" s="112" t="s">
        <v>7</v>
      </c>
    </row>
    <row r="2" spans="1:8">
      <c r="A2" s="116" t="s">
        <v>8</v>
      </c>
      <c r="B2" s="117" t="s">
        <v>9</v>
      </c>
      <c r="C2" s="117" t="s">
        <v>10</v>
      </c>
      <c r="D2" s="118">
        <v>44222</v>
      </c>
      <c r="E2" s="119">
        <v>8330</v>
      </c>
      <c r="F2" s="117"/>
      <c r="G2" s="117"/>
      <c r="H2" s="120" t="s">
        <v>11</v>
      </c>
    </row>
    <row r="3" spans="1:8">
      <c r="A3" s="116" t="s">
        <v>8</v>
      </c>
      <c r="B3" s="117" t="s">
        <v>9</v>
      </c>
      <c r="C3" s="117" t="s">
        <v>10</v>
      </c>
      <c r="D3" s="118">
        <v>44222</v>
      </c>
      <c r="E3" s="119">
        <v>8330</v>
      </c>
      <c r="F3" s="117"/>
      <c r="G3" s="117"/>
      <c r="H3" s="120" t="s">
        <v>11</v>
      </c>
    </row>
    <row r="4" spans="1:8">
      <c r="A4" s="116" t="s">
        <v>8</v>
      </c>
      <c r="B4" s="117" t="s">
        <v>9</v>
      </c>
      <c r="C4" s="121" t="s">
        <v>10</v>
      </c>
      <c r="D4" s="118">
        <v>44225</v>
      </c>
      <c r="E4" s="119">
        <v>8330</v>
      </c>
      <c r="F4" s="117"/>
      <c r="G4" s="117"/>
      <c r="H4" s="120" t="s">
        <v>11</v>
      </c>
    </row>
    <row r="5" spans="1:8">
      <c r="A5" s="116" t="s">
        <v>8</v>
      </c>
      <c r="B5" s="117" t="s">
        <v>9</v>
      </c>
      <c r="C5" s="121" t="s">
        <v>10</v>
      </c>
      <c r="D5" s="118">
        <v>44225</v>
      </c>
      <c r="E5" s="119">
        <v>8330</v>
      </c>
      <c r="F5" s="117"/>
      <c r="G5" s="117"/>
      <c r="H5" s="120" t="s">
        <v>11</v>
      </c>
    </row>
    <row r="6" spans="1:8">
      <c r="A6" s="116" t="s">
        <v>8</v>
      </c>
      <c r="B6" s="117" t="s">
        <v>9</v>
      </c>
      <c r="C6" s="121" t="s">
        <v>10</v>
      </c>
      <c r="D6" s="118">
        <v>44232</v>
      </c>
      <c r="E6" s="119">
        <v>8330</v>
      </c>
      <c r="F6" s="117"/>
      <c r="G6" s="117"/>
      <c r="H6" s="120" t="s">
        <v>11</v>
      </c>
    </row>
    <row r="7" spans="1:8">
      <c r="A7" s="116" t="s">
        <v>8</v>
      </c>
      <c r="B7" s="117" t="s">
        <v>9</v>
      </c>
      <c r="C7" s="121" t="s">
        <v>10</v>
      </c>
      <c r="D7" s="118">
        <v>44232</v>
      </c>
      <c r="E7" s="119">
        <v>8330</v>
      </c>
      <c r="F7" s="117"/>
      <c r="G7" s="117"/>
      <c r="H7" s="120" t="s">
        <v>11</v>
      </c>
    </row>
    <row r="8" spans="1:8">
      <c r="A8" s="116" t="s">
        <v>8</v>
      </c>
      <c r="B8" s="117" t="s">
        <v>9</v>
      </c>
      <c r="C8" s="121" t="s">
        <v>10</v>
      </c>
      <c r="D8" s="118">
        <v>44265</v>
      </c>
      <c r="E8" s="119">
        <v>8330</v>
      </c>
      <c r="F8" s="122">
        <v>1740</v>
      </c>
      <c r="G8" s="123">
        <v>44245</v>
      </c>
      <c r="H8" s="120" t="s">
        <v>11</v>
      </c>
    </row>
    <row r="9" spans="1:8">
      <c r="A9" s="116" t="s">
        <v>8</v>
      </c>
      <c r="B9" s="117" t="s">
        <v>9</v>
      </c>
      <c r="C9" s="121" t="s">
        <v>10</v>
      </c>
      <c r="D9" s="118">
        <v>44265</v>
      </c>
      <c r="E9" s="119">
        <v>8330</v>
      </c>
      <c r="F9" s="122">
        <v>1793</v>
      </c>
      <c r="G9" s="123">
        <v>44245</v>
      </c>
      <c r="H9" s="120" t="s">
        <v>11</v>
      </c>
    </row>
    <row r="10" spans="1:8">
      <c r="A10" s="116" t="s">
        <v>8</v>
      </c>
      <c r="B10" s="117" t="s">
        <v>9</v>
      </c>
      <c r="C10" s="121" t="s">
        <v>10</v>
      </c>
      <c r="D10" s="118">
        <v>44295</v>
      </c>
      <c r="E10" s="119">
        <v>8330</v>
      </c>
      <c r="F10" s="117"/>
      <c r="G10" s="117"/>
      <c r="H10" s="120" t="s">
        <v>11</v>
      </c>
    </row>
    <row r="11" spans="1:8">
      <c r="A11" s="116" t="s">
        <v>8</v>
      </c>
      <c r="B11" s="117" t="s">
        <v>9</v>
      </c>
      <c r="C11" s="121" t="s">
        <v>10</v>
      </c>
      <c r="D11" s="118">
        <v>44295</v>
      </c>
      <c r="E11" s="119">
        <v>8330</v>
      </c>
      <c r="F11" s="117"/>
      <c r="G11" s="117"/>
      <c r="H11" s="120" t="s">
        <v>11</v>
      </c>
    </row>
    <row r="12" spans="1:8">
      <c r="A12" s="116" t="s">
        <v>8</v>
      </c>
      <c r="B12" s="124" t="s">
        <v>9</v>
      </c>
      <c r="C12" s="124" t="s">
        <v>10</v>
      </c>
      <c r="D12" s="118">
        <f>'[1]STDER 01Ene - 23Ago'!A581</f>
        <v>44342</v>
      </c>
      <c r="E12" s="119">
        <v>8330</v>
      </c>
      <c r="F12" s="122"/>
      <c r="G12" s="125"/>
      <c r="H12" s="120" t="s">
        <v>11</v>
      </c>
    </row>
    <row r="13" spans="1:8">
      <c r="A13" s="116" t="s">
        <v>8</v>
      </c>
      <c r="B13" s="117" t="s">
        <v>9</v>
      </c>
      <c r="C13" s="124" t="s">
        <v>10</v>
      </c>
      <c r="D13" s="118">
        <f>'[1]STDER 01Ene - 23Ago'!A580</f>
        <v>44342</v>
      </c>
      <c r="E13" s="119">
        <v>8330</v>
      </c>
      <c r="F13" s="122"/>
      <c r="G13" s="125"/>
      <c r="H13" s="120" t="s">
        <v>11</v>
      </c>
    </row>
    <row r="14" spans="1:8">
      <c r="A14" s="116" t="s">
        <v>8</v>
      </c>
      <c r="B14" s="117" t="s">
        <v>9</v>
      </c>
      <c r="C14" s="121" t="s">
        <v>10</v>
      </c>
      <c r="D14" s="118">
        <v>44363</v>
      </c>
      <c r="E14" s="119">
        <v>8330</v>
      </c>
      <c r="F14" s="117">
        <v>2187</v>
      </c>
      <c r="G14" s="117"/>
      <c r="H14" s="120" t="s">
        <v>11</v>
      </c>
    </row>
    <row r="15" spans="1:8">
      <c r="A15" s="116" t="s">
        <v>8</v>
      </c>
      <c r="B15" s="117" t="s">
        <v>9</v>
      </c>
      <c r="C15" s="121" t="s">
        <v>10</v>
      </c>
      <c r="D15" s="118">
        <v>44363</v>
      </c>
      <c r="E15" s="119">
        <v>8330</v>
      </c>
      <c r="F15" s="117">
        <v>2125</v>
      </c>
      <c r="G15" s="117"/>
      <c r="H15" s="120" t="s">
        <v>11</v>
      </c>
    </row>
    <row r="16" spans="1:8">
      <c r="A16" s="116" t="s">
        <v>8</v>
      </c>
      <c r="B16" s="117" t="s">
        <v>9</v>
      </c>
      <c r="C16" s="121" t="s">
        <v>10</v>
      </c>
      <c r="D16" s="118">
        <v>44386</v>
      </c>
      <c r="E16" s="119">
        <v>8330</v>
      </c>
      <c r="F16" s="117"/>
      <c r="G16" s="117"/>
      <c r="H16" s="120" t="s">
        <v>11</v>
      </c>
    </row>
    <row r="17" spans="1:8">
      <c r="A17" s="116" t="s">
        <v>8</v>
      </c>
      <c r="B17" s="117" t="s">
        <v>9</v>
      </c>
      <c r="C17" s="121" t="s">
        <v>10</v>
      </c>
      <c r="D17" s="118">
        <v>44386</v>
      </c>
      <c r="E17" s="119">
        <v>8330</v>
      </c>
      <c r="F17" s="117"/>
      <c r="G17" s="117"/>
      <c r="H17" s="120" t="s">
        <v>11</v>
      </c>
    </row>
    <row r="18" spans="1:8">
      <c r="A18" s="116" t="s">
        <v>8</v>
      </c>
      <c r="B18" s="120" t="s">
        <v>12</v>
      </c>
      <c r="C18" s="121" t="s">
        <v>13</v>
      </c>
      <c r="D18" s="118">
        <v>44207</v>
      </c>
      <c r="E18" s="119">
        <v>160000</v>
      </c>
      <c r="F18" s="117"/>
      <c r="G18" s="117"/>
      <c r="H18" s="120"/>
    </row>
    <row r="19" spans="1:8">
      <c r="A19" s="116" t="s">
        <v>8</v>
      </c>
      <c r="B19" s="120" t="s">
        <v>12</v>
      </c>
      <c r="C19" s="121" t="s">
        <v>13</v>
      </c>
      <c r="D19" s="118">
        <v>44239</v>
      </c>
      <c r="E19" s="119">
        <v>80000</v>
      </c>
      <c r="F19" s="117"/>
      <c r="G19" s="117"/>
      <c r="H19" s="120"/>
    </row>
    <row r="20" spans="1:8">
      <c r="A20" s="116" t="s">
        <v>8</v>
      </c>
      <c r="B20" s="120" t="s">
        <v>12</v>
      </c>
      <c r="C20" s="121" t="s">
        <v>13</v>
      </c>
      <c r="D20" s="118">
        <v>44292</v>
      </c>
      <c r="E20" s="119">
        <v>160000</v>
      </c>
      <c r="F20" s="117"/>
      <c r="G20" s="117"/>
      <c r="H20" s="117"/>
    </row>
    <row r="21" spans="1:8">
      <c r="A21" s="116" t="s">
        <v>8</v>
      </c>
      <c r="B21" s="120" t="s">
        <v>12</v>
      </c>
      <c r="C21" s="121" t="s">
        <v>13</v>
      </c>
      <c r="D21" s="118">
        <v>44326</v>
      </c>
      <c r="E21" s="119">
        <v>80000</v>
      </c>
      <c r="F21" s="117">
        <v>12938</v>
      </c>
      <c r="G21" s="117"/>
      <c r="H21" s="117"/>
    </row>
    <row r="22" spans="1:8" ht="26.1">
      <c r="A22" s="116" t="s">
        <v>8</v>
      </c>
      <c r="B22" s="117" t="s">
        <v>12</v>
      </c>
      <c r="C22" s="121" t="s">
        <v>13</v>
      </c>
      <c r="D22" s="118">
        <v>44350</v>
      </c>
      <c r="E22" s="119">
        <v>107116</v>
      </c>
      <c r="F22" s="117"/>
      <c r="G22" s="117"/>
      <c r="H22" s="120" t="s">
        <v>14</v>
      </c>
    </row>
    <row r="23" spans="1:8">
      <c r="A23" s="116" t="s">
        <v>8</v>
      </c>
      <c r="B23" s="117" t="s">
        <v>12</v>
      </c>
      <c r="C23" s="121" t="s">
        <v>13</v>
      </c>
      <c r="D23" s="118">
        <v>44357</v>
      </c>
      <c r="E23" s="119">
        <v>80000</v>
      </c>
      <c r="F23" s="117"/>
      <c r="G23" s="117"/>
      <c r="H23" s="120"/>
    </row>
    <row r="24" spans="1:8">
      <c r="A24" s="116" t="s">
        <v>8</v>
      </c>
      <c r="B24" s="120" t="s">
        <v>12</v>
      </c>
      <c r="C24" s="121" t="s">
        <v>13</v>
      </c>
      <c r="D24" s="118">
        <v>44386</v>
      </c>
      <c r="E24" s="119">
        <v>80000</v>
      </c>
      <c r="F24" s="117"/>
      <c r="G24" s="117"/>
      <c r="H24" s="120"/>
    </row>
    <row r="25" spans="1:8">
      <c r="A25" s="116" t="s">
        <v>8</v>
      </c>
      <c r="B25" s="120" t="s">
        <v>12</v>
      </c>
      <c r="C25" s="121" t="s">
        <v>13</v>
      </c>
      <c r="D25" s="118">
        <v>44420</v>
      </c>
      <c r="E25" s="119">
        <v>80000</v>
      </c>
      <c r="F25" s="117"/>
      <c r="G25" s="117"/>
      <c r="H25" s="120"/>
    </row>
    <row r="26" spans="1:8">
      <c r="A26" s="116" t="s">
        <v>8</v>
      </c>
      <c r="B26" s="120" t="s">
        <v>15</v>
      </c>
      <c r="C26" s="117" t="s">
        <v>16</v>
      </c>
      <c r="D26" s="118">
        <v>44207</v>
      </c>
      <c r="E26" s="119">
        <v>2404564</v>
      </c>
      <c r="F26" s="117"/>
      <c r="G26" s="117"/>
      <c r="H26" s="120"/>
    </row>
    <row r="27" spans="1:8">
      <c r="A27" s="116" t="s">
        <v>8</v>
      </c>
      <c r="B27" s="120" t="s">
        <v>15</v>
      </c>
      <c r="C27" s="117" t="s">
        <v>16</v>
      </c>
      <c r="D27" s="118">
        <v>44232</v>
      </c>
      <c r="E27" s="119">
        <v>2440010</v>
      </c>
      <c r="F27" s="117"/>
      <c r="G27" s="117"/>
      <c r="H27" s="120"/>
    </row>
    <row r="28" spans="1:8">
      <c r="A28" s="116" t="s">
        <v>8</v>
      </c>
      <c r="B28" s="120" t="s">
        <v>15</v>
      </c>
      <c r="C28" s="117" t="s">
        <v>16</v>
      </c>
      <c r="D28" s="118">
        <v>44265</v>
      </c>
      <c r="E28" s="119">
        <v>2483158</v>
      </c>
      <c r="F28" s="122">
        <v>7421</v>
      </c>
      <c r="G28" s="123">
        <v>44259</v>
      </c>
      <c r="H28" s="120"/>
    </row>
    <row r="29" spans="1:8">
      <c r="A29" s="116" t="s">
        <v>8</v>
      </c>
      <c r="B29" s="120" t="s">
        <v>15</v>
      </c>
      <c r="C29" s="117" t="s">
        <v>16</v>
      </c>
      <c r="D29" s="118">
        <v>44295</v>
      </c>
      <c r="E29" s="119">
        <v>2480164</v>
      </c>
      <c r="F29" s="117"/>
      <c r="G29" s="117"/>
      <c r="H29" s="117"/>
    </row>
    <row r="30" spans="1:8">
      <c r="A30" s="116" t="s">
        <v>8</v>
      </c>
      <c r="B30" s="120" t="s">
        <v>15</v>
      </c>
      <c r="C30" s="121" t="s">
        <v>16</v>
      </c>
      <c r="D30" s="118">
        <v>44326</v>
      </c>
      <c r="E30" s="119">
        <v>2514340</v>
      </c>
      <c r="F30" s="117"/>
      <c r="G30" s="117"/>
      <c r="H30" s="117"/>
    </row>
    <row r="31" spans="1:8">
      <c r="A31" s="116" t="s">
        <v>8</v>
      </c>
      <c r="B31" s="120" t="s">
        <v>15</v>
      </c>
      <c r="C31" s="121" t="s">
        <v>16</v>
      </c>
      <c r="D31" s="118">
        <v>44357</v>
      </c>
      <c r="E31" s="119">
        <v>2670778</v>
      </c>
      <c r="F31" s="117">
        <v>19</v>
      </c>
      <c r="G31" s="123">
        <v>44349</v>
      </c>
      <c r="H31" s="120"/>
    </row>
    <row r="32" spans="1:8">
      <c r="A32" s="116" t="s">
        <v>8</v>
      </c>
      <c r="B32" s="120" t="s">
        <v>15</v>
      </c>
      <c r="C32" s="121" t="s">
        <v>16</v>
      </c>
      <c r="D32" s="118">
        <v>44413</v>
      </c>
      <c r="E32" s="119">
        <v>2680381</v>
      </c>
      <c r="F32" s="117"/>
      <c r="G32" s="117"/>
      <c r="H32" s="120"/>
    </row>
    <row r="33" spans="1:8">
      <c r="A33" s="116" t="s">
        <v>8</v>
      </c>
      <c r="B33" s="120" t="s">
        <v>17</v>
      </c>
      <c r="C33" s="117" t="s">
        <v>16</v>
      </c>
      <c r="D33" s="118">
        <v>44222</v>
      </c>
      <c r="E33" s="119">
        <v>121460</v>
      </c>
      <c r="F33" s="117"/>
      <c r="G33" s="117"/>
      <c r="H33" s="120"/>
    </row>
    <row r="34" spans="1:8">
      <c r="A34" s="116" t="s">
        <v>8</v>
      </c>
      <c r="B34" s="120" t="s">
        <v>17</v>
      </c>
      <c r="C34" s="117" t="s">
        <v>16</v>
      </c>
      <c r="D34" s="118">
        <v>44225</v>
      </c>
      <c r="E34" s="119">
        <v>7530</v>
      </c>
      <c r="F34" s="117"/>
      <c r="G34" s="117"/>
      <c r="H34" s="120"/>
    </row>
    <row r="35" spans="1:8">
      <c r="A35" s="116" t="s">
        <v>8</v>
      </c>
      <c r="B35" s="120" t="s">
        <v>17</v>
      </c>
      <c r="C35" s="117" t="s">
        <v>16</v>
      </c>
      <c r="D35" s="118">
        <v>44244</v>
      </c>
      <c r="E35" s="119">
        <v>123267</v>
      </c>
      <c r="F35" s="117"/>
      <c r="G35" s="117"/>
      <c r="H35" s="120"/>
    </row>
    <row r="36" spans="1:8">
      <c r="A36" s="116" t="s">
        <v>8</v>
      </c>
      <c r="B36" s="120" t="s">
        <v>17</v>
      </c>
      <c r="C36" s="117" t="s">
        <v>16</v>
      </c>
      <c r="D36" s="118">
        <v>44256</v>
      </c>
      <c r="E36" s="119">
        <v>12676</v>
      </c>
      <c r="F36" s="117"/>
      <c r="G36" s="117"/>
      <c r="H36" s="120"/>
    </row>
    <row r="37" spans="1:8">
      <c r="A37" s="116" t="s">
        <v>8</v>
      </c>
      <c r="B37" s="120" t="s">
        <v>17</v>
      </c>
      <c r="C37" s="117" t="s">
        <v>16</v>
      </c>
      <c r="D37" s="118">
        <v>44273</v>
      </c>
      <c r="E37" s="119">
        <v>11506</v>
      </c>
      <c r="F37" s="117"/>
      <c r="G37" s="117"/>
      <c r="H37" s="120"/>
    </row>
    <row r="38" spans="1:8">
      <c r="A38" s="116" t="s">
        <v>8</v>
      </c>
      <c r="B38" s="120" t="s">
        <v>17</v>
      </c>
      <c r="C38" s="117" t="s">
        <v>16</v>
      </c>
      <c r="D38" s="118">
        <v>44273</v>
      </c>
      <c r="E38" s="119">
        <v>99085</v>
      </c>
      <c r="F38" s="117"/>
      <c r="G38" s="117"/>
      <c r="H38" s="120"/>
    </row>
    <row r="39" spans="1:8">
      <c r="A39" s="116" t="s">
        <v>8</v>
      </c>
      <c r="B39" s="120" t="s">
        <v>17</v>
      </c>
      <c r="C39" s="126" t="s">
        <v>16</v>
      </c>
      <c r="D39" s="118">
        <v>44295</v>
      </c>
      <c r="E39" s="119">
        <v>18126</v>
      </c>
      <c r="F39" s="117"/>
      <c r="G39" s="117"/>
      <c r="H39" s="117"/>
    </row>
    <row r="40" spans="1:8">
      <c r="A40" s="116" t="s">
        <v>8</v>
      </c>
      <c r="B40" s="120" t="s">
        <v>17</v>
      </c>
      <c r="C40" s="126" t="s">
        <v>16</v>
      </c>
      <c r="D40" s="118">
        <v>44313</v>
      </c>
      <c r="E40" s="119">
        <v>8081</v>
      </c>
      <c r="F40" s="117"/>
      <c r="G40" s="117"/>
      <c r="H40" s="120"/>
    </row>
    <row r="41" spans="1:8">
      <c r="A41" s="116" t="s">
        <v>8</v>
      </c>
      <c r="B41" s="120" t="s">
        <v>17</v>
      </c>
      <c r="C41" s="117" t="s">
        <v>16</v>
      </c>
      <c r="D41" s="118">
        <v>44336</v>
      </c>
      <c r="E41" s="119">
        <v>17968</v>
      </c>
      <c r="F41" s="122">
        <v>8849</v>
      </c>
      <c r="G41" s="122"/>
      <c r="H41" s="120"/>
    </row>
    <row r="42" spans="1:8">
      <c r="A42" s="116" t="s">
        <v>8</v>
      </c>
      <c r="B42" s="120" t="s">
        <v>17</v>
      </c>
      <c r="C42" s="124" t="s">
        <v>16</v>
      </c>
      <c r="D42" s="118">
        <v>44336</v>
      </c>
      <c r="E42" s="119">
        <v>97863</v>
      </c>
      <c r="F42" s="122">
        <v>9016</v>
      </c>
      <c r="G42" s="122"/>
      <c r="H42" s="120"/>
    </row>
    <row r="43" spans="1:8">
      <c r="A43" s="116" t="s">
        <v>8</v>
      </c>
      <c r="B43" s="120" t="s">
        <v>17</v>
      </c>
      <c r="C43" s="124" t="s">
        <v>16</v>
      </c>
      <c r="D43" s="118">
        <v>44386</v>
      </c>
      <c r="E43" s="119">
        <v>82165</v>
      </c>
      <c r="F43" s="117"/>
      <c r="G43" s="117"/>
      <c r="H43" s="120"/>
    </row>
    <row r="44" spans="1:8">
      <c r="A44" s="116" t="s">
        <v>8</v>
      </c>
      <c r="B44" s="120" t="s">
        <v>17</v>
      </c>
      <c r="C44" s="124" t="s">
        <v>16</v>
      </c>
      <c r="D44" s="118">
        <v>44386</v>
      </c>
      <c r="E44" s="119">
        <v>29044</v>
      </c>
      <c r="F44" s="117"/>
      <c r="G44" s="117"/>
      <c r="H44" s="120"/>
    </row>
    <row r="45" spans="1:8" ht="26.1">
      <c r="A45" s="116" t="s">
        <v>18</v>
      </c>
      <c r="B45" s="117" t="s">
        <v>19</v>
      </c>
      <c r="C45" s="121" t="s">
        <v>20</v>
      </c>
      <c r="D45" s="118">
        <v>44330</v>
      </c>
      <c r="E45" s="119">
        <v>65057</v>
      </c>
      <c r="F45" s="117">
        <v>65057</v>
      </c>
      <c r="G45" s="117"/>
      <c r="H45" s="120" t="s">
        <v>21</v>
      </c>
    </row>
    <row r="46" spans="1:8" ht="26.1">
      <c r="A46" s="116" t="s">
        <v>18</v>
      </c>
      <c r="B46" s="117" t="s">
        <v>19</v>
      </c>
      <c r="C46" s="121" t="s">
        <v>20</v>
      </c>
      <c r="D46" s="118">
        <v>44336</v>
      </c>
      <c r="E46" s="119">
        <v>14973</v>
      </c>
      <c r="F46" s="122"/>
      <c r="G46" s="122"/>
      <c r="H46" s="120" t="s">
        <v>22</v>
      </c>
    </row>
    <row r="47" spans="1:8">
      <c r="A47" s="116" t="s">
        <v>18</v>
      </c>
      <c r="B47" s="122" t="s">
        <v>23</v>
      </c>
      <c r="C47" s="126" t="s">
        <v>24</v>
      </c>
      <c r="D47" s="118">
        <v>44279</v>
      </c>
      <c r="E47" s="119">
        <v>22610</v>
      </c>
      <c r="F47" s="122">
        <v>27822</v>
      </c>
      <c r="G47" s="123">
        <v>44228</v>
      </c>
      <c r="H47" s="120" t="s">
        <v>25</v>
      </c>
    </row>
    <row r="48" spans="1:8" ht="38.450000000000003">
      <c r="A48" s="116" t="s">
        <v>18</v>
      </c>
      <c r="B48" s="120" t="s">
        <v>26</v>
      </c>
      <c r="C48" s="126" t="s">
        <v>27</v>
      </c>
      <c r="D48" s="118">
        <v>44263</v>
      </c>
      <c r="E48" s="119">
        <v>152320</v>
      </c>
      <c r="F48" s="122"/>
      <c r="G48" s="122"/>
      <c r="H48" s="120" t="s">
        <v>28</v>
      </c>
    </row>
    <row r="49" spans="1:8" ht="38.450000000000003">
      <c r="A49" s="116" t="s">
        <v>18</v>
      </c>
      <c r="B49" s="120" t="s">
        <v>26</v>
      </c>
      <c r="C49" s="126" t="s">
        <v>27</v>
      </c>
      <c r="D49" s="118">
        <v>44272</v>
      </c>
      <c r="E49" s="119">
        <v>96390</v>
      </c>
      <c r="F49" s="122">
        <v>12476</v>
      </c>
      <c r="G49" s="122"/>
      <c r="H49" s="120" t="s">
        <v>28</v>
      </c>
    </row>
    <row r="50" spans="1:8" ht="38.450000000000003">
      <c r="A50" s="116" t="s">
        <v>18</v>
      </c>
      <c r="B50" s="120" t="s">
        <v>26</v>
      </c>
      <c r="C50" s="121" t="s">
        <v>29</v>
      </c>
      <c r="D50" s="118">
        <v>44330</v>
      </c>
      <c r="E50" s="119">
        <v>51170</v>
      </c>
      <c r="F50" s="117"/>
      <c r="G50" s="117"/>
      <c r="H50" s="120" t="s">
        <v>30</v>
      </c>
    </row>
    <row r="51" spans="1:8">
      <c r="A51" s="116" t="s">
        <v>18</v>
      </c>
      <c r="B51" s="120" t="s">
        <v>31</v>
      </c>
      <c r="C51" s="121" t="s">
        <v>32</v>
      </c>
      <c r="D51" s="118">
        <v>44314</v>
      </c>
      <c r="E51" s="119">
        <v>34998</v>
      </c>
      <c r="F51" s="117"/>
      <c r="G51" s="117"/>
      <c r="H51" s="120" t="s">
        <v>33</v>
      </c>
    </row>
    <row r="52" spans="1:8">
      <c r="A52" s="116" t="s">
        <v>18</v>
      </c>
      <c r="B52" s="120" t="s">
        <v>31</v>
      </c>
      <c r="C52" s="121" t="s">
        <v>32</v>
      </c>
      <c r="D52" s="118">
        <v>44326</v>
      </c>
      <c r="E52" s="119">
        <v>53550</v>
      </c>
      <c r="F52" s="117">
        <v>289</v>
      </c>
      <c r="G52" s="117"/>
      <c r="H52" s="120" t="s">
        <v>33</v>
      </c>
    </row>
    <row r="53" spans="1:8" ht="15.6" customHeight="1">
      <c r="A53" s="116" t="s">
        <v>18</v>
      </c>
      <c r="B53" s="120" t="s">
        <v>31</v>
      </c>
      <c r="C53" s="121" t="s">
        <v>32</v>
      </c>
      <c r="D53" s="118">
        <v>44398</v>
      </c>
      <c r="E53" s="119">
        <v>81323</v>
      </c>
      <c r="F53" s="117"/>
      <c r="G53" s="117"/>
      <c r="H53" s="120" t="s">
        <v>33</v>
      </c>
    </row>
    <row r="54" spans="1:8">
      <c r="A54" s="116" t="s">
        <v>18</v>
      </c>
      <c r="B54" s="120" t="s">
        <v>34</v>
      </c>
      <c r="C54" s="121" t="s">
        <v>35</v>
      </c>
      <c r="D54" s="118">
        <v>44207</v>
      </c>
      <c r="E54" s="119">
        <v>106517</v>
      </c>
      <c r="F54" s="117"/>
      <c r="G54" s="117"/>
      <c r="H54" s="120"/>
    </row>
    <row r="55" spans="1:8">
      <c r="A55" s="116" t="s">
        <v>18</v>
      </c>
      <c r="B55" s="120" t="s">
        <v>34</v>
      </c>
      <c r="C55" s="121" t="s">
        <v>35</v>
      </c>
      <c r="D55" s="118">
        <v>44222</v>
      </c>
      <c r="E55" s="119">
        <v>34324</v>
      </c>
      <c r="F55" s="117"/>
      <c r="G55" s="117"/>
      <c r="H55" s="120"/>
    </row>
    <row r="56" spans="1:8">
      <c r="A56" s="116" t="s">
        <v>18</v>
      </c>
      <c r="B56" s="120" t="s">
        <v>34</v>
      </c>
      <c r="C56" s="121" t="s">
        <v>35</v>
      </c>
      <c r="D56" s="118">
        <v>44225</v>
      </c>
      <c r="E56" s="119">
        <v>34234</v>
      </c>
      <c r="F56" s="117"/>
      <c r="G56" s="117"/>
      <c r="H56" s="120"/>
    </row>
    <row r="57" spans="1:8">
      <c r="A57" s="116" t="s">
        <v>18</v>
      </c>
      <c r="B57" s="120" t="s">
        <v>34</v>
      </c>
      <c r="C57" s="121" t="s">
        <v>35</v>
      </c>
      <c r="D57" s="118">
        <v>44232</v>
      </c>
      <c r="E57" s="119">
        <v>77913</v>
      </c>
      <c r="F57" s="117"/>
      <c r="G57" s="117"/>
      <c r="H57" s="120"/>
    </row>
    <row r="58" spans="1:8">
      <c r="A58" s="116" t="s">
        <v>18</v>
      </c>
      <c r="B58" s="120" t="s">
        <v>34</v>
      </c>
      <c r="C58" s="121" t="s">
        <v>35</v>
      </c>
      <c r="D58" s="118">
        <v>44295</v>
      </c>
      <c r="E58" s="119">
        <v>95914</v>
      </c>
      <c r="F58" s="117"/>
      <c r="G58" s="117"/>
      <c r="H58" s="120"/>
    </row>
    <row r="59" spans="1:8">
      <c r="A59" s="116" t="s">
        <v>18</v>
      </c>
      <c r="B59" s="120" t="s">
        <v>34</v>
      </c>
      <c r="C59" s="121" t="s">
        <v>35</v>
      </c>
      <c r="D59" s="118">
        <v>44326</v>
      </c>
      <c r="E59" s="119">
        <v>91202</v>
      </c>
      <c r="F59" s="117">
        <v>374</v>
      </c>
      <c r="G59" s="117"/>
      <c r="H59" s="120"/>
    </row>
    <row r="60" spans="1:8">
      <c r="A60" s="116" t="s">
        <v>18</v>
      </c>
      <c r="B60" s="117" t="s">
        <v>34</v>
      </c>
      <c r="C60" s="121" t="s">
        <v>35</v>
      </c>
      <c r="D60" s="118">
        <v>44350</v>
      </c>
      <c r="E60" s="119">
        <v>66259</v>
      </c>
      <c r="F60" s="117"/>
      <c r="G60" s="117"/>
      <c r="H60" s="120"/>
    </row>
    <row r="61" spans="1:8">
      <c r="A61" s="116" t="s">
        <v>18</v>
      </c>
      <c r="B61" s="117" t="s">
        <v>34</v>
      </c>
      <c r="C61" s="121" t="s">
        <v>35</v>
      </c>
      <c r="D61" s="118">
        <v>44386</v>
      </c>
      <c r="E61" s="119">
        <v>170456</v>
      </c>
      <c r="F61" s="117"/>
      <c r="G61" s="117"/>
      <c r="H61" s="120"/>
    </row>
    <row r="62" spans="1:8">
      <c r="A62" s="116" t="s">
        <v>18</v>
      </c>
      <c r="B62" s="117" t="s">
        <v>34</v>
      </c>
      <c r="C62" s="121" t="s">
        <v>35</v>
      </c>
      <c r="D62" s="118">
        <v>44417</v>
      </c>
      <c r="E62" s="119">
        <v>156176</v>
      </c>
      <c r="F62" s="117"/>
      <c r="G62" s="117"/>
      <c r="H62" s="120"/>
    </row>
    <row r="63" spans="1:8">
      <c r="A63" s="116" t="s">
        <v>36</v>
      </c>
      <c r="B63" s="122" t="s">
        <v>37</v>
      </c>
      <c r="C63" s="121" t="s">
        <v>38</v>
      </c>
      <c r="D63" s="118">
        <v>44210</v>
      </c>
      <c r="E63" s="119">
        <v>100000</v>
      </c>
      <c r="F63" s="117"/>
      <c r="G63" s="117"/>
      <c r="H63" s="120" t="s">
        <v>39</v>
      </c>
    </row>
    <row r="64" spans="1:8">
      <c r="A64" s="116" t="s">
        <v>36</v>
      </c>
      <c r="B64" s="122" t="s">
        <v>37</v>
      </c>
      <c r="C64" s="121" t="s">
        <v>38</v>
      </c>
      <c r="D64" s="118">
        <v>44239</v>
      </c>
      <c r="E64" s="119">
        <v>100000</v>
      </c>
      <c r="F64" s="117"/>
      <c r="G64" s="117"/>
      <c r="H64" s="120" t="s">
        <v>39</v>
      </c>
    </row>
    <row r="65" spans="1:8">
      <c r="A65" s="116" t="s">
        <v>36</v>
      </c>
      <c r="B65" s="122" t="s">
        <v>37</v>
      </c>
      <c r="C65" s="121" t="s">
        <v>38</v>
      </c>
      <c r="D65" s="118">
        <v>44244</v>
      </c>
      <c r="E65" s="119">
        <v>120000</v>
      </c>
      <c r="F65" s="117"/>
      <c r="G65" s="117"/>
      <c r="H65" s="120" t="s">
        <v>39</v>
      </c>
    </row>
    <row r="66" spans="1:8">
      <c r="A66" s="116" t="s">
        <v>36</v>
      </c>
      <c r="B66" s="122" t="s">
        <v>37</v>
      </c>
      <c r="C66" s="121" t="s">
        <v>38</v>
      </c>
      <c r="D66" s="118">
        <v>44263</v>
      </c>
      <c r="E66" s="119">
        <v>250000</v>
      </c>
      <c r="F66" s="122"/>
      <c r="G66" s="122"/>
      <c r="H66" s="120" t="s">
        <v>39</v>
      </c>
    </row>
    <row r="67" spans="1:8">
      <c r="A67" s="116" t="s">
        <v>36</v>
      </c>
      <c r="B67" s="122" t="s">
        <v>37</v>
      </c>
      <c r="C67" s="121" t="s">
        <v>38</v>
      </c>
      <c r="D67" s="118">
        <v>44286</v>
      </c>
      <c r="E67" s="119">
        <v>100001</v>
      </c>
      <c r="F67" s="122"/>
      <c r="G67" s="122"/>
      <c r="H67" s="120" t="s">
        <v>39</v>
      </c>
    </row>
    <row r="68" spans="1:8" ht="26.1">
      <c r="A68" s="116" t="s">
        <v>36</v>
      </c>
      <c r="B68" s="120" t="s">
        <v>37</v>
      </c>
      <c r="C68" s="121" t="s">
        <v>38</v>
      </c>
      <c r="D68" s="118">
        <v>44286</v>
      </c>
      <c r="E68" s="119">
        <v>113700</v>
      </c>
      <c r="F68" s="117"/>
      <c r="G68" s="117"/>
      <c r="H68" s="120" t="s">
        <v>40</v>
      </c>
    </row>
    <row r="69" spans="1:8">
      <c r="A69" s="116" t="s">
        <v>36</v>
      </c>
      <c r="B69" s="120" t="s">
        <v>37</v>
      </c>
      <c r="C69" s="121" t="s">
        <v>38</v>
      </c>
      <c r="D69" s="118">
        <v>44314</v>
      </c>
      <c r="E69" s="119">
        <v>100001</v>
      </c>
      <c r="F69" s="117"/>
      <c r="G69" s="117"/>
      <c r="H69" s="120" t="s">
        <v>41</v>
      </c>
    </row>
    <row r="70" spans="1:8">
      <c r="A70" s="116" t="s">
        <v>36</v>
      </c>
      <c r="B70" s="117" t="s">
        <v>37</v>
      </c>
      <c r="C70" s="121" t="s">
        <v>38</v>
      </c>
      <c r="D70" s="118">
        <v>44330</v>
      </c>
      <c r="E70" s="119">
        <v>100000</v>
      </c>
      <c r="F70" s="117"/>
      <c r="G70" s="117"/>
      <c r="H70" s="120"/>
    </row>
    <row r="71" spans="1:8">
      <c r="A71" s="116" t="s">
        <v>36</v>
      </c>
      <c r="B71" s="124" t="s">
        <v>37</v>
      </c>
      <c r="C71" s="124" t="s">
        <v>38</v>
      </c>
      <c r="D71" s="118">
        <f>'[1]STDER 01Ene - 23Ago'!A597</f>
        <v>44347</v>
      </c>
      <c r="E71" s="119">
        <v>100001</v>
      </c>
      <c r="F71" s="122"/>
      <c r="G71" s="125"/>
      <c r="H71" s="120" t="s">
        <v>42</v>
      </c>
    </row>
    <row r="72" spans="1:8" ht="26.1">
      <c r="A72" s="116" t="s">
        <v>43</v>
      </c>
      <c r="B72" s="120" t="s">
        <v>44</v>
      </c>
      <c r="C72" s="121" t="s">
        <v>45</v>
      </c>
      <c r="D72" s="118">
        <v>44391</v>
      </c>
      <c r="E72" s="119">
        <v>579998</v>
      </c>
      <c r="F72" s="117"/>
      <c r="G72" s="117"/>
      <c r="H72" s="120"/>
    </row>
    <row r="73" spans="1:8">
      <c r="A73" s="116" t="s">
        <v>43</v>
      </c>
      <c r="B73" s="120" t="s">
        <v>46</v>
      </c>
      <c r="C73" s="121" t="s">
        <v>47</v>
      </c>
      <c r="D73" s="118">
        <v>44418</v>
      </c>
      <c r="E73" s="119">
        <v>17731</v>
      </c>
      <c r="F73" s="117"/>
      <c r="G73" s="117"/>
      <c r="H73" s="120" t="s">
        <v>48</v>
      </c>
    </row>
    <row r="74" spans="1:8">
      <c r="A74" s="116" t="s">
        <v>43</v>
      </c>
      <c r="B74" s="117" t="s">
        <v>49</v>
      </c>
      <c r="C74" s="121" t="s">
        <v>50</v>
      </c>
      <c r="D74" s="118">
        <v>44363</v>
      </c>
      <c r="E74" s="119">
        <v>57500</v>
      </c>
      <c r="F74" s="117"/>
      <c r="G74" s="117"/>
      <c r="H74" s="120"/>
    </row>
    <row r="75" spans="1:8" ht="26.1">
      <c r="A75" s="116" t="s">
        <v>43</v>
      </c>
      <c r="B75" s="120" t="s">
        <v>51</v>
      </c>
      <c r="C75" s="121" t="s">
        <v>52</v>
      </c>
      <c r="D75" s="118">
        <v>44242</v>
      </c>
      <c r="E75" s="119">
        <v>300000</v>
      </c>
      <c r="F75" s="117"/>
      <c r="G75" s="117"/>
      <c r="H75" s="120" t="s">
        <v>53</v>
      </c>
    </row>
    <row r="76" spans="1:8">
      <c r="A76" s="116" t="s">
        <v>43</v>
      </c>
      <c r="B76" s="120" t="s">
        <v>51</v>
      </c>
      <c r="C76" s="121" t="s">
        <v>52</v>
      </c>
      <c r="D76" s="118">
        <v>44259</v>
      </c>
      <c r="E76" s="119">
        <v>350000</v>
      </c>
      <c r="F76" s="122" t="s">
        <v>54</v>
      </c>
      <c r="G76" s="122"/>
      <c r="H76" s="120" t="s">
        <v>55</v>
      </c>
    </row>
    <row r="77" spans="1:8" ht="26.1">
      <c r="A77" s="116" t="s">
        <v>43</v>
      </c>
      <c r="B77" s="120" t="s">
        <v>56</v>
      </c>
      <c r="C77" s="121" t="s">
        <v>57</v>
      </c>
      <c r="D77" s="118">
        <v>44399</v>
      </c>
      <c r="E77" s="119">
        <v>22670</v>
      </c>
      <c r="F77" s="117"/>
      <c r="G77" s="117"/>
      <c r="H77" s="120" t="s">
        <v>58</v>
      </c>
    </row>
    <row r="78" spans="1:8" ht="26.1">
      <c r="A78" s="116" t="s">
        <v>43</v>
      </c>
      <c r="B78" s="120" t="s">
        <v>59</v>
      </c>
      <c r="C78" s="117"/>
      <c r="D78" s="118">
        <v>44221</v>
      </c>
      <c r="E78" s="119">
        <v>95000</v>
      </c>
      <c r="F78" s="117"/>
      <c r="G78" s="117"/>
      <c r="H78" s="120"/>
    </row>
    <row r="79" spans="1:8">
      <c r="A79" s="116" t="s">
        <v>43</v>
      </c>
      <c r="B79" s="117" t="s">
        <v>59</v>
      </c>
      <c r="C79" s="121" t="s">
        <v>60</v>
      </c>
      <c r="D79" s="118">
        <v>44350</v>
      </c>
      <c r="E79" s="119">
        <v>190000</v>
      </c>
      <c r="F79" s="117"/>
      <c r="G79" s="117"/>
      <c r="H79" s="120"/>
    </row>
    <row r="80" spans="1:8" ht="26.1">
      <c r="A80" s="116" t="s">
        <v>43</v>
      </c>
      <c r="B80" s="120" t="s">
        <v>61</v>
      </c>
      <c r="C80" s="121" t="s">
        <v>62</v>
      </c>
      <c r="D80" s="118">
        <v>44403</v>
      </c>
      <c r="E80" s="119">
        <v>75500</v>
      </c>
      <c r="F80" s="117"/>
      <c r="G80" s="117"/>
      <c r="H80" s="120" t="s">
        <v>63</v>
      </c>
    </row>
    <row r="81" spans="1:8" ht="38.450000000000003">
      <c r="A81" s="116" t="s">
        <v>43</v>
      </c>
      <c r="B81" s="120" t="s">
        <v>64</v>
      </c>
      <c r="C81" s="121" t="s">
        <v>65</v>
      </c>
      <c r="D81" s="118">
        <v>44413</v>
      </c>
      <c r="E81" s="119">
        <v>215800</v>
      </c>
      <c r="F81" s="117"/>
      <c r="G81" s="117"/>
      <c r="H81" s="120" t="s">
        <v>66</v>
      </c>
    </row>
    <row r="82" spans="1:8" ht="38.450000000000003">
      <c r="A82" s="116" t="s">
        <v>43</v>
      </c>
      <c r="B82" s="120" t="s">
        <v>64</v>
      </c>
      <c r="C82" s="121" t="s">
        <v>65</v>
      </c>
      <c r="D82" s="118">
        <v>44417</v>
      </c>
      <c r="E82" s="119">
        <v>41002</v>
      </c>
      <c r="F82" s="117"/>
      <c r="G82" s="117"/>
      <c r="H82" s="120" t="s">
        <v>67</v>
      </c>
    </row>
    <row r="83" spans="1:8">
      <c r="A83" s="116" t="s">
        <v>43</v>
      </c>
      <c r="B83" s="122" t="s">
        <v>68</v>
      </c>
      <c r="C83" s="121" t="s">
        <v>69</v>
      </c>
      <c r="D83" s="118">
        <v>44293</v>
      </c>
      <c r="E83" s="119">
        <v>335000</v>
      </c>
      <c r="F83" s="117"/>
      <c r="G83" s="117"/>
      <c r="H83" s="120" t="s">
        <v>70</v>
      </c>
    </row>
    <row r="84" spans="1:8" ht="26.1">
      <c r="A84" s="116" t="s">
        <v>43</v>
      </c>
      <c r="B84" s="120" t="s">
        <v>71</v>
      </c>
      <c r="C84" s="126" t="s">
        <v>72</v>
      </c>
      <c r="D84" s="118">
        <v>44216</v>
      </c>
      <c r="E84" s="119">
        <v>60000</v>
      </c>
      <c r="F84" s="117"/>
      <c r="G84" s="117"/>
      <c r="H84" s="120"/>
    </row>
    <row r="85" spans="1:8" ht="26.1">
      <c r="A85" s="116" t="s">
        <v>43</v>
      </c>
      <c r="B85" s="120" t="s">
        <v>71</v>
      </c>
      <c r="C85" s="126" t="s">
        <v>72</v>
      </c>
      <c r="D85" s="118">
        <v>44222</v>
      </c>
      <c r="E85" s="119">
        <v>60000</v>
      </c>
      <c r="F85" s="117"/>
      <c r="G85" s="117"/>
      <c r="H85" s="120"/>
    </row>
    <row r="86" spans="1:8" ht="26.1">
      <c r="A86" s="116" t="s">
        <v>43</v>
      </c>
      <c r="B86" s="120" t="s">
        <v>71</v>
      </c>
      <c r="C86" s="126" t="s">
        <v>72</v>
      </c>
      <c r="D86" s="118">
        <v>44271</v>
      </c>
      <c r="E86" s="119">
        <v>120000</v>
      </c>
      <c r="F86" s="122">
        <v>1382</v>
      </c>
      <c r="G86" s="122"/>
      <c r="H86" s="120"/>
    </row>
    <row r="87" spans="1:8" ht="26.1">
      <c r="A87" s="116" t="s">
        <v>43</v>
      </c>
      <c r="B87" s="120" t="s">
        <v>71</v>
      </c>
      <c r="C87" s="121" t="s">
        <v>72</v>
      </c>
      <c r="D87" s="118">
        <v>44315</v>
      </c>
      <c r="E87" s="119">
        <v>65000</v>
      </c>
      <c r="F87" s="117"/>
      <c r="G87" s="117"/>
      <c r="H87" s="120"/>
    </row>
    <row r="88" spans="1:8" ht="26.1">
      <c r="A88" s="116" t="s">
        <v>43</v>
      </c>
      <c r="B88" s="124" t="s">
        <v>73</v>
      </c>
      <c r="C88" s="124" t="s">
        <v>74</v>
      </c>
      <c r="D88" s="118">
        <v>44336</v>
      </c>
      <c r="E88" s="119">
        <v>90000</v>
      </c>
      <c r="F88" s="122"/>
      <c r="G88" s="122"/>
      <c r="H88" s="120" t="s">
        <v>75</v>
      </c>
    </row>
    <row r="89" spans="1:8" ht="26.1">
      <c r="A89" s="116" t="s">
        <v>43</v>
      </c>
      <c r="B89" s="120" t="s">
        <v>76</v>
      </c>
      <c r="C89" s="121" t="s">
        <v>77</v>
      </c>
      <c r="D89" s="118">
        <v>44391</v>
      </c>
      <c r="E89" s="119">
        <v>171000</v>
      </c>
      <c r="F89" s="117"/>
      <c r="G89" s="117"/>
      <c r="H89" s="120" t="s">
        <v>78</v>
      </c>
    </row>
    <row r="90" spans="1:8" ht="26.1">
      <c r="A90" s="116" t="s">
        <v>79</v>
      </c>
      <c r="B90" s="120" t="s">
        <v>80</v>
      </c>
      <c r="C90" s="121" t="s">
        <v>81</v>
      </c>
      <c r="D90" s="118">
        <v>44295</v>
      </c>
      <c r="E90" s="119">
        <v>172550</v>
      </c>
      <c r="F90" s="117"/>
      <c r="G90" s="117"/>
      <c r="H90" s="120"/>
    </row>
    <row r="91" spans="1:8" ht="26.1">
      <c r="A91" s="116" t="s">
        <v>79</v>
      </c>
      <c r="B91" s="121" t="s">
        <v>82</v>
      </c>
      <c r="C91" s="126" t="s">
        <v>83</v>
      </c>
      <c r="D91" s="118">
        <v>44299</v>
      </c>
      <c r="E91" s="119">
        <v>883000</v>
      </c>
      <c r="F91" s="117"/>
      <c r="G91" s="117"/>
      <c r="H91" s="120" t="s">
        <v>84</v>
      </c>
    </row>
    <row r="92" spans="1:8">
      <c r="A92" s="116" t="s">
        <v>79</v>
      </c>
      <c r="B92" s="117" t="s">
        <v>85</v>
      </c>
      <c r="C92" s="121" t="s">
        <v>86</v>
      </c>
      <c r="D92" s="118">
        <v>44326</v>
      </c>
      <c r="E92" s="119">
        <v>487000</v>
      </c>
      <c r="F92" s="117"/>
      <c r="G92" s="117"/>
      <c r="H92" s="120"/>
    </row>
    <row r="93" spans="1:8">
      <c r="A93" s="116" t="s">
        <v>79</v>
      </c>
      <c r="B93" s="117" t="s">
        <v>87</v>
      </c>
      <c r="C93" s="121" t="s">
        <v>88</v>
      </c>
      <c r="D93" s="118">
        <v>44350</v>
      </c>
      <c r="E93" s="119">
        <v>167000</v>
      </c>
      <c r="F93" s="117"/>
      <c r="G93" s="117"/>
      <c r="H93" s="120" t="s">
        <v>89</v>
      </c>
    </row>
    <row r="94" spans="1:8">
      <c r="A94" s="116" t="s">
        <v>79</v>
      </c>
      <c r="B94" s="117" t="s">
        <v>87</v>
      </c>
      <c r="C94" s="121" t="s">
        <v>88</v>
      </c>
      <c r="D94" s="118">
        <v>44390</v>
      </c>
      <c r="E94" s="119">
        <v>167000</v>
      </c>
      <c r="F94" s="117"/>
      <c r="G94" s="117"/>
      <c r="H94" s="120"/>
    </row>
    <row r="95" spans="1:8">
      <c r="A95" s="116" t="s">
        <v>79</v>
      </c>
      <c r="B95" s="117" t="s">
        <v>87</v>
      </c>
      <c r="C95" s="121" t="s">
        <v>88</v>
      </c>
      <c r="D95" s="118">
        <v>44413</v>
      </c>
      <c r="E95" s="119">
        <v>167000</v>
      </c>
      <c r="F95" s="117"/>
      <c r="G95" s="117"/>
      <c r="H95" s="120"/>
    </row>
    <row r="96" spans="1:8">
      <c r="A96" s="116" t="s">
        <v>79</v>
      </c>
      <c r="B96" s="117" t="s">
        <v>90</v>
      </c>
      <c r="C96" s="121" t="s">
        <v>91</v>
      </c>
      <c r="D96" s="118">
        <v>44363</v>
      </c>
      <c r="E96" s="119">
        <v>74000</v>
      </c>
      <c r="F96" s="117"/>
      <c r="G96" s="117"/>
      <c r="H96" s="120" t="s">
        <v>92</v>
      </c>
    </row>
    <row r="97" spans="1:8">
      <c r="A97" s="116" t="s">
        <v>79</v>
      </c>
      <c r="B97" s="120" t="s">
        <v>93</v>
      </c>
      <c r="C97" s="121" t="s">
        <v>91</v>
      </c>
      <c r="D97" s="118">
        <v>44306</v>
      </c>
      <c r="E97" s="119">
        <v>60000</v>
      </c>
      <c r="F97" s="117"/>
      <c r="G97" s="117"/>
      <c r="H97" s="120" t="s">
        <v>94</v>
      </c>
    </row>
    <row r="98" spans="1:8">
      <c r="A98" s="116" t="s">
        <v>79</v>
      </c>
      <c r="B98" s="120" t="s">
        <v>95</v>
      </c>
      <c r="C98" s="121" t="s">
        <v>91</v>
      </c>
      <c r="D98" s="118">
        <v>44313</v>
      </c>
      <c r="E98" s="119">
        <v>67000</v>
      </c>
      <c r="F98" s="117"/>
      <c r="G98" s="117"/>
      <c r="H98" s="120" t="s">
        <v>96</v>
      </c>
    </row>
    <row r="99" spans="1:8">
      <c r="A99" s="116" t="s">
        <v>79</v>
      </c>
      <c r="B99" s="117" t="s">
        <v>97</v>
      </c>
      <c r="C99" s="121" t="s">
        <v>98</v>
      </c>
      <c r="D99" s="118">
        <v>44369</v>
      </c>
      <c r="E99" s="119">
        <v>8400</v>
      </c>
      <c r="F99" s="117"/>
      <c r="G99" s="117"/>
      <c r="H99" s="120"/>
    </row>
    <row r="100" spans="1:8">
      <c r="A100" s="116" t="s">
        <v>79</v>
      </c>
      <c r="B100" s="117" t="s">
        <v>99</v>
      </c>
      <c r="C100" s="121" t="s">
        <v>100</v>
      </c>
      <c r="D100" s="118">
        <v>44330</v>
      </c>
      <c r="E100" s="119">
        <v>200000</v>
      </c>
      <c r="F100" s="117"/>
      <c r="G100" s="117"/>
      <c r="H100" s="120"/>
    </row>
    <row r="101" spans="1:8" ht="26.1">
      <c r="A101" s="116" t="s">
        <v>79</v>
      </c>
      <c r="B101" s="120" t="s">
        <v>101</v>
      </c>
      <c r="C101" s="117" t="s">
        <v>102</v>
      </c>
      <c r="D101" s="118">
        <v>44216</v>
      </c>
      <c r="E101" s="119">
        <v>355000</v>
      </c>
      <c r="F101" s="117"/>
      <c r="G101" s="117"/>
      <c r="H101" s="120"/>
    </row>
    <row r="102" spans="1:8" ht="26.1">
      <c r="A102" s="116" t="s">
        <v>79</v>
      </c>
      <c r="B102" s="120" t="s">
        <v>101</v>
      </c>
      <c r="C102" s="117" t="s">
        <v>102</v>
      </c>
      <c r="D102" s="118">
        <v>44225</v>
      </c>
      <c r="E102" s="119">
        <v>300000</v>
      </c>
      <c r="F102" s="117"/>
      <c r="G102" s="117"/>
      <c r="H102" s="120"/>
    </row>
    <row r="103" spans="1:8">
      <c r="A103" s="116" t="s">
        <v>103</v>
      </c>
      <c r="B103" s="120" t="s">
        <v>104</v>
      </c>
      <c r="C103" s="121" t="s">
        <v>105</v>
      </c>
      <c r="D103" s="118">
        <v>44400</v>
      </c>
      <c r="E103" s="119">
        <v>198490</v>
      </c>
      <c r="F103" s="117"/>
      <c r="G103" s="117"/>
      <c r="H103" s="120"/>
    </row>
    <row r="104" spans="1:8">
      <c r="A104" s="116" t="s">
        <v>103</v>
      </c>
      <c r="B104" s="120" t="s">
        <v>104</v>
      </c>
      <c r="C104" s="121"/>
      <c r="D104" s="118">
        <v>44428</v>
      </c>
      <c r="E104" s="119" t="s">
        <v>106</v>
      </c>
      <c r="F104" s="117"/>
      <c r="G104" s="117"/>
      <c r="H104" s="120"/>
    </row>
    <row r="105" spans="1:8">
      <c r="A105" s="116" t="s">
        <v>103</v>
      </c>
      <c r="B105" s="117" t="s">
        <v>107</v>
      </c>
      <c r="C105" s="121" t="s">
        <v>108</v>
      </c>
      <c r="D105" s="118">
        <v>44330</v>
      </c>
      <c r="E105" s="119">
        <v>118272</v>
      </c>
      <c r="F105" s="117">
        <v>262</v>
      </c>
      <c r="G105" s="117"/>
      <c r="H105" s="120"/>
    </row>
    <row r="106" spans="1:8">
      <c r="A106" s="116" t="s">
        <v>103</v>
      </c>
      <c r="B106" s="117" t="s">
        <v>107</v>
      </c>
      <c r="C106" s="121" t="s">
        <v>108</v>
      </c>
      <c r="D106" s="118">
        <v>44364</v>
      </c>
      <c r="E106" s="119">
        <v>371240</v>
      </c>
      <c r="F106" s="117">
        <v>273</v>
      </c>
      <c r="G106" s="117"/>
      <c r="H106" s="120" t="s">
        <v>109</v>
      </c>
    </row>
    <row r="107" spans="1:8">
      <c r="A107" s="116" t="s">
        <v>103</v>
      </c>
      <c r="B107" s="120" t="s">
        <v>110</v>
      </c>
      <c r="C107" s="121" t="s">
        <v>111</v>
      </c>
      <c r="D107" s="118">
        <v>44207</v>
      </c>
      <c r="E107" s="119">
        <v>1244827</v>
      </c>
      <c r="F107" s="117"/>
      <c r="G107" s="117"/>
      <c r="H107" s="120"/>
    </row>
    <row r="108" spans="1:8">
      <c r="A108" s="116" t="s">
        <v>103</v>
      </c>
      <c r="B108" s="120" t="s">
        <v>110</v>
      </c>
      <c r="C108" s="121" t="s">
        <v>111</v>
      </c>
      <c r="D108" s="118">
        <v>44207</v>
      </c>
      <c r="E108" s="119">
        <v>1361891</v>
      </c>
      <c r="F108" s="117"/>
      <c r="G108" s="117"/>
      <c r="H108" s="120"/>
    </row>
    <row r="109" spans="1:8">
      <c r="A109" s="116" t="s">
        <v>103</v>
      </c>
      <c r="B109" s="120" t="s">
        <v>110</v>
      </c>
      <c r="C109" s="121" t="s">
        <v>111</v>
      </c>
      <c r="D109" s="118">
        <v>44237</v>
      </c>
      <c r="E109" s="119">
        <v>1055248</v>
      </c>
      <c r="F109" s="117"/>
      <c r="G109" s="117"/>
      <c r="H109" s="120"/>
    </row>
    <row r="110" spans="1:8">
      <c r="A110" s="116" t="s">
        <v>103</v>
      </c>
      <c r="B110" s="120" t="s">
        <v>110</v>
      </c>
      <c r="C110" s="121" t="s">
        <v>111</v>
      </c>
      <c r="D110" s="118">
        <v>44237</v>
      </c>
      <c r="E110" s="119">
        <v>1022929</v>
      </c>
      <c r="F110" s="117"/>
      <c r="G110" s="117"/>
      <c r="H110" s="120"/>
    </row>
    <row r="111" spans="1:8">
      <c r="A111" s="116" t="s">
        <v>103</v>
      </c>
      <c r="B111" s="120" t="s">
        <v>110</v>
      </c>
      <c r="C111" s="121" t="s">
        <v>111</v>
      </c>
      <c r="D111" s="118">
        <v>44244</v>
      </c>
      <c r="E111" s="119">
        <v>180000</v>
      </c>
      <c r="F111" s="117"/>
      <c r="G111" s="117"/>
      <c r="H111" s="120" t="s">
        <v>112</v>
      </c>
    </row>
    <row r="112" spans="1:8">
      <c r="A112" s="116" t="s">
        <v>103</v>
      </c>
      <c r="B112" s="120" t="s">
        <v>110</v>
      </c>
      <c r="C112" s="121" t="s">
        <v>111</v>
      </c>
      <c r="D112" s="118">
        <v>44256</v>
      </c>
      <c r="E112" s="119">
        <v>88680</v>
      </c>
      <c r="F112" s="117"/>
      <c r="G112" s="117"/>
      <c r="H112" s="120" t="s">
        <v>113</v>
      </c>
    </row>
    <row r="113" spans="1:8">
      <c r="A113" s="116" t="s">
        <v>103</v>
      </c>
      <c r="B113" s="120" t="s">
        <v>110</v>
      </c>
      <c r="C113" s="121" t="s">
        <v>111</v>
      </c>
      <c r="D113" s="118">
        <v>44271</v>
      </c>
      <c r="E113" s="119">
        <v>1275043</v>
      </c>
      <c r="F113" s="122">
        <v>98</v>
      </c>
      <c r="G113" s="123">
        <v>44255</v>
      </c>
      <c r="H113" s="120"/>
    </row>
    <row r="114" spans="1:8">
      <c r="A114" s="116" t="s">
        <v>103</v>
      </c>
      <c r="B114" s="120" t="s">
        <v>110</v>
      </c>
      <c r="C114" s="121" t="s">
        <v>111</v>
      </c>
      <c r="D114" s="118">
        <v>44271</v>
      </c>
      <c r="E114" s="119">
        <v>943202</v>
      </c>
      <c r="F114" s="122"/>
      <c r="G114" s="122"/>
      <c r="H114" s="120"/>
    </row>
    <row r="115" spans="1:8">
      <c r="A115" s="116" t="s">
        <v>103</v>
      </c>
      <c r="B115" s="120" t="s">
        <v>110</v>
      </c>
      <c r="C115" s="121" t="s">
        <v>111</v>
      </c>
      <c r="D115" s="118">
        <v>44295</v>
      </c>
      <c r="E115" s="119">
        <v>1570739</v>
      </c>
      <c r="F115" s="117"/>
      <c r="G115" s="117"/>
      <c r="H115" s="120"/>
    </row>
    <row r="116" spans="1:8">
      <c r="A116" s="116" t="s">
        <v>103</v>
      </c>
      <c r="B116" s="120" t="s">
        <v>110</v>
      </c>
      <c r="C116" s="121" t="s">
        <v>111</v>
      </c>
      <c r="D116" s="118">
        <v>44295</v>
      </c>
      <c r="E116" s="119">
        <v>1093297</v>
      </c>
      <c r="F116" s="117"/>
      <c r="G116" s="117"/>
      <c r="H116" s="120"/>
    </row>
    <row r="117" spans="1:8">
      <c r="A117" s="116" t="s">
        <v>103</v>
      </c>
      <c r="B117" s="117" t="s">
        <v>110</v>
      </c>
      <c r="C117" s="121" t="s">
        <v>111</v>
      </c>
      <c r="D117" s="118">
        <v>44326</v>
      </c>
      <c r="E117" s="119">
        <v>1574105</v>
      </c>
      <c r="F117" s="117"/>
      <c r="G117" s="117"/>
      <c r="H117" s="120"/>
    </row>
    <row r="118" spans="1:8">
      <c r="A118" s="116" t="s">
        <v>103</v>
      </c>
      <c r="B118" s="117" t="s">
        <v>110</v>
      </c>
      <c r="C118" s="121" t="s">
        <v>111</v>
      </c>
      <c r="D118" s="118">
        <v>44326</v>
      </c>
      <c r="E118" s="119">
        <v>1577751</v>
      </c>
      <c r="F118" s="117"/>
      <c r="G118" s="117"/>
      <c r="H118" s="120"/>
    </row>
    <row r="119" spans="1:8">
      <c r="A119" s="116" t="s">
        <v>103</v>
      </c>
      <c r="B119" s="117" t="s">
        <v>110</v>
      </c>
      <c r="C119" s="121" t="s">
        <v>111</v>
      </c>
      <c r="D119" s="118">
        <v>44363</v>
      </c>
      <c r="E119" s="119">
        <v>838837</v>
      </c>
      <c r="F119" s="117">
        <v>119</v>
      </c>
      <c r="G119" s="117"/>
      <c r="H119" s="120" t="s">
        <v>114</v>
      </c>
    </row>
    <row r="120" spans="1:8">
      <c r="A120" s="116" t="s">
        <v>103</v>
      </c>
      <c r="B120" s="117" t="s">
        <v>110</v>
      </c>
      <c r="C120" s="121" t="s">
        <v>111</v>
      </c>
      <c r="D120" s="118">
        <v>44363</v>
      </c>
      <c r="E120" s="119">
        <v>1064444</v>
      </c>
      <c r="F120" s="117">
        <v>101</v>
      </c>
      <c r="G120" s="117"/>
      <c r="H120" s="120"/>
    </row>
    <row r="121" spans="1:8">
      <c r="A121" s="116" t="s">
        <v>103</v>
      </c>
      <c r="B121" s="117" t="s">
        <v>110</v>
      </c>
      <c r="C121" s="121" t="s">
        <v>111</v>
      </c>
      <c r="D121" s="118">
        <v>44386</v>
      </c>
      <c r="E121" s="119">
        <v>1651305</v>
      </c>
      <c r="F121" s="117"/>
      <c r="G121" s="117"/>
      <c r="H121" s="120"/>
    </row>
    <row r="122" spans="1:8">
      <c r="A122" s="116" t="s">
        <v>103</v>
      </c>
      <c r="B122" s="120" t="s">
        <v>110</v>
      </c>
      <c r="C122" s="121" t="s">
        <v>111</v>
      </c>
      <c r="D122" s="118">
        <v>44386</v>
      </c>
      <c r="E122" s="119">
        <v>1278919</v>
      </c>
      <c r="F122" s="117"/>
      <c r="G122" s="117"/>
      <c r="H122" s="120"/>
    </row>
    <row r="123" spans="1:8">
      <c r="A123" s="116" t="s">
        <v>103</v>
      </c>
      <c r="B123" s="120" t="s">
        <v>110</v>
      </c>
      <c r="C123" s="121" t="s">
        <v>111</v>
      </c>
      <c r="D123" s="118">
        <v>44418</v>
      </c>
      <c r="E123" s="119">
        <v>1276226</v>
      </c>
      <c r="F123" s="117"/>
      <c r="G123" s="117"/>
      <c r="H123" s="120"/>
    </row>
    <row r="124" spans="1:8">
      <c r="A124" s="116" t="s">
        <v>103</v>
      </c>
      <c r="B124" s="120" t="s">
        <v>110</v>
      </c>
      <c r="C124" s="121" t="s">
        <v>111</v>
      </c>
      <c r="D124" s="118">
        <v>44418</v>
      </c>
      <c r="E124" s="119">
        <v>1957098</v>
      </c>
      <c r="F124" s="117"/>
      <c r="G124" s="117"/>
      <c r="H124" s="120"/>
    </row>
    <row r="125" spans="1:8">
      <c r="A125" s="116" t="s">
        <v>103</v>
      </c>
      <c r="B125" s="120" t="s">
        <v>115</v>
      </c>
      <c r="C125" s="121" t="s">
        <v>116</v>
      </c>
      <c r="D125" s="118">
        <v>44425</v>
      </c>
      <c r="E125" s="119">
        <v>163889</v>
      </c>
      <c r="F125" s="117">
        <v>30</v>
      </c>
      <c r="G125" s="117"/>
      <c r="H125" s="120"/>
    </row>
    <row r="126" spans="1:8">
      <c r="A126" s="116" t="s">
        <v>103</v>
      </c>
      <c r="B126" s="120" t="s">
        <v>117</v>
      </c>
      <c r="C126" s="121" t="s">
        <v>118</v>
      </c>
      <c r="D126" s="118">
        <v>44208</v>
      </c>
      <c r="E126" s="119">
        <v>319888</v>
      </c>
      <c r="F126" s="117"/>
      <c r="G126" s="117"/>
      <c r="H126" s="120"/>
    </row>
    <row r="127" spans="1:8">
      <c r="A127" s="116" t="s">
        <v>103</v>
      </c>
      <c r="B127" s="120" t="s">
        <v>117</v>
      </c>
      <c r="C127" s="121" t="s">
        <v>118</v>
      </c>
      <c r="D127" s="118">
        <v>44239</v>
      </c>
      <c r="E127" s="119">
        <v>41683</v>
      </c>
      <c r="F127" s="117"/>
      <c r="G127" s="117"/>
      <c r="H127" s="120"/>
    </row>
    <row r="128" spans="1:8">
      <c r="A128" s="116" t="s">
        <v>103</v>
      </c>
      <c r="B128" s="120" t="s">
        <v>119</v>
      </c>
      <c r="C128" s="121" t="s">
        <v>120</v>
      </c>
      <c r="D128" s="118">
        <v>44216</v>
      </c>
      <c r="E128" s="119">
        <v>718137</v>
      </c>
      <c r="F128" s="117"/>
      <c r="G128" s="117"/>
      <c r="H128" s="120"/>
    </row>
    <row r="129" spans="1:8">
      <c r="A129" s="116" t="s">
        <v>103</v>
      </c>
      <c r="B129" s="120" t="s">
        <v>119</v>
      </c>
      <c r="C129" s="121" t="s">
        <v>120</v>
      </c>
      <c r="D129" s="118">
        <v>44244</v>
      </c>
      <c r="E129" s="119">
        <v>843967</v>
      </c>
      <c r="F129" s="117"/>
      <c r="G129" s="117"/>
      <c r="H129" s="120"/>
    </row>
    <row r="130" spans="1:8">
      <c r="A130" s="116" t="s">
        <v>103</v>
      </c>
      <c r="B130" s="120" t="s">
        <v>119</v>
      </c>
      <c r="C130" s="121" t="s">
        <v>120</v>
      </c>
      <c r="D130" s="118">
        <v>44271</v>
      </c>
      <c r="E130" s="119">
        <v>513999</v>
      </c>
      <c r="F130" s="122">
        <v>7</v>
      </c>
      <c r="G130" s="122"/>
      <c r="H130" s="120"/>
    </row>
    <row r="131" spans="1:8">
      <c r="A131" s="116" t="s">
        <v>103</v>
      </c>
      <c r="B131" s="120" t="s">
        <v>119</v>
      </c>
      <c r="C131" s="121" t="s">
        <v>120</v>
      </c>
      <c r="D131" s="118">
        <v>44300</v>
      </c>
      <c r="E131" s="119">
        <v>762394</v>
      </c>
      <c r="F131" s="117">
        <v>8</v>
      </c>
      <c r="G131" s="117"/>
      <c r="H131" s="120"/>
    </row>
    <row r="132" spans="1:8">
      <c r="A132" s="116" t="s">
        <v>103</v>
      </c>
      <c r="B132" s="120" t="s">
        <v>119</v>
      </c>
      <c r="C132" s="121" t="s">
        <v>120</v>
      </c>
      <c r="D132" s="118">
        <v>44330</v>
      </c>
      <c r="E132" s="119">
        <v>302657</v>
      </c>
      <c r="F132" s="117">
        <v>9</v>
      </c>
      <c r="G132" s="117"/>
      <c r="H132" s="120"/>
    </row>
    <row r="133" spans="1:8">
      <c r="A133" s="116" t="s">
        <v>103</v>
      </c>
      <c r="B133" s="120" t="s">
        <v>119</v>
      </c>
      <c r="C133" s="121" t="s">
        <v>120</v>
      </c>
      <c r="D133" s="118">
        <v>44330</v>
      </c>
      <c r="E133" s="119">
        <v>16448</v>
      </c>
      <c r="F133" s="117"/>
      <c r="G133" s="117"/>
      <c r="H133" s="120"/>
    </row>
    <row r="134" spans="1:8">
      <c r="A134" s="116" t="s">
        <v>103</v>
      </c>
      <c r="B134" s="120" t="s">
        <v>121</v>
      </c>
      <c r="C134" s="121" t="s">
        <v>122</v>
      </c>
      <c r="D134" s="118">
        <v>44210</v>
      </c>
      <c r="E134" s="119">
        <v>1077903</v>
      </c>
      <c r="F134" s="117"/>
      <c r="G134" s="117"/>
      <c r="H134" s="120"/>
    </row>
    <row r="135" spans="1:8">
      <c r="A135" s="116" t="s">
        <v>103</v>
      </c>
      <c r="B135" s="120" t="s">
        <v>121</v>
      </c>
      <c r="C135" s="121" t="s">
        <v>122</v>
      </c>
      <c r="D135" s="118">
        <v>44239</v>
      </c>
      <c r="E135" s="119">
        <v>1474550</v>
      </c>
      <c r="F135" s="117"/>
      <c r="G135" s="117"/>
      <c r="H135" s="120"/>
    </row>
    <row r="136" spans="1:8">
      <c r="A136" s="116" t="s">
        <v>103</v>
      </c>
      <c r="B136" s="120" t="s">
        <v>121</v>
      </c>
      <c r="C136" s="121" t="s">
        <v>122</v>
      </c>
      <c r="D136" s="118">
        <v>44271</v>
      </c>
      <c r="E136" s="119">
        <v>1212470</v>
      </c>
      <c r="F136" s="122">
        <v>13</v>
      </c>
      <c r="G136" s="122"/>
      <c r="H136" s="120"/>
    </row>
    <row r="137" spans="1:8">
      <c r="A137" s="116" t="s">
        <v>103</v>
      </c>
      <c r="B137" s="117" t="s">
        <v>121</v>
      </c>
      <c r="C137" s="121" t="s">
        <v>122</v>
      </c>
      <c r="D137" s="118">
        <v>44330</v>
      </c>
      <c r="E137" s="119">
        <v>864064</v>
      </c>
      <c r="F137" s="117">
        <v>15</v>
      </c>
      <c r="G137" s="117"/>
      <c r="H137" s="120"/>
    </row>
    <row r="138" spans="1:8">
      <c r="A138" s="116" t="s">
        <v>103</v>
      </c>
      <c r="B138" s="120" t="s">
        <v>121</v>
      </c>
      <c r="C138" s="121" t="s">
        <v>122</v>
      </c>
      <c r="D138" s="118">
        <v>44397</v>
      </c>
      <c r="E138" s="119">
        <v>340166</v>
      </c>
      <c r="F138" s="117">
        <v>17</v>
      </c>
      <c r="G138" s="117"/>
      <c r="H138" s="120"/>
    </row>
    <row r="139" spans="1:8">
      <c r="A139" s="116" t="s">
        <v>103</v>
      </c>
      <c r="B139" s="117" t="s">
        <v>123</v>
      </c>
      <c r="C139" s="121" t="s">
        <v>124</v>
      </c>
      <c r="D139" s="118">
        <v>44365</v>
      </c>
      <c r="E139" s="119">
        <v>416010</v>
      </c>
      <c r="F139" s="117"/>
      <c r="G139" s="117"/>
      <c r="H139" s="120"/>
    </row>
    <row r="140" spans="1:8">
      <c r="A140" s="116" t="s">
        <v>103</v>
      </c>
      <c r="B140" s="117" t="s">
        <v>123</v>
      </c>
      <c r="C140" s="121" t="s">
        <v>124</v>
      </c>
      <c r="D140" s="118">
        <v>44365</v>
      </c>
      <c r="E140" s="119">
        <v>61950</v>
      </c>
      <c r="F140" s="117"/>
      <c r="G140" s="117"/>
      <c r="H140" s="120"/>
    </row>
    <row r="141" spans="1:8">
      <c r="A141" s="116" t="s">
        <v>103</v>
      </c>
      <c r="B141" s="117" t="s">
        <v>123</v>
      </c>
      <c r="C141" s="121" t="s">
        <v>124</v>
      </c>
      <c r="D141" s="118">
        <v>44365</v>
      </c>
      <c r="E141" s="119">
        <v>497722</v>
      </c>
      <c r="F141" s="117"/>
      <c r="G141" s="117"/>
      <c r="H141" s="120"/>
    </row>
    <row r="142" spans="1:8">
      <c r="A142" s="116" t="s">
        <v>103</v>
      </c>
      <c r="B142" s="120" t="s">
        <v>125</v>
      </c>
      <c r="C142" s="117"/>
      <c r="D142" s="118">
        <v>44210</v>
      </c>
      <c r="E142" s="119">
        <v>380001</v>
      </c>
      <c r="F142" s="117"/>
      <c r="G142" s="117"/>
      <c r="H142" s="120"/>
    </row>
    <row r="143" spans="1:8" ht="51">
      <c r="A143" s="116" t="s">
        <v>103</v>
      </c>
      <c r="B143" s="120" t="s">
        <v>126</v>
      </c>
      <c r="C143" s="121" t="s">
        <v>127</v>
      </c>
      <c r="D143" s="118">
        <v>44249</v>
      </c>
      <c r="E143" s="119">
        <v>2729308</v>
      </c>
      <c r="F143" s="117"/>
      <c r="G143" s="117"/>
      <c r="H143" s="120" t="s">
        <v>128</v>
      </c>
    </row>
    <row r="144" spans="1:8">
      <c r="A144" s="116" t="s">
        <v>103</v>
      </c>
      <c r="B144" s="120" t="s">
        <v>126</v>
      </c>
      <c r="C144" s="121" t="s">
        <v>127</v>
      </c>
      <c r="D144" s="118">
        <v>44271</v>
      </c>
      <c r="E144" s="119">
        <v>4957980</v>
      </c>
      <c r="F144" s="122">
        <v>35</v>
      </c>
      <c r="G144" s="123">
        <v>44263</v>
      </c>
      <c r="H144" s="120"/>
    </row>
    <row r="145" spans="1:8">
      <c r="A145" s="116" t="s">
        <v>103</v>
      </c>
      <c r="B145" s="120" t="s">
        <v>126</v>
      </c>
      <c r="C145" s="121" t="s">
        <v>127</v>
      </c>
      <c r="D145" s="118">
        <v>44293</v>
      </c>
      <c r="E145" s="119">
        <v>3337638</v>
      </c>
      <c r="F145" s="117">
        <v>36</v>
      </c>
      <c r="G145" s="127">
        <v>44292</v>
      </c>
      <c r="H145" s="120"/>
    </row>
    <row r="146" spans="1:8">
      <c r="A146" s="116" t="s">
        <v>103</v>
      </c>
      <c r="B146" s="117" t="s">
        <v>126</v>
      </c>
      <c r="C146" s="121" t="s">
        <v>127</v>
      </c>
      <c r="D146" s="118">
        <v>44326</v>
      </c>
      <c r="E146" s="119">
        <v>3614462</v>
      </c>
      <c r="F146" s="117">
        <v>37</v>
      </c>
      <c r="G146" s="127">
        <v>44323</v>
      </c>
      <c r="H146" s="120"/>
    </row>
    <row r="147" spans="1:8">
      <c r="A147" s="116" t="s">
        <v>103</v>
      </c>
      <c r="B147" s="117" t="s">
        <v>126</v>
      </c>
      <c r="C147" s="121" t="s">
        <v>127</v>
      </c>
      <c r="D147" s="118">
        <v>44363</v>
      </c>
      <c r="E147" s="119">
        <v>3964200</v>
      </c>
      <c r="F147" s="117">
        <v>18</v>
      </c>
      <c r="G147" s="117"/>
      <c r="H147" s="120"/>
    </row>
    <row r="148" spans="1:8">
      <c r="A148" s="116" t="s">
        <v>103</v>
      </c>
      <c r="B148" s="117" t="s">
        <v>126</v>
      </c>
      <c r="C148" s="121" t="s">
        <v>127</v>
      </c>
      <c r="D148" s="118">
        <v>44397</v>
      </c>
      <c r="E148" s="119">
        <v>4204800</v>
      </c>
      <c r="F148" s="117"/>
      <c r="G148" s="117"/>
      <c r="H148" s="120"/>
    </row>
    <row r="149" spans="1:8">
      <c r="A149" s="116" t="s">
        <v>103</v>
      </c>
      <c r="B149" s="120" t="s">
        <v>126</v>
      </c>
      <c r="C149" s="121"/>
      <c r="D149" s="118">
        <v>44428</v>
      </c>
      <c r="E149" s="119" t="s">
        <v>129</v>
      </c>
      <c r="F149" s="117"/>
      <c r="G149" s="117"/>
      <c r="H149" s="120"/>
    </row>
    <row r="150" spans="1:8">
      <c r="A150" s="116" t="s">
        <v>103</v>
      </c>
      <c r="B150" s="120" t="s">
        <v>130</v>
      </c>
      <c r="C150" s="121" t="s">
        <v>131</v>
      </c>
      <c r="D150" s="118">
        <v>44210</v>
      </c>
      <c r="E150" s="119">
        <v>388928</v>
      </c>
      <c r="F150" s="117"/>
      <c r="G150" s="117"/>
      <c r="H150" s="120"/>
    </row>
    <row r="151" spans="1:8">
      <c r="A151" s="116" t="s">
        <v>103</v>
      </c>
      <c r="B151" s="120" t="s">
        <v>130</v>
      </c>
      <c r="C151" s="121" t="s">
        <v>131</v>
      </c>
      <c r="D151" s="118">
        <v>44306</v>
      </c>
      <c r="E151" s="119">
        <v>265500</v>
      </c>
      <c r="F151" s="117"/>
      <c r="G151" s="117"/>
      <c r="H151" s="120"/>
    </row>
    <row r="152" spans="1:8">
      <c r="A152" s="116" t="s">
        <v>103</v>
      </c>
      <c r="B152" s="120" t="s">
        <v>132</v>
      </c>
      <c r="C152" s="121" t="s">
        <v>133</v>
      </c>
      <c r="D152" s="118">
        <v>44386</v>
      </c>
      <c r="E152" s="119">
        <v>276886</v>
      </c>
      <c r="F152" s="117"/>
      <c r="G152" s="117"/>
      <c r="H152" s="120"/>
    </row>
    <row r="153" spans="1:8">
      <c r="A153" s="116" t="s">
        <v>103</v>
      </c>
      <c r="B153" s="117" t="s">
        <v>134</v>
      </c>
      <c r="C153" s="121" t="s">
        <v>135</v>
      </c>
      <c r="D153" s="118">
        <v>44363</v>
      </c>
      <c r="E153" s="119">
        <v>889000</v>
      </c>
      <c r="F153" s="117">
        <v>20</v>
      </c>
      <c r="G153" s="117"/>
      <c r="H153" s="120"/>
    </row>
    <row r="154" spans="1:8" ht="26.1">
      <c r="A154" s="116" t="s">
        <v>103</v>
      </c>
      <c r="B154" s="120" t="s">
        <v>136</v>
      </c>
      <c r="C154" s="121" t="s">
        <v>135</v>
      </c>
      <c r="D154" s="118">
        <v>44216</v>
      </c>
      <c r="E154" s="119">
        <v>471555</v>
      </c>
      <c r="F154" s="117"/>
      <c r="G154" s="117"/>
      <c r="H154" s="120" t="s">
        <v>137</v>
      </c>
    </row>
    <row r="155" spans="1:8" ht="26.1">
      <c r="A155" s="116" t="s">
        <v>103</v>
      </c>
      <c r="B155" s="120" t="s">
        <v>136</v>
      </c>
      <c r="C155" s="121" t="s">
        <v>135</v>
      </c>
      <c r="D155" s="118">
        <v>44239</v>
      </c>
      <c r="E155" s="119">
        <v>407755</v>
      </c>
      <c r="F155" s="117"/>
      <c r="G155" s="117"/>
      <c r="H155" s="120" t="s">
        <v>137</v>
      </c>
    </row>
    <row r="156" spans="1:8" ht="26.1">
      <c r="A156" s="116" t="s">
        <v>103</v>
      </c>
      <c r="B156" s="120" t="s">
        <v>136</v>
      </c>
      <c r="C156" s="121" t="s">
        <v>135</v>
      </c>
      <c r="D156" s="118">
        <v>44284</v>
      </c>
      <c r="E156" s="119">
        <v>495476</v>
      </c>
      <c r="F156" s="122"/>
      <c r="G156" s="122"/>
      <c r="H156" s="120" t="s">
        <v>137</v>
      </c>
    </row>
    <row r="157" spans="1:8" ht="26.1">
      <c r="A157" s="116" t="s">
        <v>103</v>
      </c>
      <c r="B157" s="120" t="s">
        <v>136</v>
      </c>
      <c r="C157" s="121" t="s">
        <v>135</v>
      </c>
      <c r="D157" s="118">
        <v>44300</v>
      </c>
      <c r="E157" s="119">
        <v>588595</v>
      </c>
      <c r="F157" s="117">
        <v>14</v>
      </c>
      <c r="G157" s="117"/>
      <c r="H157" s="120"/>
    </row>
    <row r="158" spans="1:8" ht="26.1">
      <c r="A158" s="116" t="s">
        <v>103</v>
      </c>
      <c r="B158" s="120" t="s">
        <v>136</v>
      </c>
      <c r="C158" s="121" t="s">
        <v>135</v>
      </c>
      <c r="D158" s="118">
        <v>44300</v>
      </c>
      <c r="E158" s="119">
        <v>741595</v>
      </c>
      <c r="F158" s="117">
        <v>14</v>
      </c>
      <c r="G158" s="117"/>
      <c r="H158" s="120"/>
    </row>
    <row r="159" spans="1:8" ht="26.1">
      <c r="A159" s="116" t="s">
        <v>103</v>
      </c>
      <c r="B159" s="120" t="s">
        <v>136</v>
      </c>
      <c r="C159" s="121" t="s">
        <v>135</v>
      </c>
      <c r="D159" s="118">
        <v>44330</v>
      </c>
      <c r="E159" s="119">
        <v>607622</v>
      </c>
      <c r="F159" s="117">
        <v>18</v>
      </c>
      <c r="G159" s="117"/>
      <c r="H159" s="120"/>
    </row>
    <row r="160" spans="1:8" ht="26.1">
      <c r="A160" s="116" t="s">
        <v>103</v>
      </c>
      <c r="B160" s="120" t="s">
        <v>136</v>
      </c>
      <c r="C160" s="121" t="s">
        <v>122</v>
      </c>
      <c r="D160" s="118">
        <v>44357</v>
      </c>
      <c r="E160" s="119">
        <v>1231287</v>
      </c>
      <c r="F160" s="117">
        <v>9262</v>
      </c>
      <c r="G160" s="117"/>
      <c r="H160" s="120"/>
    </row>
    <row r="161" spans="1:8" ht="26.1">
      <c r="A161" s="116" t="s">
        <v>103</v>
      </c>
      <c r="B161" s="120" t="s">
        <v>136</v>
      </c>
      <c r="C161" s="121" t="s">
        <v>135</v>
      </c>
      <c r="D161" s="118">
        <v>44397</v>
      </c>
      <c r="E161" s="119">
        <v>1220991</v>
      </c>
      <c r="F161" s="117"/>
      <c r="G161" s="117"/>
      <c r="H161" s="120"/>
    </row>
    <row r="162" spans="1:8">
      <c r="A162" s="116" t="s">
        <v>103</v>
      </c>
      <c r="B162" s="120" t="s">
        <v>138</v>
      </c>
      <c r="C162" s="121" t="s">
        <v>139</v>
      </c>
      <c r="D162" s="118">
        <v>44386</v>
      </c>
      <c r="E162" s="119">
        <v>263093</v>
      </c>
      <c r="F162" s="117"/>
      <c r="G162" s="117"/>
      <c r="H162" s="120"/>
    </row>
    <row r="163" spans="1:8">
      <c r="A163" s="116" t="s">
        <v>103</v>
      </c>
      <c r="B163" s="120" t="s">
        <v>138</v>
      </c>
      <c r="C163" s="121" t="s">
        <v>139</v>
      </c>
      <c r="D163" s="118">
        <v>44420</v>
      </c>
      <c r="E163" s="119">
        <v>1791090</v>
      </c>
      <c r="F163" s="117">
        <v>141</v>
      </c>
      <c r="G163" s="117"/>
      <c r="H163" s="120"/>
    </row>
    <row r="164" spans="1:8">
      <c r="A164" s="116" t="s">
        <v>103</v>
      </c>
      <c r="B164" s="120" t="s">
        <v>140</v>
      </c>
      <c r="C164" s="121" t="s">
        <v>141</v>
      </c>
      <c r="D164" s="118">
        <v>44216</v>
      </c>
      <c r="E164" s="119">
        <v>505155</v>
      </c>
      <c r="F164" s="117"/>
      <c r="G164" s="117"/>
      <c r="H164" s="120"/>
    </row>
    <row r="165" spans="1:8">
      <c r="A165" s="116" t="s">
        <v>103</v>
      </c>
      <c r="B165" s="120" t="s">
        <v>140</v>
      </c>
      <c r="C165" s="121" t="s">
        <v>141</v>
      </c>
      <c r="D165" s="118">
        <v>44232</v>
      </c>
      <c r="E165" s="119">
        <v>1057803</v>
      </c>
      <c r="F165" s="117"/>
      <c r="G165" s="117"/>
      <c r="H165" s="120"/>
    </row>
    <row r="166" spans="1:8">
      <c r="A166" s="116" t="s">
        <v>103</v>
      </c>
      <c r="B166" s="120" t="s">
        <v>140</v>
      </c>
      <c r="C166" s="126" t="s">
        <v>141</v>
      </c>
      <c r="D166" s="118">
        <v>44295</v>
      </c>
      <c r="E166" s="119">
        <v>997483</v>
      </c>
      <c r="F166" s="117"/>
      <c r="G166" s="117"/>
      <c r="H166" s="120"/>
    </row>
    <row r="167" spans="1:8">
      <c r="A167" s="116" t="s">
        <v>103</v>
      </c>
      <c r="B167" s="117" t="s">
        <v>140</v>
      </c>
      <c r="C167" s="121" t="s">
        <v>141</v>
      </c>
      <c r="D167" s="118">
        <v>44326</v>
      </c>
      <c r="E167" s="119">
        <v>409312</v>
      </c>
      <c r="F167" s="117">
        <v>186</v>
      </c>
      <c r="G167" s="117"/>
      <c r="H167" s="120"/>
    </row>
    <row r="168" spans="1:8">
      <c r="A168" s="116" t="s">
        <v>103</v>
      </c>
      <c r="B168" s="117" t="s">
        <v>140</v>
      </c>
      <c r="C168" s="121" t="s">
        <v>141</v>
      </c>
      <c r="D168" s="118">
        <v>44357</v>
      </c>
      <c r="E168" s="119">
        <v>940755</v>
      </c>
      <c r="F168" s="117">
        <v>181</v>
      </c>
      <c r="G168" s="117"/>
      <c r="H168" s="120"/>
    </row>
    <row r="169" spans="1:8">
      <c r="A169" s="116" t="s">
        <v>103</v>
      </c>
      <c r="B169" s="117" t="s">
        <v>140</v>
      </c>
      <c r="C169" s="121" t="s">
        <v>141</v>
      </c>
      <c r="D169" s="118">
        <v>44386</v>
      </c>
      <c r="E169" s="119">
        <v>314175</v>
      </c>
      <c r="F169" s="117"/>
      <c r="G169" s="117"/>
      <c r="H169" s="120"/>
    </row>
    <row r="170" spans="1:8">
      <c r="A170" s="116" t="s">
        <v>103</v>
      </c>
      <c r="B170" s="117" t="s">
        <v>140</v>
      </c>
      <c r="C170" s="121" t="s">
        <v>141</v>
      </c>
      <c r="D170" s="118">
        <v>44413</v>
      </c>
      <c r="E170" s="119">
        <v>1878855</v>
      </c>
      <c r="F170" s="117"/>
      <c r="G170" s="117"/>
      <c r="H170" s="120"/>
    </row>
    <row r="171" spans="1:8" ht="26.1">
      <c r="A171" s="116" t="s">
        <v>103</v>
      </c>
      <c r="B171" s="120" t="s">
        <v>142</v>
      </c>
      <c r="C171" s="121"/>
      <c r="D171" s="118">
        <v>44428</v>
      </c>
      <c r="E171" s="119" t="s">
        <v>143</v>
      </c>
      <c r="F171" s="117"/>
      <c r="G171" s="117"/>
      <c r="H171" s="120"/>
    </row>
    <row r="172" spans="1:8">
      <c r="A172" s="116" t="s">
        <v>103</v>
      </c>
      <c r="B172" s="120" t="s">
        <v>144</v>
      </c>
      <c r="C172" s="121" t="s">
        <v>145</v>
      </c>
      <c r="D172" s="118">
        <v>44210</v>
      </c>
      <c r="E172" s="119">
        <v>712474</v>
      </c>
      <c r="F172" s="117"/>
      <c r="G172" s="117"/>
      <c r="H172" s="120"/>
    </row>
    <row r="173" spans="1:8">
      <c r="A173" s="116" t="s">
        <v>103</v>
      </c>
      <c r="B173" s="120" t="s">
        <v>144</v>
      </c>
      <c r="C173" s="121" t="s">
        <v>145</v>
      </c>
      <c r="D173" s="118">
        <v>44239</v>
      </c>
      <c r="E173" s="119">
        <v>741009</v>
      </c>
      <c r="F173" s="117"/>
      <c r="G173" s="117"/>
      <c r="H173" s="120"/>
    </row>
    <row r="174" spans="1:8">
      <c r="A174" s="116" t="s">
        <v>103</v>
      </c>
      <c r="B174" s="120" t="s">
        <v>144</v>
      </c>
      <c r="C174" s="128" t="s">
        <v>145</v>
      </c>
      <c r="D174" s="118">
        <v>44271</v>
      </c>
      <c r="E174" s="119">
        <v>184315</v>
      </c>
      <c r="F174" s="129">
        <v>272</v>
      </c>
      <c r="G174" s="130">
        <v>44255</v>
      </c>
      <c r="H174" s="120"/>
    </row>
    <row r="175" spans="1:8">
      <c r="A175" s="116" t="s">
        <v>103</v>
      </c>
      <c r="B175" s="120" t="s">
        <v>144</v>
      </c>
      <c r="C175" s="126" t="s">
        <v>145</v>
      </c>
      <c r="D175" s="118">
        <v>44300</v>
      </c>
      <c r="E175" s="119">
        <v>874601</v>
      </c>
      <c r="F175" s="117">
        <v>162</v>
      </c>
      <c r="G175" s="117"/>
      <c r="H175" s="120"/>
    </row>
    <row r="176" spans="1:8">
      <c r="A176" s="116" t="s">
        <v>103</v>
      </c>
      <c r="B176" s="120" t="s">
        <v>144</v>
      </c>
      <c r="C176" s="121" t="s">
        <v>145</v>
      </c>
      <c r="D176" s="118">
        <v>44330</v>
      </c>
      <c r="E176" s="119">
        <v>835190</v>
      </c>
      <c r="F176" s="117">
        <v>164</v>
      </c>
      <c r="G176" s="117"/>
      <c r="H176" s="120"/>
    </row>
    <row r="177" spans="1:8">
      <c r="A177" s="116" t="s">
        <v>103</v>
      </c>
      <c r="B177" s="117" t="s">
        <v>144</v>
      </c>
      <c r="C177" s="121" t="s">
        <v>145</v>
      </c>
      <c r="D177" s="118">
        <v>44357</v>
      </c>
      <c r="E177" s="119">
        <v>353088</v>
      </c>
      <c r="F177" s="117">
        <v>167</v>
      </c>
      <c r="G177" s="117"/>
      <c r="H177" s="120"/>
    </row>
    <row r="178" spans="1:8">
      <c r="A178" s="116" t="s">
        <v>103</v>
      </c>
      <c r="B178" s="117" t="s">
        <v>144</v>
      </c>
      <c r="C178" s="121" t="s">
        <v>145</v>
      </c>
      <c r="D178" s="118">
        <v>44400</v>
      </c>
      <c r="E178" s="119">
        <v>915441</v>
      </c>
      <c r="F178" s="117"/>
      <c r="G178" s="117"/>
      <c r="H178" s="120"/>
    </row>
    <row r="179" spans="1:8">
      <c r="A179" s="116" t="s">
        <v>103</v>
      </c>
      <c r="B179" s="117" t="s">
        <v>144</v>
      </c>
      <c r="C179" s="121" t="s">
        <v>145</v>
      </c>
      <c r="D179" s="118">
        <v>44427</v>
      </c>
      <c r="E179" s="119">
        <v>1009449</v>
      </c>
      <c r="F179" s="117">
        <v>173</v>
      </c>
      <c r="G179" s="117"/>
      <c r="H179" s="120"/>
    </row>
    <row r="180" spans="1:8">
      <c r="A180" s="116" t="s">
        <v>146</v>
      </c>
      <c r="B180" s="120" t="s">
        <v>147</v>
      </c>
      <c r="C180" s="121" t="s">
        <v>148</v>
      </c>
      <c r="D180" s="118">
        <v>44203</v>
      </c>
      <c r="E180" s="119">
        <v>6448549</v>
      </c>
      <c r="F180" s="117"/>
      <c r="G180" s="117"/>
      <c r="H180" s="120"/>
    </row>
    <row r="181" spans="1:8">
      <c r="A181" s="116" t="s">
        <v>146</v>
      </c>
      <c r="B181" s="120" t="s">
        <v>147</v>
      </c>
      <c r="C181" s="121" t="s">
        <v>148</v>
      </c>
      <c r="D181" s="118">
        <v>44239</v>
      </c>
      <c r="E181" s="119">
        <v>7000000</v>
      </c>
      <c r="F181" s="117"/>
      <c r="G181" s="117"/>
      <c r="H181" s="120"/>
    </row>
    <row r="182" spans="1:8">
      <c r="A182" s="116" t="s">
        <v>146</v>
      </c>
      <c r="B182" s="120" t="s">
        <v>147</v>
      </c>
      <c r="C182" s="121" t="s">
        <v>148</v>
      </c>
      <c r="D182" s="118">
        <v>44239</v>
      </c>
      <c r="E182" s="119">
        <v>928000</v>
      </c>
      <c r="F182" s="117"/>
      <c r="G182" s="117"/>
      <c r="H182" s="120"/>
    </row>
    <row r="183" spans="1:8">
      <c r="A183" s="116" t="s">
        <v>146</v>
      </c>
      <c r="B183" s="120" t="s">
        <v>147</v>
      </c>
      <c r="C183" s="121" t="s">
        <v>148</v>
      </c>
      <c r="D183" s="118">
        <v>44259</v>
      </c>
      <c r="E183" s="119">
        <v>5000000</v>
      </c>
      <c r="F183" s="122"/>
      <c r="G183" s="122"/>
      <c r="H183" s="120"/>
    </row>
    <row r="184" spans="1:8">
      <c r="A184" s="116" t="s">
        <v>146</v>
      </c>
      <c r="B184" s="120" t="s">
        <v>147</v>
      </c>
      <c r="C184" s="121" t="s">
        <v>148</v>
      </c>
      <c r="D184" s="118">
        <v>44292</v>
      </c>
      <c r="E184" s="119">
        <v>3269100</v>
      </c>
      <c r="F184" s="117"/>
      <c r="G184" s="117"/>
      <c r="H184" s="120"/>
    </row>
    <row r="185" spans="1:8">
      <c r="A185" s="116" t="s">
        <v>146</v>
      </c>
      <c r="B185" s="117" t="s">
        <v>147</v>
      </c>
      <c r="C185" s="121" t="s">
        <v>148</v>
      </c>
      <c r="D185" s="118">
        <v>44321</v>
      </c>
      <c r="E185" s="119">
        <v>5193120</v>
      </c>
      <c r="F185" s="117"/>
      <c r="G185" s="117"/>
      <c r="H185" s="120"/>
    </row>
    <row r="186" spans="1:8">
      <c r="A186" s="116" t="s">
        <v>146</v>
      </c>
      <c r="B186" s="117" t="s">
        <v>147</v>
      </c>
      <c r="C186" s="121" t="s">
        <v>148</v>
      </c>
      <c r="D186" s="118">
        <v>44363</v>
      </c>
      <c r="E186" s="119">
        <v>7000000</v>
      </c>
      <c r="F186" s="117"/>
      <c r="G186" s="117"/>
      <c r="H186" s="120"/>
    </row>
    <row r="187" spans="1:8">
      <c r="A187" s="116" t="s">
        <v>146</v>
      </c>
      <c r="B187" s="117" t="s">
        <v>147</v>
      </c>
      <c r="C187" s="121" t="s">
        <v>148</v>
      </c>
      <c r="D187" s="118">
        <v>44364</v>
      </c>
      <c r="E187" s="119">
        <v>32187</v>
      </c>
      <c r="F187" s="117"/>
      <c r="G187" s="117"/>
      <c r="H187" s="120" t="s">
        <v>149</v>
      </c>
    </row>
    <row r="188" spans="1:8">
      <c r="A188" s="116" t="s">
        <v>146</v>
      </c>
      <c r="B188" s="117" t="s">
        <v>147</v>
      </c>
      <c r="C188" s="121" t="s">
        <v>148</v>
      </c>
      <c r="D188" s="118">
        <v>44396</v>
      </c>
      <c r="E188" s="119">
        <v>6458204</v>
      </c>
      <c r="F188" s="117"/>
      <c r="G188" s="117"/>
      <c r="H188" s="120"/>
    </row>
    <row r="189" spans="1:8" ht="26.1">
      <c r="A189" s="116" t="s">
        <v>150</v>
      </c>
      <c r="B189" s="120" t="s">
        <v>151</v>
      </c>
      <c r="C189" s="121" t="s">
        <v>152</v>
      </c>
      <c r="D189" s="118">
        <v>44396</v>
      </c>
      <c r="E189" s="119">
        <v>85001</v>
      </c>
      <c r="F189" s="117">
        <v>36</v>
      </c>
      <c r="G189" s="117"/>
      <c r="H189" s="120"/>
    </row>
    <row r="190" spans="1:8" ht="26.1">
      <c r="A190" s="116" t="s">
        <v>150</v>
      </c>
      <c r="B190" s="120" t="s">
        <v>151</v>
      </c>
      <c r="C190" s="121" t="s">
        <v>152</v>
      </c>
      <c r="D190" s="118">
        <v>44398</v>
      </c>
      <c r="E190" s="119">
        <v>85000</v>
      </c>
      <c r="F190" s="117">
        <v>37</v>
      </c>
      <c r="G190" s="117"/>
      <c r="H190" s="120" t="s">
        <v>153</v>
      </c>
    </row>
    <row r="191" spans="1:8" ht="26.1">
      <c r="A191" s="116" t="s">
        <v>150</v>
      </c>
      <c r="B191" s="120" t="s">
        <v>151</v>
      </c>
      <c r="C191" s="121" t="s">
        <v>154</v>
      </c>
      <c r="D191" s="118">
        <v>44400</v>
      </c>
      <c r="E191" s="119">
        <v>85001</v>
      </c>
      <c r="F191" s="117">
        <v>39</v>
      </c>
      <c r="G191" s="117"/>
      <c r="H191" s="120"/>
    </row>
    <row r="192" spans="1:8" ht="26.1">
      <c r="A192" s="116" t="s">
        <v>150</v>
      </c>
      <c r="B192" s="120" t="s">
        <v>151</v>
      </c>
      <c r="C192" s="121" t="s">
        <v>154</v>
      </c>
      <c r="D192" s="118">
        <v>44418</v>
      </c>
      <c r="E192" s="119">
        <v>832000</v>
      </c>
      <c r="F192" s="117"/>
      <c r="G192" s="117"/>
      <c r="H192" s="120"/>
    </row>
    <row r="193" spans="1:8">
      <c r="A193" s="116" t="s">
        <v>150</v>
      </c>
      <c r="B193" s="117" t="s">
        <v>155</v>
      </c>
      <c r="C193" s="121" t="s">
        <v>156</v>
      </c>
      <c r="D193" s="118">
        <v>44357</v>
      </c>
      <c r="E193" s="119">
        <v>439410</v>
      </c>
      <c r="F193" s="117">
        <v>107</v>
      </c>
      <c r="G193" s="117"/>
      <c r="H193" s="120"/>
    </row>
    <row r="194" spans="1:8">
      <c r="A194" s="116" t="s">
        <v>150</v>
      </c>
      <c r="B194" s="120" t="s">
        <v>157</v>
      </c>
      <c r="C194" s="121" t="s">
        <v>158</v>
      </c>
      <c r="D194" s="118">
        <v>44216</v>
      </c>
      <c r="E194" s="119">
        <v>238638</v>
      </c>
      <c r="F194" s="117"/>
      <c r="G194" s="117"/>
      <c r="H194" s="120"/>
    </row>
    <row r="195" spans="1:8">
      <c r="A195" s="116" t="s">
        <v>150</v>
      </c>
      <c r="B195" s="120" t="s">
        <v>157</v>
      </c>
      <c r="C195" s="121" t="s">
        <v>158</v>
      </c>
      <c r="D195" s="118">
        <v>44295</v>
      </c>
      <c r="E195" s="119">
        <v>171600</v>
      </c>
      <c r="F195" s="117"/>
      <c r="G195" s="117"/>
      <c r="H195" s="120" t="s">
        <v>159</v>
      </c>
    </row>
    <row r="196" spans="1:8">
      <c r="A196" s="116" t="s">
        <v>150</v>
      </c>
      <c r="B196" s="120" t="s">
        <v>157</v>
      </c>
      <c r="C196" s="121" t="s">
        <v>158</v>
      </c>
      <c r="D196" s="118">
        <v>44315</v>
      </c>
      <c r="E196" s="119">
        <v>160640</v>
      </c>
      <c r="F196" s="117"/>
      <c r="G196" s="117"/>
      <c r="H196" s="120"/>
    </row>
    <row r="197" spans="1:8">
      <c r="A197" s="116" t="s">
        <v>150</v>
      </c>
      <c r="B197" s="120" t="s">
        <v>157</v>
      </c>
      <c r="C197" s="121" t="s">
        <v>158</v>
      </c>
      <c r="D197" s="118">
        <v>44326</v>
      </c>
      <c r="E197" s="119">
        <v>84154</v>
      </c>
      <c r="F197" s="117"/>
      <c r="G197" s="117"/>
      <c r="H197" s="120"/>
    </row>
    <row r="198" spans="1:8">
      <c r="A198" s="116" t="s">
        <v>150</v>
      </c>
      <c r="B198" s="120" t="s">
        <v>157</v>
      </c>
      <c r="C198" s="121" t="s">
        <v>158</v>
      </c>
      <c r="D198" s="118">
        <v>44420</v>
      </c>
      <c r="E198" s="119">
        <v>91650</v>
      </c>
      <c r="F198" s="117"/>
      <c r="G198" s="117"/>
      <c r="H198" s="120"/>
    </row>
    <row r="199" spans="1:8">
      <c r="A199" s="116" t="s">
        <v>150</v>
      </c>
      <c r="B199" s="120" t="s">
        <v>160</v>
      </c>
      <c r="C199" s="121" t="s">
        <v>161</v>
      </c>
      <c r="D199" s="118">
        <v>44231</v>
      </c>
      <c r="E199" s="119">
        <v>119800</v>
      </c>
      <c r="F199" s="117"/>
      <c r="G199" s="117"/>
      <c r="H199" s="120"/>
    </row>
    <row r="200" spans="1:8">
      <c r="A200" s="116" t="s">
        <v>150</v>
      </c>
      <c r="B200" s="117" t="s">
        <v>162</v>
      </c>
      <c r="C200" s="121" t="s">
        <v>163</v>
      </c>
      <c r="D200" s="118">
        <v>44350</v>
      </c>
      <c r="E200" s="119">
        <v>65245</v>
      </c>
      <c r="F200" s="117">
        <v>8947</v>
      </c>
      <c r="G200" s="117"/>
      <c r="H200" s="120"/>
    </row>
    <row r="201" spans="1:8">
      <c r="A201" s="116" t="s">
        <v>150</v>
      </c>
      <c r="B201" s="120" t="s">
        <v>164</v>
      </c>
      <c r="C201" s="121" t="s">
        <v>165</v>
      </c>
      <c r="D201" s="118">
        <v>44225</v>
      </c>
      <c r="E201" s="119">
        <v>74181</v>
      </c>
      <c r="F201" s="117"/>
      <c r="G201" s="117"/>
      <c r="H201" s="120"/>
    </row>
    <row r="202" spans="1:8">
      <c r="A202" s="116" t="s">
        <v>150</v>
      </c>
      <c r="B202" s="120" t="s">
        <v>164</v>
      </c>
      <c r="C202" s="121" t="s">
        <v>165</v>
      </c>
      <c r="D202" s="118">
        <v>44225</v>
      </c>
      <c r="E202" s="119">
        <v>81991</v>
      </c>
      <c r="F202" s="117"/>
      <c r="G202" s="117"/>
      <c r="H202" s="120"/>
    </row>
    <row r="203" spans="1:8">
      <c r="A203" s="116" t="s">
        <v>150</v>
      </c>
      <c r="B203" s="120" t="s">
        <v>164</v>
      </c>
      <c r="C203" s="121" t="s">
        <v>165</v>
      </c>
      <c r="D203" s="118">
        <v>44239</v>
      </c>
      <c r="E203" s="119">
        <v>147203</v>
      </c>
      <c r="F203" s="117"/>
      <c r="G203" s="117"/>
      <c r="H203" s="120"/>
    </row>
    <row r="204" spans="1:8">
      <c r="A204" s="116" t="s">
        <v>150</v>
      </c>
      <c r="B204" s="120" t="s">
        <v>164</v>
      </c>
      <c r="C204" s="121" t="s">
        <v>165</v>
      </c>
      <c r="D204" s="118">
        <v>44376</v>
      </c>
      <c r="E204" s="119">
        <v>129825</v>
      </c>
      <c r="F204" s="122"/>
      <c r="G204" s="122"/>
      <c r="H204" s="120"/>
    </row>
    <row r="205" spans="1:8">
      <c r="A205" s="116" t="s">
        <v>150</v>
      </c>
      <c r="B205" s="120" t="s">
        <v>164</v>
      </c>
      <c r="C205" s="121" t="s">
        <v>165</v>
      </c>
      <c r="D205" s="118">
        <v>44376</v>
      </c>
      <c r="E205" s="119">
        <v>86550</v>
      </c>
      <c r="F205" s="122"/>
      <c r="G205" s="122"/>
      <c r="H205" s="120"/>
    </row>
    <row r="206" spans="1:8">
      <c r="A206" s="116" t="s">
        <v>150</v>
      </c>
      <c r="B206" s="120" t="s">
        <v>164</v>
      </c>
      <c r="C206" s="121" t="s">
        <v>165</v>
      </c>
      <c r="D206" s="118">
        <v>44386</v>
      </c>
      <c r="E206" s="119">
        <v>206013</v>
      </c>
      <c r="F206" s="117"/>
      <c r="G206" s="117"/>
      <c r="H206" s="120"/>
    </row>
    <row r="207" spans="1:8">
      <c r="A207" s="116" t="s">
        <v>150</v>
      </c>
      <c r="B207" s="120" t="s">
        <v>164</v>
      </c>
      <c r="C207" s="121" t="s">
        <v>165</v>
      </c>
      <c r="D207" s="118">
        <v>44386</v>
      </c>
      <c r="E207" s="119">
        <v>24667</v>
      </c>
      <c r="F207" s="117"/>
      <c r="G207" s="117"/>
      <c r="H207" s="120"/>
    </row>
    <row r="208" spans="1:8">
      <c r="A208" s="116" t="s">
        <v>150</v>
      </c>
      <c r="B208" s="120" t="s">
        <v>164</v>
      </c>
      <c r="C208" s="121" t="s">
        <v>165</v>
      </c>
      <c r="D208" s="118">
        <v>44386</v>
      </c>
      <c r="E208" s="119">
        <v>16445</v>
      </c>
      <c r="F208" s="117"/>
      <c r="G208" s="117"/>
      <c r="H208" s="120"/>
    </row>
    <row r="209" spans="1:8">
      <c r="A209" s="116" t="s">
        <v>150</v>
      </c>
      <c r="B209" s="120" t="s">
        <v>166</v>
      </c>
      <c r="C209" s="117" t="s">
        <v>167</v>
      </c>
      <c r="D209" s="118">
        <v>44225</v>
      </c>
      <c r="E209" s="119">
        <v>2999</v>
      </c>
      <c r="F209" s="117"/>
      <c r="G209" s="117"/>
      <c r="H209" s="120"/>
    </row>
    <row r="210" spans="1:8">
      <c r="A210" s="116" t="s">
        <v>150</v>
      </c>
      <c r="B210" s="120" t="s">
        <v>166</v>
      </c>
      <c r="C210" s="117" t="s">
        <v>167</v>
      </c>
      <c r="D210" s="118">
        <v>44228</v>
      </c>
      <c r="E210" s="119">
        <v>3000</v>
      </c>
      <c r="F210" s="117"/>
      <c r="G210" s="117"/>
      <c r="H210" s="120" t="s">
        <v>168</v>
      </c>
    </row>
    <row r="211" spans="1:8">
      <c r="A211" s="116" t="s">
        <v>150</v>
      </c>
      <c r="B211" s="120" t="s">
        <v>166</v>
      </c>
      <c r="C211" s="117" t="s">
        <v>167</v>
      </c>
      <c r="D211" s="118">
        <v>44228</v>
      </c>
      <c r="E211" s="119">
        <v>416500</v>
      </c>
      <c r="F211" s="117"/>
      <c r="G211" s="117"/>
      <c r="H211" s="120" t="s">
        <v>168</v>
      </c>
    </row>
    <row r="212" spans="1:8">
      <c r="A212" s="116" t="s">
        <v>150</v>
      </c>
      <c r="B212" s="120" t="s">
        <v>166</v>
      </c>
      <c r="C212" s="117" t="s">
        <v>167</v>
      </c>
      <c r="D212" s="118">
        <v>44228</v>
      </c>
      <c r="E212" s="119">
        <v>37201</v>
      </c>
      <c r="F212" s="117"/>
      <c r="G212" s="117"/>
      <c r="H212" s="120"/>
    </row>
    <row r="213" spans="1:8">
      <c r="A213" s="116" t="s">
        <v>150</v>
      </c>
      <c r="B213" s="120" t="s">
        <v>166</v>
      </c>
      <c r="C213" s="117" t="s">
        <v>167</v>
      </c>
      <c r="D213" s="118">
        <v>44265</v>
      </c>
      <c r="E213" s="119">
        <v>30000</v>
      </c>
      <c r="F213" s="122"/>
      <c r="G213" s="122"/>
      <c r="H213" s="120"/>
    </row>
    <row r="214" spans="1:8">
      <c r="A214" s="116" t="s">
        <v>150</v>
      </c>
      <c r="B214" s="120" t="s">
        <v>166</v>
      </c>
      <c r="C214" s="117" t="s">
        <v>167</v>
      </c>
      <c r="D214" s="118">
        <v>44265</v>
      </c>
      <c r="E214" s="119">
        <v>36500</v>
      </c>
      <c r="F214" s="122"/>
      <c r="G214" s="122"/>
      <c r="H214" s="120"/>
    </row>
    <row r="215" spans="1:8" ht="26.1">
      <c r="A215" s="116" t="s">
        <v>150</v>
      </c>
      <c r="B215" s="120" t="s">
        <v>169</v>
      </c>
      <c r="C215" s="121" t="s">
        <v>170</v>
      </c>
      <c r="D215" s="118">
        <v>44291</v>
      </c>
      <c r="E215" s="119">
        <v>189000</v>
      </c>
      <c r="F215" s="117"/>
      <c r="G215" s="117"/>
      <c r="H215" s="120"/>
    </row>
    <row r="216" spans="1:8" ht="26.1">
      <c r="A216" s="116" t="s">
        <v>150</v>
      </c>
      <c r="B216" s="120" t="s">
        <v>171</v>
      </c>
      <c r="C216" s="117" t="s">
        <v>172</v>
      </c>
      <c r="D216" s="118">
        <v>44216</v>
      </c>
      <c r="E216" s="119">
        <v>29452</v>
      </c>
      <c r="F216" s="117"/>
      <c r="G216" s="117"/>
      <c r="H216" s="120" t="s">
        <v>173</v>
      </c>
    </row>
    <row r="217" spans="1:8" ht="26.1">
      <c r="A217" s="116" t="s">
        <v>150</v>
      </c>
      <c r="B217" s="120" t="s">
        <v>171</v>
      </c>
      <c r="C217" s="117" t="s">
        <v>172</v>
      </c>
      <c r="D217" s="118">
        <v>44216</v>
      </c>
      <c r="E217" s="119">
        <v>50872</v>
      </c>
      <c r="F217" s="117"/>
      <c r="G217" s="117"/>
      <c r="H217" s="120" t="s">
        <v>174</v>
      </c>
    </row>
    <row r="218" spans="1:8" ht="26.1">
      <c r="A218" s="116" t="s">
        <v>150</v>
      </c>
      <c r="B218" s="120" t="s">
        <v>171</v>
      </c>
      <c r="C218" s="117" t="s">
        <v>172</v>
      </c>
      <c r="D218" s="118">
        <v>44271</v>
      </c>
      <c r="E218" s="119">
        <v>55755</v>
      </c>
      <c r="F218" s="122"/>
      <c r="G218" s="122"/>
      <c r="H218" s="120"/>
    </row>
    <row r="219" spans="1:8">
      <c r="A219" s="116" t="s">
        <v>150</v>
      </c>
      <c r="B219" s="120" t="s">
        <v>175</v>
      </c>
      <c r="C219" s="121" t="s">
        <v>176</v>
      </c>
      <c r="D219" s="118">
        <v>44222</v>
      </c>
      <c r="E219" s="119">
        <v>122200</v>
      </c>
      <c r="F219" s="117"/>
      <c r="G219" s="117"/>
      <c r="H219" s="120"/>
    </row>
    <row r="220" spans="1:8">
      <c r="A220" s="116" t="s">
        <v>150</v>
      </c>
      <c r="B220" s="120" t="s">
        <v>175</v>
      </c>
      <c r="C220" s="121" t="s">
        <v>176</v>
      </c>
      <c r="D220" s="118">
        <v>44222</v>
      </c>
      <c r="E220" s="119">
        <v>174114</v>
      </c>
      <c r="F220" s="117"/>
      <c r="G220" s="117"/>
      <c r="H220" s="120"/>
    </row>
    <row r="221" spans="1:8">
      <c r="A221" s="116" t="s">
        <v>150</v>
      </c>
      <c r="B221" s="120" t="s">
        <v>175</v>
      </c>
      <c r="C221" s="121" t="s">
        <v>176</v>
      </c>
      <c r="D221" s="118">
        <v>44222</v>
      </c>
      <c r="E221" s="119">
        <v>192703</v>
      </c>
      <c r="F221" s="117"/>
      <c r="G221" s="117"/>
      <c r="H221" s="120"/>
    </row>
    <row r="222" spans="1:8">
      <c r="A222" s="116" t="s">
        <v>150</v>
      </c>
      <c r="B222" s="120" t="s">
        <v>175</v>
      </c>
      <c r="C222" s="121" t="s">
        <v>176</v>
      </c>
      <c r="D222" s="118">
        <v>44232</v>
      </c>
      <c r="E222" s="119">
        <v>214702</v>
      </c>
      <c r="F222" s="117"/>
      <c r="G222" s="117"/>
      <c r="H222" s="120"/>
    </row>
    <row r="223" spans="1:8">
      <c r="A223" s="116" t="s">
        <v>150</v>
      </c>
      <c r="B223" s="120" t="s">
        <v>175</v>
      </c>
      <c r="C223" s="121" t="s">
        <v>176</v>
      </c>
      <c r="D223" s="118">
        <v>44232</v>
      </c>
      <c r="E223" s="119">
        <v>206190</v>
      </c>
      <c r="F223" s="117"/>
      <c r="G223" s="117"/>
      <c r="H223" s="120"/>
    </row>
    <row r="224" spans="1:8">
      <c r="A224" s="116" t="s">
        <v>150</v>
      </c>
      <c r="B224" s="120" t="s">
        <v>175</v>
      </c>
      <c r="C224" s="121" t="s">
        <v>176</v>
      </c>
      <c r="D224" s="118">
        <v>44232</v>
      </c>
      <c r="E224" s="119">
        <v>164804</v>
      </c>
      <c r="F224" s="117"/>
      <c r="G224" s="117"/>
      <c r="H224" s="120"/>
    </row>
    <row r="225" spans="1:8">
      <c r="A225" s="116" t="s">
        <v>150</v>
      </c>
      <c r="B225" s="120" t="s">
        <v>175</v>
      </c>
      <c r="C225" s="121" t="s">
        <v>176</v>
      </c>
      <c r="D225" s="118">
        <v>44232</v>
      </c>
      <c r="E225" s="119">
        <v>125499</v>
      </c>
      <c r="F225" s="117"/>
      <c r="G225" s="117"/>
      <c r="H225" s="120"/>
    </row>
    <row r="226" spans="1:8">
      <c r="A226" s="116" t="s">
        <v>150</v>
      </c>
      <c r="B226" s="120" t="s">
        <v>175</v>
      </c>
      <c r="C226" s="121" t="s">
        <v>176</v>
      </c>
      <c r="D226" s="118">
        <v>44265</v>
      </c>
      <c r="E226" s="119">
        <v>157100</v>
      </c>
      <c r="F226" s="122"/>
      <c r="G226" s="122"/>
      <c r="H226" s="120"/>
    </row>
    <row r="227" spans="1:8">
      <c r="A227" s="116" t="s">
        <v>150</v>
      </c>
      <c r="B227" s="120" t="s">
        <v>175</v>
      </c>
      <c r="C227" s="121" t="s">
        <v>176</v>
      </c>
      <c r="D227" s="118">
        <v>44265</v>
      </c>
      <c r="E227" s="119">
        <v>47399</v>
      </c>
      <c r="F227" s="122"/>
      <c r="G227" s="122"/>
      <c r="H227" s="120"/>
    </row>
    <row r="228" spans="1:8">
      <c r="A228" s="116" t="s">
        <v>150</v>
      </c>
      <c r="B228" s="120" t="s">
        <v>175</v>
      </c>
      <c r="C228" s="121" t="s">
        <v>176</v>
      </c>
      <c r="D228" s="118">
        <v>44265</v>
      </c>
      <c r="E228" s="119">
        <v>34102</v>
      </c>
      <c r="F228" s="122"/>
      <c r="G228" s="122"/>
      <c r="H228" s="120"/>
    </row>
    <row r="229" spans="1:8">
      <c r="A229" s="116" t="s">
        <v>150</v>
      </c>
      <c r="B229" s="120" t="s">
        <v>175</v>
      </c>
      <c r="C229" s="121" t="s">
        <v>176</v>
      </c>
      <c r="D229" s="118">
        <v>44295</v>
      </c>
      <c r="E229" s="119">
        <v>130199</v>
      </c>
      <c r="F229" s="117"/>
      <c r="G229" s="117"/>
      <c r="H229" s="120"/>
    </row>
    <row r="230" spans="1:8">
      <c r="A230" s="116" t="s">
        <v>150</v>
      </c>
      <c r="B230" s="120" t="s">
        <v>175</v>
      </c>
      <c r="C230" s="121" t="s">
        <v>176</v>
      </c>
      <c r="D230" s="118">
        <v>44295</v>
      </c>
      <c r="E230" s="119">
        <v>54299</v>
      </c>
      <c r="F230" s="117"/>
      <c r="G230" s="117"/>
      <c r="H230" s="120"/>
    </row>
    <row r="231" spans="1:8">
      <c r="A231" s="116" t="s">
        <v>150</v>
      </c>
      <c r="B231" s="120" t="s">
        <v>175</v>
      </c>
      <c r="C231" s="121" t="s">
        <v>176</v>
      </c>
      <c r="D231" s="118">
        <v>44326</v>
      </c>
      <c r="E231" s="119">
        <v>37602</v>
      </c>
      <c r="F231" s="117">
        <v>5711</v>
      </c>
      <c r="G231" s="117"/>
      <c r="H231" s="120"/>
    </row>
    <row r="232" spans="1:8">
      <c r="A232" s="116" t="s">
        <v>150</v>
      </c>
      <c r="B232" s="120" t="s">
        <v>175</v>
      </c>
      <c r="C232" s="121" t="s">
        <v>176</v>
      </c>
      <c r="D232" s="118">
        <v>44326</v>
      </c>
      <c r="E232" s="119">
        <v>127603</v>
      </c>
      <c r="F232" s="117">
        <v>5710</v>
      </c>
      <c r="G232" s="117"/>
      <c r="H232" s="120"/>
    </row>
    <row r="233" spans="1:8">
      <c r="A233" s="116" t="s">
        <v>150</v>
      </c>
      <c r="B233" s="120" t="s">
        <v>175</v>
      </c>
      <c r="C233" s="121" t="s">
        <v>176</v>
      </c>
      <c r="D233" s="118">
        <v>44326</v>
      </c>
      <c r="E233" s="119">
        <v>242601</v>
      </c>
      <c r="F233" s="117">
        <v>5709</v>
      </c>
      <c r="G233" s="117"/>
      <c r="H233" s="120"/>
    </row>
    <row r="234" spans="1:8">
      <c r="A234" s="116" t="s">
        <v>150</v>
      </c>
      <c r="B234" s="120" t="s">
        <v>175</v>
      </c>
      <c r="C234" s="121" t="s">
        <v>176</v>
      </c>
      <c r="D234" s="118">
        <v>44326</v>
      </c>
      <c r="E234" s="119">
        <v>281602</v>
      </c>
      <c r="F234" s="117">
        <v>5708</v>
      </c>
      <c r="G234" s="117"/>
      <c r="H234" s="120"/>
    </row>
    <row r="235" spans="1:8">
      <c r="A235" s="116" t="s">
        <v>150</v>
      </c>
      <c r="B235" s="120" t="s">
        <v>175</v>
      </c>
      <c r="C235" s="121" t="s">
        <v>176</v>
      </c>
      <c r="D235" s="118">
        <v>44357</v>
      </c>
      <c r="E235" s="119">
        <v>125307</v>
      </c>
      <c r="F235" s="117">
        <v>5206</v>
      </c>
      <c r="G235" s="117"/>
      <c r="H235" s="120"/>
    </row>
    <row r="236" spans="1:8">
      <c r="A236" s="116" t="s">
        <v>150</v>
      </c>
      <c r="B236" s="120" t="s">
        <v>175</v>
      </c>
      <c r="C236" s="121" t="s">
        <v>176</v>
      </c>
      <c r="D236" s="118">
        <v>44357</v>
      </c>
      <c r="E236" s="119">
        <v>235402</v>
      </c>
      <c r="F236" s="117">
        <v>5204</v>
      </c>
      <c r="G236" s="117"/>
      <c r="H236" s="120"/>
    </row>
    <row r="237" spans="1:8">
      <c r="A237" s="116" t="s">
        <v>150</v>
      </c>
      <c r="B237" s="120" t="s">
        <v>175</v>
      </c>
      <c r="C237" s="121" t="s">
        <v>176</v>
      </c>
      <c r="D237" s="118">
        <v>44363</v>
      </c>
      <c r="E237" s="119">
        <v>109100</v>
      </c>
      <c r="F237" s="117">
        <v>5205</v>
      </c>
      <c r="G237" s="117"/>
      <c r="H237" s="120"/>
    </row>
    <row r="238" spans="1:8">
      <c r="A238" s="116" t="s">
        <v>150</v>
      </c>
      <c r="B238" s="120" t="s">
        <v>175</v>
      </c>
      <c r="C238" s="121" t="s">
        <v>176</v>
      </c>
      <c r="D238" s="118">
        <v>44386</v>
      </c>
      <c r="E238" s="119">
        <v>362865</v>
      </c>
      <c r="F238" s="117"/>
      <c r="G238" s="117"/>
      <c r="H238" s="120"/>
    </row>
    <row r="239" spans="1:8">
      <c r="A239" s="116" t="s">
        <v>150</v>
      </c>
      <c r="B239" s="120" t="s">
        <v>175</v>
      </c>
      <c r="C239" s="121" t="s">
        <v>176</v>
      </c>
      <c r="D239" s="118">
        <v>44386</v>
      </c>
      <c r="E239" s="119">
        <v>200630</v>
      </c>
      <c r="F239" s="117"/>
      <c r="G239" s="117"/>
      <c r="H239" s="120"/>
    </row>
    <row r="240" spans="1:8">
      <c r="A240" s="116" t="s">
        <v>150</v>
      </c>
      <c r="B240" s="120" t="s">
        <v>175</v>
      </c>
      <c r="C240" s="121" t="s">
        <v>176</v>
      </c>
      <c r="D240" s="118">
        <v>44386</v>
      </c>
      <c r="E240" s="119">
        <v>188704</v>
      </c>
      <c r="F240" s="117"/>
      <c r="G240" s="117"/>
      <c r="H240" s="120"/>
    </row>
    <row r="241" spans="1:8">
      <c r="A241" s="116" t="s">
        <v>150</v>
      </c>
      <c r="B241" s="120" t="s">
        <v>175</v>
      </c>
      <c r="C241" s="121" t="s">
        <v>176</v>
      </c>
      <c r="D241" s="118">
        <v>44386</v>
      </c>
      <c r="E241" s="119">
        <v>129357</v>
      </c>
      <c r="F241" s="117"/>
      <c r="G241" s="117"/>
      <c r="H241" s="120"/>
    </row>
    <row r="242" spans="1:8">
      <c r="A242" s="116" t="s">
        <v>150</v>
      </c>
      <c r="B242" s="120" t="s">
        <v>175</v>
      </c>
      <c r="C242" s="121" t="s">
        <v>176</v>
      </c>
      <c r="D242" s="118">
        <v>44386</v>
      </c>
      <c r="E242" s="119">
        <v>72894</v>
      </c>
      <c r="F242" s="117"/>
      <c r="G242" s="117"/>
      <c r="H242" s="120"/>
    </row>
    <row r="243" spans="1:8">
      <c r="A243" s="116" t="s">
        <v>150</v>
      </c>
      <c r="B243" s="120" t="s">
        <v>175</v>
      </c>
      <c r="C243" s="121" t="s">
        <v>176</v>
      </c>
      <c r="D243" s="118">
        <v>44413</v>
      </c>
      <c r="E243" s="119">
        <v>122907</v>
      </c>
      <c r="F243" s="117"/>
      <c r="G243" s="117"/>
      <c r="H243" s="120"/>
    </row>
    <row r="244" spans="1:8">
      <c r="A244" s="116" t="s">
        <v>150</v>
      </c>
      <c r="B244" s="120" t="s">
        <v>175</v>
      </c>
      <c r="C244" s="121" t="s">
        <v>176</v>
      </c>
      <c r="D244" s="118">
        <v>44413</v>
      </c>
      <c r="E244" s="119">
        <v>27124</v>
      </c>
      <c r="F244" s="117"/>
      <c r="G244" s="117"/>
      <c r="H244" s="120"/>
    </row>
    <row r="245" spans="1:8">
      <c r="A245" s="116" t="s">
        <v>150</v>
      </c>
      <c r="B245" s="120" t="s">
        <v>175</v>
      </c>
      <c r="C245" s="121" t="s">
        <v>176</v>
      </c>
      <c r="D245" s="118">
        <v>44413</v>
      </c>
      <c r="E245" s="119">
        <v>142800</v>
      </c>
      <c r="F245" s="117"/>
      <c r="G245" s="117"/>
      <c r="H245" s="120"/>
    </row>
    <row r="246" spans="1:8">
      <c r="A246" s="116" t="s">
        <v>150</v>
      </c>
      <c r="B246" s="120" t="s">
        <v>175</v>
      </c>
      <c r="C246" s="121" t="s">
        <v>176</v>
      </c>
      <c r="D246" s="118">
        <v>44413</v>
      </c>
      <c r="E246" s="119">
        <v>302500</v>
      </c>
      <c r="F246" s="117"/>
      <c r="G246" s="117"/>
      <c r="H246" s="120"/>
    </row>
    <row r="247" spans="1:8">
      <c r="A247" s="116" t="s">
        <v>150</v>
      </c>
      <c r="B247" s="120" t="s">
        <v>177</v>
      </c>
      <c r="C247" s="121" t="s">
        <v>178</v>
      </c>
      <c r="D247" s="118">
        <v>44357</v>
      </c>
      <c r="E247" s="119">
        <v>221169</v>
      </c>
      <c r="F247" s="117"/>
      <c r="G247" s="117"/>
      <c r="H247" s="120"/>
    </row>
    <row r="248" spans="1:8">
      <c r="A248" s="116" t="s">
        <v>150</v>
      </c>
      <c r="B248" s="120" t="s">
        <v>177</v>
      </c>
      <c r="C248" s="121" t="s">
        <v>178</v>
      </c>
      <c r="D248" s="118">
        <v>44357</v>
      </c>
      <c r="E248" s="119">
        <v>1045024</v>
      </c>
      <c r="F248" s="117"/>
      <c r="G248" s="117"/>
      <c r="H248" s="120"/>
    </row>
    <row r="249" spans="1:8">
      <c r="A249" s="116" t="s">
        <v>150</v>
      </c>
      <c r="B249" s="120" t="s">
        <v>177</v>
      </c>
      <c r="C249" s="121" t="s">
        <v>178</v>
      </c>
      <c r="D249" s="118">
        <v>44379</v>
      </c>
      <c r="E249" s="119">
        <v>1045024</v>
      </c>
      <c r="F249" s="117"/>
      <c r="G249" s="117"/>
      <c r="H249" s="120"/>
    </row>
    <row r="250" spans="1:8">
      <c r="A250" s="116" t="s">
        <v>150</v>
      </c>
      <c r="B250" s="120" t="s">
        <v>177</v>
      </c>
      <c r="C250" s="121" t="s">
        <v>178</v>
      </c>
      <c r="D250" s="118">
        <v>44379</v>
      </c>
      <c r="E250" s="119">
        <v>95840</v>
      </c>
      <c r="F250" s="117"/>
      <c r="G250" s="117"/>
      <c r="H250" s="120"/>
    </row>
    <row r="251" spans="1:8">
      <c r="A251" s="116" t="s">
        <v>150</v>
      </c>
      <c r="B251" s="120" t="s">
        <v>177</v>
      </c>
      <c r="C251" s="121" t="s">
        <v>178</v>
      </c>
      <c r="D251" s="118">
        <v>44420</v>
      </c>
      <c r="E251" s="119">
        <v>1393365</v>
      </c>
      <c r="F251" s="117"/>
      <c r="G251" s="117"/>
      <c r="H251" s="120"/>
    </row>
    <row r="252" spans="1:8">
      <c r="A252" s="116" t="s">
        <v>179</v>
      </c>
      <c r="B252" s="117" t="s">
        <v>180</v>
      </c>
      <c r="C252" s="121" t="s">
        <v>181</v>
      </c>
      <c r="D252" s="118">
        <v>44350</v>
      </c>
      <c r="E252" s="119">
        <v>682500</v>
      </c>
      <c r="F252" s="117">
        <v>23</v>
      </c>
      <c r="G252" s="117"/>
      <c r="H252" s="120"/>
    </row>
    <row r="253" spans="1:8">
      <c r="A253" s="116" t="s">
        <v>179</v>
      </c>
      <c r="B253" s="120" t="s">
        <v>182</v>
      </c>
      <c r="C253" s="124" t="s">
        <v>183</v>
      </c>
      <c r="D253" s="118">
        <v>44211</v>
      </c>
      <c r="E253" s="119">
        <v>763004</v>
      </c>
      <c r="F253" s="117"/>
      <c r="G253" s="117"/>
      <c r="H253" s="120"/>
    </row>
    <row r="254" spans="1:8">
      <c r="A254" s="116" t="s">
        <v>179</v>
      </c>
      <c r="B254" s="124" t="s">
        <v>182</v>
      </c>
      <c r="C254" s="124" t="s">
        <v>183</v>
      </c>
      <c r="D254" s="118">
        <f>'[1]STDER 01Ene - 23Ago'!A578</f>
        <v>44342</v>
      </c>
      <c r="E254" s="119">
        <v>749000</v>
      </c>
      <c r="F254" s="122"/>
      <c r="G254" s="125"/>
      <c r="H254" s="120"/>
    </row>
    <row r="255" spans="1:8">
      <c r="A255" s="116" t="s">
        <v>179</v>
      </c>
      <c r="B255" s="124" t="s">
        <v>182</v>
      </c>
      <c r="C255" s="121" t="s">
        <v>183</v>
      </c>
      <c r="D255" s="118">
        <v>44390</v>
      </c>
      <c r="E255" s="119">
        <v>35700</v>
      </c>
      <c r="F255" s="117"/>
      <c r="G255" s="117"/>
      <c r="H255" s="120"/>
    </row>
    <row r="256" spans="1:8">
      <c r="A256" s="116" t="s">
        <v>179</v>
      </c>
      <c r="B256" s="124" t="s">
        <v>182</v>
      </c>
      <c r="C256" s="121" t="s">
        <v>183</v>
      </c>
      <c r="D256" s="118">
        <v>44400</v>
      </c>
      <c r="E256" s="119">
        <v>99000</v>
      </c>
      <c r="F256" s="117"/>
      <c r="G256" s="117"/>
      <c r="H256" s="120"/>
    </row>
    <row r="257" spans="1:8" ht="38.450000000000003">
      <c r="A257" s="116" t="s">
        <v>179</v>
      </c>
      <c r="B257" s="120" t="s">
        <v>184</v>
      </c>
      <c r="C257" s="121" t="s">
        <v>185</v>
      </c>
      <c r="D257" s="118">
        <v>44396</v>
      </c>
      <c r="E257" s="119">
        <v>1660100</v>
      </c>
      <c r="F257" s="117"/>
      <c r="G257" s="117"/>
      <c r="H257" s="120" t="s">
        <v>186</v>
      </c>
    </row>
    <row r="258" spans="1:8" ht="26.1">
      <c r="A258" s="116" t="s">
        <v>179</v>
      </c>
      <c r="B258" s="120" t="s">
        <v>187</v>
      </c>
      <c r="C258" s="117" t="s">
        <v>188</v>
      </c>
      <c r="D258" s="118">
        <v>44207</v>
      </c>
      <c r="E258" s="119">
        <v>406792</v>
      </c>
      <c r="F258" s="117"/>
      <c r="G258" s="117"/>
      <c r="H258" s="120" t="s">
        <v>189</v>
      </c>
    </row>
    <row r="259" spans="1:8" ht="26.1">
      <c r="A259" s="116" t="s">
        <v>179</v>
      </c>
      <c r="B259" s="120" t="s">
        <v>187</v>
      </c>
      <c r="C259" s="117" t="s">
        <v>188</v>
      </c>
      <c r="D259" s="118">
        <v>44208</v>
      </c>
      <c r="E259" s="119">
        <v>239701</v>
      </c>
      <c r="F259" s="117"/>
      <c r="G259" s="117"/>
      <c r="H259" s="120" t="s">
        <v>189</v>
      </c>
    </row>
    <row r="260" spans="1:8" ht="26.1">
      <c r="A260" s="116" t="s">
        <v>179</v>
      </c>
      <c r="B260" s="120" t="s">
        <v>187</v>
      </c>
      <c r="C260" s="117" t="s">
        <v>188</v>
      </c>
      <c r="D260" s="118">
        <v>44208</v>
      </c>
      <c r="E260" s="119">
        <v>79900</v>
      </c>
      <c r="F260" s="117"/>
      <c r="G260" s="117"/>
      <c r="H260" s="120" t="s">
        <v>189</v>
      </c>
    </row>
    <row r="261" spans="1:8" ht="26.1">
      <c r="A261" s="116" t="s">
        <v>179</v>
      </c>
      <c r="B261" s="120" t="s">
        <v>187</v>
      </c>
      <c r="C261" s="117" t="s">
        <v>188</v>
      </c>
      <c r="D261" s="118">
        <v>44208</v>
      </c>
      <c r="E261" s="119">
        <v>87191</v>
      </c>
      <c r="F261" s="117"/>
      <c r="G261" s="117"/>
      <c r="H261" s="120" t="s">
        <v>189</v>
      </c>
    </row>
    <row r="262" spans="1:8" ht="26.1">
      <c r="A262" s="116" t="s">
        <v>179</v>
      </c>
      <c r="B262" s="120" t="s">
        <v>187</v>
      </c>
      <c r="C262" s="117" t="s">
        <v>188</v>
      </c>
      <c r="D262" s="118">
        <v>44225</v>
      </c>
      <c r="E262" s="119">
        <v>41237</v>
      </c>
      <c r="F262" s="117"/>
      <c r="G262" s="117"/>
      <c r="H262" s="120" t="s">
        <v>189</v>
      </c>
    </row>
    <row r="263" spans="1:8" ht="26.1">
      <c r="A263" s="116" t="s">
        <v>179</v>
      </c>
      <c r="B263" s="120" t="s">
        <v>187</v>
      </c>
      <c r="C263" s="117" t="s">
        <v>188</v>
      </c>
      <c r="D263" s="118">
        <v>44271</v>
      </c>
      <c r="E263" s="119">
        <v>26767</v>
      </c>
      <c r="F263" s="122">
        <v>3374</v>
      </c>
      <c r="G263" s="123">
        <v>44250</v>
      </c>
      <c r="H263" s="120" t="s">
        <v>189</v>
      </c>
    </row>
    <row r="264" spans="1:8" ht="26.1">
      <c r="A264" s="116" t="s">
        <v>179</v>
      </c>
      <c r="B264" s="120" t="s">
        <v>187</v>
      </c>
      <c r="C264" s="117" t="s">
        <v>188</v>
      </c>
      <c r="D264" s="118">
        <v>44271</v>
      </c>
      <c r="E264" s="119">
        <v>44149</v>
      </c>
      <c r="F264" s="122">
        <v>3376</v>
      </c>
      <c r="G264" s="123">
        <v>44250</v>
      </c>
      <c r="H264" s="120" t="s">
        <v>189</v>
      </c>
    </row>
    <row r="265" spans="1:8" ht="26.1">
      <c r="A265" s="116" t="s">
        <v>179</v>
      </c>
      <c r="B265" s="120" t="s">
        <v>187</v>
      </c>
      <c r="C265" s="117" t="s">
        <v>188</v>
      </c>
      <c r="D265" s="118">
        <v>44271</v>
      </c>
      <c r="E265" s="119">
        <v>58767</v>
      </c>
      <c r="F265" s="122">
        <v>3349</v>
      </c>
      <c r="G265" s="123">
        <v>44258</v>
      </c>
      <c r="H265" s="120" t="s">
        <v>189</v>
      </c>
    </row>
    <row r="266" spans="1:8" ht="26.1">
      <c r="A266" s="116" t="s">
        <v>179</v>
      </c>
      <c r="B266" s="120" t="s">
        <v>187</v>
      </c>
      <c r="C266" s="117" t="s">
        <v>188</v>
      </c>
      <c r="D266" s="118">
        <v>44295</v>
      </c>
      <c r="E266" s="119">
        <v>17536</v>
      </c>
      <c r="F266" s="117"/>
      <c r="G266" s="117"/>
      <c r="H266" s="120" t="s">
        <v>189</v>
      </c>
    </row>
    <row r="267" spans="1:8" ht="26.1">
      <c r="A267" s="116" t="s">
        <v>179</v>
      </c>
      <c r="B267" s="120" t="s">
        <v>187</v>
      </c>
      <c r="C267" s="117" t="s">
        <v>188</v>
      </c>
      <c r="D267" s="118">
        <v>44295</v>
      </c>
      <c r="E267" s="119">
        <v>66008</v>
      </c>
      <c r="F267" s="117"/>
      <c r="G267" s="117"/>
      <c r="H267" s="120" t="s">
        <v>189</v>
      </c>
    </row>
    <row r="268" spans="1:8" ht="26.1">
      <c r="A268" s="116" t="s">
        <v>179</v>
      </c>
      <c r="B268" s="120" t="s">
        <v>187</v>
      </c>
      <c r="C268" s="117" t="s">
        <v>188</v>
      </c>
      <c r="D268" s="118">
        <v>44330</v>
      </c>
      <c r="E268" s="119">
        <v>86715</v>
      </c>
      <c r="F268" s="117">
        <v>3936</v>
      </c>
      <c r="G268" s="117"/>
      <c r="H268" s="120" t="s">
        <v>189</v>
      </c>
    </row>
    <row r="269" spans="1:8" ht="26.1">
      <c r="A269" s="116" t="s">
        <v>179</v>
      </c>
      <c r="B269" s="120" t="s">
        <v>187</v>
      </c>
      <c r="C269" s="117" t="s">
        <v>188</v>
      </c>
      <c r="D269" s="118">
        <v>44330</v>
      </c>
      <c r="E269" s="119">
        <v>62821</v>
      </c>
      <c r="F269" s="117">
        <v>3035</v>
      </c>
      <c r="G269" s="117"/>
      <c r="H269" s="120" t="s">
        <v>189</v>
      </c>
    </row>
    <row r="270" spans="1:8" ht="26.1">
      <c r="A270" s="116" t="s">
        <v>179</v>
      </c>
      <c r="B270" s="120" t="s">
        <v>187</v>
      </c>
      <c r="C270" s="117" t="s">
        <v>188</v>
      </c>
      <c r="D270" s="118">
        <v>44330</v>
      </c>
      <c r="E270" s="119">
        <v>26304</v>
      </c>
      <c r="F270" s="117">
        <v>3773</v>
      </c>
      <c r="G270" s="117"/>
      <c r="H270" s="120"/>
    </row>
    <row r="271" spans="1:8">
      <c r="A271" s="116" t="s">
        <v>179</v>
      </c>
      <c r="B271" s="117" t="s">
        <v>190</v>
      </c>
      <c r="C271" s="117" t="s">
        <v>191</v>
      </c>
      <c r="D271" s="118">
        <v>44225</v>
      </c>
      <c r="E271" s="119">
        <v>24650</v>
      </c>
      <c r="F271" s="117"/>
      <c r="G271" s="117"/>
      <c r="H271" s="120"/>
    </row>
    <row r="272" spans="1:8">
      <c r="A272" s="116" t="s">
        <v>179</v>
      </c>
      <c r="B272" s="117" t="s">
        <v>190</v>
      </c>
      <c r="C272" s="117" t="s">
        <v>191</v>
      </c>
      <c r="D272" s="118">
        <v>44225</v>
      </c>
      <c r="E272" s="119">
        <v>171930</v>
      </c>
      <c r="F272" s="117"/>
      <c r="G272" s="117"/>
      <c r="H272" s="120"/>
    </row>
    <row r="273" spans="1:8">
      <c r="A273" s="116" t="s">
        <v>179</v>
      </c>
      <c r="B273" s="117" t="s">
        <v>190</v>
      </c>
      <c r="C273" s="117" t="s">
        <v>191</v>
      </c>
      <c r="D273" s="118">
        <v>44225</v>
      </c>
      <c r="E273" s="119">
        <v>4401</v>
      </c>
      <c r="F273" s="117"/>
      <c r="G273" s="117"/>
      <c r="H273" s="120"/>
    </row>
    <row r="274" spans="1:8">
      <c r="A274" s="116" t="s">
        <v>179</v>
      </c>
      <c r="B274" s="117" t="s">
        <v>190</v>
      </c>
      <c r="C274" s="117" t="s">
        <v>191</v>
      </c>
      <c r="D274" s="118">
        <v>44279</v>
      </c>
      <c r="E274" s="119">
        <v>99995</v>
      </c>
      <c r="F274" s="122">
        <v>65562</v>
      </c>
      <c r="G274" s="123">
        <v>44258</v>
      </c>
      <c r="H274" s="120"/>
    </row>
    <row r="275" spans="1:8">
      <c r="A275" s="116" t="s">
        <v>179</v>
      </c>
      <c r="B275" s="117" t="s">
        <v>190</v>
      </c>
      <c r="C275" s="117" t="s">
        <v>191</v>
      </c>
      <c r="D275" s="118">
        <v>44279</v>
      </c>
      <c r="E275" s="119">
        <v>46990</v>
      </c>
      <c r="F275" s="122">
        <v>65581</v>
      </c>
      <c r="G275" s="123">
        <v>44258</v>
      </c>
      <c r="H275" s="120"/>
    </row>
    <row r="276" spans="1:8">
      <c r="A276" s="116" t="s">
        <v>179</v>
      </c>
      <c r="B276" s="117" t="s">
        <v>190</v>
      </c>
      <c r="C276" s="117" t="s">
        <v>191</v>
      </c>
      <c r="D276" s="118">
        <v>44279</v>
      </c>
      <c r="E276" s="119">
        <v>23495</v>
      </c>
      <c r="F276" s="122">
        <v>65134</v>
      </c>
      <c r="G276" s="123">
        <v>44249</v>
      </c>
      <c r="H276" s="120"/>
    </row>
    <row r="277" spans="1:8">
      <c r="A277" s="116" t="s">
        <v>179</v>
      </c>
      <c r="B277" s="117" t="s">
        <v>190</v>
      </c>
      <c r="C277" s="117" t="s">
        <v>191</v>
      </c>
      <c r="D277" s="118">
        <v>44279</v>
      </c>
      <c r="E277" s="119">
        <v>338000</v>
      </c>
      <c r="F277" s="122">
        <v>64404</v>
      </c>
      <c r="G277" s="123">
        <v>44249</v>
      </c>
      <c r="H277" s="120"/>
    </row>
    <row r="278" spans="1:8">
      <c r="A278" s="116" t="s">
        <v>179</v>
      </c>
      <c r="B278" s="117" t="s">
        <v>190</v>
      </c>
      <c r="C278" s="117" t="s">
        <v>191</v>
      </c>
      <c r="D278" s="118">
        <v>44279</v>
      </c>
      <c r="E278" s="119">
        <v>10996</v>
      </c>
      <c r="F278" s="122">
        <v>64436</v>
      </c>
      <c r="G278" s="123">
        <v>44224</v>
      </c>
      <c r="H278" s="120"/>
    </row>
    <row r="279" spans="1:8">
      <c r="A279" s="116" t="s">
        <v>179</v>
      </c>
      <c r="B279" s="117" t="s">
        <v>190</v>
      </c>
      <c r="C279" s="121" t="s">
        <v>191</v>
      </c>
      <c r="D279" s="118">
        <v>44350</v>
      </c>
      <c r="E279" s="119">
        <v>92300</v>
      </c>
      <c r="F279" s="117"/>
      <c r="G279" s="117"/>
      <c r="H279" s="120"/>
    </row>
    <row r="280" spans="1:8">
      <c r="A280" s="116" t="s">
        <v>179</v>
      </c>
      <c r="B280" s="117" t="s">
        <v>190</v>
      </c>
      <c r="C280" s="121" t="s">
        <v>191</v>
      </c>
      <c r="D280" s="118">
        <v>44350</v>
      </c>
      <c r="E280" s="119">
        <v>294430</v>
      </c>
      <c r="F280" s="117"/>
      <c r="G280" s="117"/>
      <c r="H280" s="120"/>
    </row>
    <row r="281" spans="1:8">
      <c r="A281" s="116" t="s">
        <v>179</v>
      </c>
      <c r="B281" s="117" t="s">
        <v>190</v>
      </c>
      <c r="C281" s="121" t="s">
        <v>191</v>
      </c>
      <c r="D281" s="118">
        <v>44350</v>
      </c>
      <c r="E281" s="119">
        <v>83975</v>
      </c>
      <c r="F281" s="117"/>
      <c r="G281" s="117"/>
      <c r="H281" s="120"/>
    </row>
    <row r="282" spans="1:8">
      <c r="A282" s="116" t="s">
        <v>179</v>
      </c>
      <c r="B282" s="117" t="s">
        <v>190</v>
      </c>
      <c r="C282" s="121" t="s">
        <v>191</v>
      </c>
      <c r="D282" s="118">
        <v>44350</v>
      </c>
      <c r="E282" s="119">
        <v>169000</v>
      </c>
      <c r="F282" s="117"/>
      <c r="G282" s="117"/>
      <c r="H282" s="120"/>
    </row>
    <row r="283" spans="1:8">
      <c r="A283" s="116" t="s">
        <v>179</v>
      </c>
      <c r="B283" s="117" t="s">
        <v>190</v>
      </c>
      <c r="C283" s="121" t="s">
        <v>191</v>
      </c>
      <c r="D283" s="118">
        <v>44350</v>
      </c>
      <c r="E283" s="119">
        <v>67496</v>
      </c>
      <c r="F283" s="117"/>
      <c r="G283" s="117"/>
      <c r="H283" s="120"/>
    </row>
    <row r="284" spans="1:8">
      <c r="A284" s="116" t="s">
        <v>179</v>
      </c>
      <c r="B284" s="117" t="s">
        <v>190</v>
      </c>
      <c r="C284" s="121" t="s">
        <v>191</v>
      </c>
      <c r="D284" s="118">
        <v>44350</v>
      </c>
      <c r="E284" s="119">
        <v>12995</v>
      </c>
      <c r="F284" s="117"/>
      <c r="G284" s="117"/>
      <c r="H284" s="120"/>
    </row>
    <row r="285" spans="1:8">
      <c r="A285" s="116" t="s">
        <v>179</v>
      </c>
      <c r="B285" s="117" t="s">
        <v>190</v>
      </c>
      <c r="C285" s="121" t="s">
        <v>191</v>
      </c>
      <c r="D285" s="118">
        <v>44357</v>
      </c>
      <c r="E285" s="119">
        <v>114430</v>
      </c>
      <c r="F285" s="117">
        <v>70291</v>
      </c>
      <c r="G285" s="117"/>
      <c r="H285" s="120"/>
    </row>
    <row r="286" spans="1:8">
      <c r="A286" s="116" t="s">
        <v>179</v>
      </c>
      <c r="B286" s="117" t="s">
        <v>190</v>
      </c>
      <c r="C286" s="121" t="s">
        <v>191</v>
      </c>
      <c r="D286" s="118">
        <v>44357</v>
      </c>
      <c r="E286" s="119">
        <v>337995</v>
      </c>
      <c r="F286" s="117">
        <v>70293</v>
      </c>
      <c r="G286" s="117"/>
      <c r="H286" s="120"/>
    </row>
    <row r="287" spans="1:8" ht="51">
      <c r="A287" s="116" t="s">
        <v>179</v>
      </c>
      <c r="B287" s="117" t="s">
        <v>190</v>
      </c>
      <c r="C287" s="121" t="s">
        <v>191</v>
      </c>
      <c r="D287" s="118">
        <v>44357</v>
      </c>
      <c r="E287" s="119">
        <v>152882</v>
      </c>
      <c r="F287" s="117">
        <v>70053</v>
      </c>
      <c r="G287" s="117"/>
      <c r="H287" s="120" t="s">
        <v>192</v>
      </c>
    </row>
    <row r="288" spans="1:8">
      <c r="A288" s="116" t="s">
        <v>179</v>
      </c>
      <c r="B288" s="117" t="s">
        <v>190</v>
      </c>
      <c r="C288" s="121" t="s">
        <v>191</v>
      </c>
      <c r="D288" s="118">
        <v>44364</v>
      </c>
      <c r="E288" s="119">
        <v>181930</v>
      </c>
      <c r="F288" s="117">
        <v>70053</v>
      </c>
      <c r="G288" s="117"/>
      <c r="H288" s="120" t="s">
        <v>193</v>
      </c>
    </row>
    <row r="289" spans="1:8">
      <c r="A289" s="116" t="s">
        <v>179</v>
      </c>
      <c r="B289" s="117" t="s">
        <v>190</v>
      </c>
      <c r="C289" s="121" t="s">
        <v>191</v>
      </c>
      <c r="D289" s="118">
        <v>44425</v>
      </c>
      <c r="E289" s="119">
        <v>142945</v>
      </c>
      <c r="F289" s="117"/>
      <c r="G289" s="117"/>
      <c r="H289" s="120"/>
    </row>
    <row r="290" spans="1:8">
      <c r="A290" s="116" t="s">
        <v>179</v>
      </c>
      <c r="B290" s="117" t="s">
        <v>190</v>
      </c>
      <c r="C290" s="121" t="s">
        <v>191</v>
      </c>
      <c r="D290" s="118">
        <v>44425</v>
      </c>
      <c r="E290" s="119">
        <v>108340</v>
      </c>
      <c r="F290" s="117"/>
      <c r="G290" s="117"/>
      <c r="H290" s="120"/>
    </row>
    <row r="291" spans="1:8">
      <c r="A291" s="116" t="s">
        <v>179</v>
      </c>
      <c r="B291" s="117" t="s">
        <v>190</v>
      </c>
      <c r="C291" s="121" t="s">
        <v>191</v>
      </c>
      <c r="D291" s="118">
        <v>44425</v>
      </c>
      <c r="E291" s="119">
        <v>31658</v>
      </c>
      <c r="F291" s="117"/>
      <c r="G291" s="117"/>
      <c r="H291" s="120"/>
    </row>
    <row r="292" spans="1:8">
      <c r="A292" s="116" t="s">
        <v>179</v>
      </c>
      <c r="B292" s="117" t="s">
        <v>190</v>
      </c>
      <c r="C292" s="121" t="s">
        <v>191</v>
      </c>
      <c r="D292" s="118">
        <v>44425</v>
      </c>
      <c r="E292" s="119">
        <v>72278</v>
      </c>
      <c r="F292" s="117"/>
      <c r="G292" s="117"/>
      <c r="H292" s="120"/>
    </row>
    <row r="293" spans="1:8">
      <c r="A293" s="116" t="s">
        <v>179</v>
      </c>
      <c r="B293" s="117" t="s">
        <v>190</v>
      </c>
      <c r="C293" s="121" t="s">
        <v>191</v>
      </c>
      <c r="D293" s="118">
        <v>44425</v>
      </c>
      <c r="E293" s="119">
        <v>51001</v>
      </c>
      <c r="F293" s="117"/>
      <c r="G293" s="117"/>
      <c r="H293" s="120"/>
    </row>
    <row r="294" spans="1:8">
      <c r="A294" s="116" t="s">
        <v>179</v>
      </c>
      <c r="B294" s="120" t="s">
        <v>194</v>
      </c>
      <c r="C294" s="121" t="s">
        <v>195</v>
      </c>
      <c r="D294" s="118">
        <v>44228</v>
      </c>
      <c r="E294" s="119">
        <v>61107</v>
      </c>
      <c r="F294" s="117"/>
      <c r="G294" s="117"/>
      <c r="H294" s="120"/>
    </row>
    <row r="295" spans="1:8">
      <c r="A295" s="116" t="s">
        <v>179</v>
      </c>
      <c r="B295" s="120" t="s">
        <v>194</v>
      </c>
      <c r="C295" s="121" t="s">
        <v>195</v>
      </c>
      <c r="D295" s="118">
        <v>44228</v>
      </c>
      <c r="E295" s="119">
        <v>357488</v>
      </c>
      <c r="F295" s="117"/>
      <c r="G295" s="117"/>
      <c r="H295" s="120"/>
    </row>
    <row r="296" spans="1:8">
      <c r="A296" s="116" t="s">
        <v>179</v>
      </c>
      <c r="B296" s="120" t="s">
        <v>194</v>
      </c>
      <c r="C296" s="121" t="s">
        <v>195</v>
      </c>
      <c r="D296" s="118">
        <v>44228</v>
      </c>
      <c r="E296" s="119">
        <v>143633</v>
      </c>
      <c r="F296" s="117"/>
      <c r="G296" s="117"/>
      <c r="H296" s="120"/>
    </row>
    <row r="297" spans="1:8">
      <c r="A297" s="116" t="s">
        <v>179</v>
      </c>
      <c r="B297" s="120" t="s">
        <v>194</v>
      </c>
      <c r="C297" s="121" t="s">
        <v>195</v>
      </c>
      <c r="D297" s="118">
        <v>44228</v>
      </c>
      <c r="E297" s="119">
        <v>61107</v>
      </c>
      <c r="F297" s="117"/>
      <c r="G297" s="117"/>
      <c r="H297" s="120"/>
    </row>
    <row r="298" spans="1:8">
      <c r="A298" s="116" t="s">
        <v>179</v>
      </c>
      <c r="B298" s="120" t="s">
        <v>194</v>
      </c>
      <c r="C298" s="121" t="s">
        <v>195</v>
      </c>
      <c r="D298" s="118">
        <v>44228</v>
      </c>
      <c r="E298" s="119">
        <v>40460</v>
      </c>
      <c r="F298" s="117"/>
      <c r="G298" s="117"/>
      <c r="H298" s="120"/>
    </row>
    <row r="299" spans="1:8">
      <c r="A299" s="116" t="s">
        <v>179</v>
      </c>
      <c r="B299" s="120" t="s">
        <v>194</v>
      </c>
      <c r="C299" s="121" t="s">
        <v>195</v>
      </c>
      <c r="D299" s="118">
        <v>44228</v>
      </c>
      <c r="E299" s="119">
        <v>111735</v>
      </c>
      <c r="F299" s="117"/>
      <c r="G299" s="117"/>
      <c r="H299" s="120"/>
    </row>
    <row r="300" spans="1:8">
      <c r="A300" s="116" t="s">
        <v>179</v>
      </c>
      <c r="B300" s="120" t="s">
        <v>194</v>
      </c>
      <c r="C300" s="121" t="s">
        <v>195</v>
      </c>
      <c r="D300" s="118">
        <v>44228</v>
      </c>
      <c r="E300" s="119">
        <v>13090</v>
      </c>
      <c r="F300" s="117"/>
      <c r="G300" s="117"/>
      <c r="H300" s="120"/>
    </row>
    <row r="301" spans="1:8">
      <c r="A301" s="116" t="s">
        <v>179</v>
      </c>
      <c r="B301" s="120" t="s">
        <v>194</v>
      </c>
      <c r="C301" s="121" t="s">
        <v>195</v>
      </c>
      <c r="D301" s="118">
        <v>44228</v>
      </c>
      <c r="E301" s="119">
        <v>20230</v>
      </c>
      <c r="F301" s="117"/>
      <c r="G301" s="117"/>
      <c r="H301" s="120"/>
    </row>
    <row r="302" spans="1:8">
      <c r="A302" s="116" t="s">
        <v>179</v>
      </c>
      <c r="B302" s="120" t="s">
        <v>194</v>
      </c>
      <c r="C302" s="121" t="s">
        <v>195</v>
      </c>
      <c r="D302" s="118">
        <v>44232</v>
      </c>
      <c r="E302" s="119">
        <v>302879</v>
      </c>
      <c r="F302" s="117"/>
      <c r="G302" s="117"/>
      <c r="H302" s="120"/>
    </row>
    <row r="303" spans="1:8">
      <c r="A303" s="116" t="s">
        <v>179</v>
      </c>
      <c r="B303" s="120" t="s">
        <v>194</v>
      </c>
      <c r="C303" s="121" t="s">
        <v>195</v>
      </c>
      <c r="D303" s="118">
        <v>44232</v>
      </c>
      <c r="E303" s="119">
        <v>121618</v>
      </c>
      <c r="F303" s="117"/>
      <c r="G303" s="117"/>
      <c r="H303" s="120"/>
    </row>
    <row r="304" spans="1:8">
      <c r="A304" s="116" t="s">
        <v>179</v>
      </c>
      <c r="B304" s="120" t="s">
        <v>194</v>
      </c>
      <c r="C304" s="121" t="s">
        <v>195</v>
      </c>
      <c r="D304" s="118">
        <v>44232</v>
      </c>
      <c r="E304" s="119">
        <v>254130</v>
      </c>
      <c r="F304" s="117"/>
      <c r="G304" s="117"/>
      <c r="H304" s="120"/>
    </row>
    <row r="305" spans="1:8">
      <c r="A305" s="116" t="s">
        <v>179</v>
      </c>
      <c r="B305" s="120" t="s">
        <v>194</v>
      </c>
      <c r="C305" s="121" t="s">
        <v>195</v>
      </c>
      <c r="D305" s="118">
        <v>44232</v>
      </c>
      <c r="E305" s="119">
        <v>73840</v>
      </c>
      <c r="F305" s="117"/>
      <c r="G305" s="117"/>
      <c r="H305" s="120"/>
    </row>
    <row r="306" spans="1:8">
      <c r="A306" s="116" t="s">
        <v>179</v>
      </c>
      <c r="B306" s="120" t="s">
        <v>194</v>
      </c>
      <c r="C306" s="121" t="s">
        <v>195</v>
      </c>
      <c r="D306" s="118">
        <v>44232</v>
      </c>
      <c r="E306" s="119">
        <v>8568</v>
      </c>
      <c r="F306" s="117"/>
      <c r="G306" s="117"/>
      <c r="H306" s="120"/>
    </row>
    <row r="307" spans="1:8">
      <c r="A307" s="116" t="s">
        <v>179</v>
      </c>
      <c r="B307" s="120" t="s">
        <v>194</v>
      </c>
      <c r="C307" s="126" t="s">
        <v>195</v>
      </c>
      <c r="D307" s="118">
        <v>44273</v>
      </c>
      <c r="E307" s="119">
        <v>20230</v>
      </c>
      <c r="F307" s="122">
        <v>2657</v>
      </c>
      <c r="G307" s="122"/>
      <c r="H307" s="120" t="s">
        <v>196</v>
      </c>
    </row>
    <row r="308" spans="1:8">
      <c r="A308" s="116" t="s">
        <v>179</v>
      </c>
      <c r="B308" s="120" t="s">
        <v>194</v>
      </c>
      <c r="C308" s="126" t="s">
        <v>195</v>
      </c>
      <c r="D308" s="118">
        <v>44273</v>
      </c>
      <c r="E308" s="119">
        <v>93009</v>
      </c>
      <c r="F308" s="122">
        <v>2657</v>
      </c>
      <c r="G308" s="122"/>
      <c r="H308" s="120" t="s">
        <v>196</v>
      </c>
    </row>
    <row r="309" spans="1:8">
      <c r="A309" s="116" t="s">
        <v>179</v>
      </c>
      <c r="B309" s="120" t="s">
        <v>194</v>
      </c>
      <c r="C309" s="126" t="s">
        <v>195</v>
      </c>
      <c r="D309" s="118">
        <v>44273</v>
      </c>
      <c r="E309" s="119">
        <v>109678</v>
      </c>
      <c r="F309" s="122">
        <v>2657</v>
      </c>
      <c r="G309" s="122"/>
      <c r="H309" s="120" t="s">
        <v>196</v>
      </c>
    </row>
    <row r="310" spans="1:8" ht="26.1">
      <c r="A310" s="116" t="s">
        <v>179</v>
      </c>
      <c r="B310" s="120" t="s">
        <v>194</v>
      </c>
      <c r="C310" s="126" t="s">
        <v>195</v>
      </c>
      <c r="D310" s="118">
        <v>44279</v>
      </c>
      <c r="E310" s="119">
        <v>113627</v>
      </c>
      <c r="F310" s="122">
        <v>2657</v>
      </c>
      <c r="G310" s="122"/>
      <c r="H310" s="120" t="s">
        <v>197</v>
      </c>
    </row>
    <row r="311" spans="1:8">
      <c r="A311" s="116" t="s">
        <v>179</v>
      </c>
      <c r="B311" s="120" t="s">
        <v>194</v>
      </c>
      <c r="C311" s="126" t="s">
        <v>195</v>
      </c>
      <c r="D311" s="118">
        <v>44279</v>
      </c>
      <c r="E311" s="119">
        <v>102876</v>
      </c>
      <c r="F311" s="122">
        <v>2752</v>
      </c>
      <c r="G311" s="122"/>
      <c r="H311" s="120"/>
    </row>
    <row r="312" spans="1:8">
      <c r="A312" s="116" t="s">
        <v>179</v>
      </c>
      <c r="B312" s="120" t="s">
        <v>194</v>
      </c>
      <c r="C312" s="126" t="s">
        <v>195</v>
      </c>
      <c r="D312" s="118">
        <v>44279</v>
      </c>
      <c r="E312" s="119">
        <v>101150</v>
      </c>
      <c r="F312" s="122">
        <v>2759</v>
      </c>
      <c r="G312" s="122"/>
      <c r="H312" s="120"/>
    </row>
    <row r="313" spans="1:8">
      <c r="A313" s="116" t="s">
        <v>179</v>
      </c>
      <c r="B313" s="120" t="s">
        <v>194</v>
      </c>
      <c r="C313" s="126" t="s">
        <v>195</v>
      </c>
      <c r="D313" s="118">
        <v>44279</v>
      </c>
      <c r="E313" s="119">
        <v>47576</v>
      </c>
      <c r="F313" s="122">
        <v>2653</v>
      </c>
      <c r="G313" s="122"/>
      <c r="H313" s="120"/>
    </row>
    <row r="314" spans="1:8">
      <c r="A314" s="116" t="s">
        <v>179</v>
      </c>
      <c r="B314" s="120" t="s">
        <v>194</v>
      </c>
      <c r="C314" s="126" t="s">
        <v>195</v>
      </c>
      <c r="D314" s="118">
        <v>44279</v>
      </c>
      <c r="E314" s="119">
        <v>31654</v>
      </c>
      <c r="F314" s="122">
        <v>2625</v>
      </c>
      <c r="G314" s="122"/>
      <c r="H314" s="120"/>
    </row>
    <row r="315" spans="1:8">
      <c r="A315" s="116" t="s">
        <v>179</v>
      </c>
      <c r="B315" s="120" t="s">
        <v>194</v>
      </c>
      <c r="C315" s="121" t="s">
        <v>195</v>
      </c>
      <c r="D315" s="118">
        <v>44330</v>
      </c>
      <c r="E315" s="119">
        <v>83550</v>
      </c>
      <c r="F315" s="117">
        <v>2925</v>
      </c>
      <c r="G315" s="117"/>
      <c r="H315" s="120"/>
    </row>
    <row r="316" spans="1:8">
      <c r="A316" s="116" t="s">
        <v>179</v>
      </c>
      <c r="B316" s="120" t="s">
        <v>194</v>
      </c>
      <c r="C316" s="121" t="s">
        <v>195</v>
      </c>
      <c r="D316" s="118">
        <v>44330</v>
      </c>
      <c r="E316" s="119">
        <v>169575</v>
      </c>
      <c r="F316" s="117">
        <v>2913</v>
      </c>
      <c r="G316" s="117"/>
      <c r="H316" s="120"/>
    </row>
    <row r="317" spans="1:8">
      <c r="A317" s="116" t="s">
        <v>179</v>
      </c>
      <c r="B317" s="120" t="s">
        <v>194</v>
      </c>
      <c r="C317" s="121" t="s">
        <v>195</v>
      </c>
      <c r="D317" s="118">
        <v>44330</v>
      </c>
      <c r="E317" s="119">
        <v>441383</v>
      </c>
      <c r="F317" s="117">
        <v>2843</v>
      </c>
      <c r="G317" s="117"/>
      <c r="H317" s="120"/>
    </row>
    <row r="318" spans="1:8">
      <c r="A318" s="116" t="s">
        <v>179</v>
      </c>
      <c r="B318" s="120" t="s">
        <v>194</v>
      </c>
      <c r="C318" s="121" t="s">
        <v>195</v>
      </c>
      <c r="D318" s="118">
        <v>44330</v>
      </c>
      <c r="E318" s="119">
        <v>193351</v>
      </c>
      <c r="F318" s="117">
        <v>2811</v>
      </c>
      <c r="G318" s="117"/>
      <c r="H318" s="120"/>
    </row>
    <row r="319" spans="1:8">
      <c r="A319" s="116" t="s">
        <v>179</v>
      </c>
      <c r="B319" s="120" t="s">
        <v>194</v>
      </c>
      <c r="C319" s="121" t="s">
        <v>195</v>
      </c>
      <c r="D319" s="118">
        <v>44413</v>
      </c>
      <c r="E319" s="119">
        <v>14280</v>
      </c>
      <c r="F319" s="117">
        <v>3245</v>
      </c>
      <c r="G319" s="117"/>
      <c r="H319" s="120"/>
    </row>
    <row r="320" spans="1:8">
      <c r="A320" s="116" t="s">
        <v>179</v>
      </c>
      <c r="B320" s="120" t="s">
        <v>194</v>
      </c>
      <c r="C320" s="121" t="s">
        <v>195</v>
      </c>
      <c r="D320" s="118">
        <v>44413</v>
      </c>
      <c r="E320" s="119">
        <v>167302</v>
      </c>
      <c r="F320" s="117">
        <v>3240</v>
      </c>
      <c r="G320" s="117"/>
      <c r="H320" s="120"/>
    </row>
    <row r="321" spans="1:8">
      <c r="A321" s="116" t="s">
        <v>179</v>
      </c>
      <c r="B321" s="120" t="s">
        <v>194</v>
      </c>
      <c r="C321" s="121" t="s">
        <v>195</v>
      </c>
      <c r="D321" s="118">
        <v>44413</v>
      </c>
      <c r="E321" s="119">
        <v>92510</v>
      </c>
      <c r="F321" s="117">
        <v>3149</v>
      </c>
      <c r="G321" s="117"/>
      <c r="H321" s="120"/>
    </row>
    <row r="322" spans="1:8">
      <c r="A322" s="116" t="s">
        <v>179</v>
      </c>
      <c r="B322" s="120" t="s">
        <v>194</v>
      </c>
      <c r="C322" s="121" t="s">
        <v>195</v>
      </c>
      <c r="D322" s="118">
        <v>44413</v>
      </c>
      <c r="E322" s="119">
        <v>146929</v>
      </c>
      <c r="F322" s="117">
        <v>3107</v>
      </c>
      <c r="G322" s="117"/>
      <c r="H322" s="120"/>
    </row>
    <row r="323" spans="1:8">
      <c r="A323" s="116" t="s">
        <v>179</v>
      </c>
      <c r="B323" s="120" t="s">
        <v>194</v>
      </c>
      <c r="C323" s="121" t="s">
        <v>195</v>
      </c>
      <c r="D323" s="118">
        <v>44413</v>
      </c>
      <c r="E323" s="119">
        <v>29848</v>
      </c>
      <c r="F323" s="117">
        <v>3058</v>
      </c>
      <c r="G323" s="117"/>
      <c r="H323" s="120"/>
    </row>
    <row r="324" spans="1:8">
      <c r="A324" s="116" t="s">
        <v>179</v>
      </c>
      <c r="B324" s="120" t="s">
        <v>194</v>
      </c>
      <c r="C324" s="121" t="s">
        <v>195</v>
      </c>
      <c r="D324" s="118">
        <v>44413</v>
      </c>
      <c r="E324" s="119">
        <v>22610</v>
      </c>
      <c r="F324" s="117">
        <v>3046</v>
      </c>
      <c r="G324" s="117"/>
      <c r="H324" s="120"/>
    </row>
    <row r="325" spans="1:8">
      <c r="A325" s="116" t="s">
        <v>179</v>
      </c>
      <c r="B325" s="120" t="s">
        <v>194</v>
      </c>
      <c r="C325" s="121" t="s">
        <v>195</v>
      </c>
      <c r="D325" s="118">
        <v>44413</v>
      </c>
      <c r="E325" s="119">
        <v>146894</v>
      </c>
      <c r="F325" s="117">
        <v>3025</v>
      </c>
      <c r="G325" s="117"/>
      <c r="H325" s="120"/>
    </row>
    <row r="326" spans="1:8">
      <c r="A326" s="116" t="s">
        <v>179</v>
      </c>
      <c r="B326" s="120" t="s">
        <v>194</v>
      </c>
      <c r="C326" s="121" t="s">
        <v>195</v>
      </c>
      <c r="D326" s="118">
        <v>44413</v>
      </c>
      <c r="E326" s="119">
        <v>48017</v>
      </c>
      <c r="F326" s="117">
        <v>3025</v>
      </c>
      <c r="G326" s="117"/>
      <c r="H326" s="120"/>
    </row>
    <row r="327" spans="1:8">
      <c r="A327" s="116" t="s">
        <v>179</v>
      </c>
      <c r="B327" s="120" t="s">
        <v>194</v>
      </c>
      <c r="C327" s="121" t="s">
        <v>195</v>
      </c>
      <c r="D327" s="118">
        <v>44413</v>
      </c>
      <c r="E327" s="119">
        <v>664020</v>
      </c>
      <c r="F327" s="117">
        <v>2962</v>
      </c>
      <c r="G327" s="117"/>
      <c r="H327" s="120"/>
    </row>
    <row r="328" spans="1:8" ht="26.1">
      <c r="A328" s="116" t="s">
        <v>179</v>
      </c>
      <c r="B328" s="120" t="s">
        <v>198</v>
      </c>
      <c r="C328" s="126" t="s">
        <v>199</v>
      </c>
      <c r="D328" s="118">
        <v>44259</v>
      </c>
      <c r="E328" s="119">
        <v>112543</v>
      </c>
      <c r="F328" s="122"/>
      <c r="G328" s="122"/>
      <c r="H328" s="120" t="s">
        <v>200</v>
      </c>
    </row>
    <row r="329" spans="1:8">
      <c r="A329" s="116" t="s">
        <v>179</v>
      </c>
      <c r="B329" s="117" t="s">
        <v>198</v>
      </c>
      <c r="C329" s="121" t="s">
        <v>199</v>
      </c>
      <c r="D329" s="118">
        <v>44350</v>
      </c>
      <c r="E329" s="119">
        <v>110710</v>
      </c>
      <c r="F329" s="117"/>
      <c r="G329" s="117"/>
      <c r="H329" s="120"/>
    </row>
    <row r="330" spans="1:8" ht="26.1">
      <c r="A330" s="116" t="s">
        <v>201</v>
      </c>
      <c r="B330" s="120" t="s">
        <v>202</v>
      </c>
      <c r="C330" s="121" t="s">
        <v>181</v>
      </c>
      <c r="D330" s="118">
        <v>44210</v>
      </c>
      <c r="E330" s="119">
        <v>789000</v>
      </c>
      <c r="F330" s="117"/>
      <c r="G330" s="117"/>
      <c r="H330" s="120"/>
    </row>
    <row r="331" spans="1:8" ht="26.1">
      <c r="A331" s="116" t="s">
        <v>201</v>
      </c>
      <c r="B331" s="120" t="s">
        <v>202</v>
      </c>
      <c r="C331" s="121" t="s">
        <v>181</v>
      </c>
      <c r="D331" s="118">
        <v>44232</v>
      </c>
      <c r="E331" s="119">
        <v>933000</v>
      </c>
      <c r="F331" s="117"/>
      <c r="G331" s="117"/>
      <c r="H331" s="120"/>
    </row>
    <row r="332" spans="1:8" ht="26.1">
      <c r="A332" s="116" t="s">
        <v>201</v>
      </c>
      <c r="B332" s="120" t="s">
        <v>202</v>
      </c>
      <c r="C332" s="126" t="s">
        <v>181</v>
      </c>
      <c r="D332" s="118">
        <v>44265</v>
      </c>
      <c r="E332" s="119">
        <v>843500</v>
      </c>
      <c r="F332" s="122"/>
      <c r="G332" s="122"/>
      <c r="H332" s="120"/>
    </row>
    <row r="333" spans="1:8" ht="26.1">
      <c r="A333" s="116" t="s">
        <v>201</v>
      </c>
      <c r="B333" s="120" t="s">
        <v>202</v>
      </c>
      <c r="C333" s="121" t="s">
        <v>181</v>
      </c>
      <c r="D333" s="118">
        <v>44295</v>
      </c>
      <c r="E333" s="119">
        <v>764500</v>
      </c>
      <c r="F333" s="117"/>
      <c r="G333" s="117"/>
      <c r="H333" s="120"/>
    </row>
    <row r="334" spans="1:8" ht="26.1">
      <c r="A334" s="116" t="s">
        <v>201</v>
      </c>
      <c r="B334" s="120" t="s">
        <v>202</v>
      </c>
      <c r="C334" s="121" t="s">
        <v>181</v>
      </c>
      <c r="D334" s="118">
        <v>44326</v>
      </c>
      <c r="E334" s="119">
        <v>667500</v>
      </c>
      <c r="F334" s="117">
        <v>20</v>
      </c>
      <c r="G334" s="117"/>
      <c r="H334" s="120"/>
    </row>
    <row r="335" spans="1:8" ht="26.1">
      <c r="A335" s="116" t="s">
        <v>201</v>
      </c>
      <c r="B335" s="120" t="s">
        <v>202</v>
      </c>
      <c r="C335" s="121" t="s">
        <v>181</v>
      </c>
      <c r="D335" s="118">
        <v>44386</v>
      </c>
      <c r="E335" s="119">
        <v>1133500</v>
      </c>
      <c r="F335" s="117"/>
      <c r="G335" s="117"/>
      <c r="H335" s="120"/>
    </row>
    <row r="336" spans="1:8" ht="26.1">
      <c r="A336" s="116" t="s">
        <v>201</v>
      </c>
      <c r="B336" s="120" t="s">
        <v>202</v>
      </c>
      <c r="C336" s="121" t="s">
        <v>181</v>
      </c>
      <c r="D336" s="118">
        <v>44417</v>
      </c>
      <c r="E336" s="119">
        <v>816000</v>
      </c>
      <c r="F336" s="117"/>
      <c r="G336" s="117"/>
      <c r="H336" s="120"/>
    </row>
    <row r="337" spans="1:8" ht="51">
      <c r="A337" s="116" t="s">
        <v>201</v>
      </c>
      <c r="B337" s="120" t="s">
        <v>203</v>
      </c>
      <c r="C337" s="126" t="s">
        <v>204</v>
      </c>
      <c r="D337" s="118">
        <v>44203</v>
      </c>
      <c r="E337" s="119">
        <v>600000</v>
      </c>
      <c r="F337" s="122"/>
      <c r="G337" s="122"/>
      <c r="H337" s="120" t="s">
        <v>205</v>
      </c>
    </row>
    <row r="338" spans="1:8">
      <c r="A338" s="116" t="s">
        <v>201</v>
      </c>
      <c r="B338" s="120" t="s">
        <v>203</v>
      </c>
      <c r="C338" s="126" t="s">
        <v>204</v>
      </c>
      <c r="D338" s="118">
        <v>44284</v>
      </c>
      <c r="E338" s="119">
        <v>242480</v>
      </c>
      <c r="F338" s="122"/>
      <c r="G338" s="122"/>
      <c r="H338" s="120"/>
    </row>
    <row r="339" spans="1:8" ht="26.1">
      <c r="A339" s="116" t="s">
        <v>201</v>
      </c>
      <c r="B339" s="120" t="s">
        <v>203</v>
      </c>
      <c r="C339" s="121" t="s">
        <v>204</v>
      </c>
      <c r="D339" s="118">
        <v>44413</v>
      </c>
      <c r="E339" s="119">
        <v>435401</v>
      </c>
      <c r="F339" s="117">
        <v>244</v>
      </c>
      <c r="G339" s="117"/>
      <c r="H339" s="120" t="s">
        <v>206</v>
      </c>
    </row>
    <row r="340" spans="1:8">
      <c r="A340" s="116" t="s">
        <v>201</v>
      </c>
      <c r="B340" s="120" t="s">
        <v>155</v>
      </c>
      <c r="C340" s="117" t="s">
        <v>156</v>
      </c>
      <c r="D340" s="118">
        <v>44207</v>
      </c>
      <c r="E340" s="119">
        <v>204880</v>
      </c>
      <c r="F340" s="117"/>
      <c r="G340" s="117"/>
      <c r="H340" s="120" t="s">
        <v>207</v>
      </c>
    </row>
    <row r="341" spans="1:8">
      <c r="A341" s="116" t="s">
        <v>201</v>
      </c>
      <c r="B341" s="120" t="s">
        <v>155</v>
      </c>
      <c r="C341" s="121" t="s">
        <v>156</v>
      </c>
      <c r="D341" s="118">
        <v>44232</v>
      </c>
      <c r="E341" s="119">
        <v>243950</v>
      </c>
      <c r="F341" s="117"/>
      <c r="G341" s="117"/>
      <c r="H341" s="120" t="s">
        <v>208</v>
      </c>
    </row>
    <row r="342" spans="1:8">
      <c r="A342" s="116" t="s">
        <v>201</v>
      </c>
      <c r="B342" s="120" t="s">
        <v>155</v>
      </c>
      <c r="C342" s="121" t="s">
        <v>156</v>
      </c>
      <c r="D342" s="118">
        <v>44265</v>
      </c>
      <c r="E342" s="119">
        <v>105910</v>
      </c>
      <c r="F342" s="122"/>
      <c r="G342" s="122"/>
      <c r="H342" s="120" t="s">
        <v>208</v>
      </c>
    </row>
    <row r="343" spans="1:8">
      <c r="A343" s="116" t="s">
        <v>201</v>
      </c>
      <c r="B343" s="120" t="s">
        <v>155</v>
      </c>
      <c r="C343" s="126" t="s">
        <v>156</v>
      </c>
      <c r="D343" s="118">
        <v>44295</v>
      </c>
      <c r="E343" s="119">
        <v>446250</v>
      </c>
      <c r="F343" s="117"/>
      <c r="G343" s="117"/>
      <c r="H343" s="120" t="s">
        <v>208</v>
      </c>
    </row>
    <row r="344" spans="1:8">
      <c r="A344" s="116" t="s">
        <v>201</v>
      </c>
      <c r="B344" s="117" t="s">
        <v>155</v>
      </c>
      <c r="C344" s="121" t="s">
        <v>156</v>
      </c>
      <c r="D344" s="118">
        <v>44326</v>
      </c>
      <c r="E344" s="119">
        <v>243950</v>
      </c>
      <c r="F344" s="117">
        <v>105</v>
      </c>
      <c r="G344" s="117"/>
      <c r="H344" s="120" t="s">
        <v>208</v>
      </c>
    </row>
    <row r="345" spans="1:8">
      <c r="A345" s="116" t="s">
        <v>201</v>
      </c>
      <c r="B345" s="117" t="s">
        <v>155</v>
      </c>
      <c r="C345" s="121" t="s">
        <v>156</v>
      </c>
      <c r="D345" s="118">
        <v>44386</v>
      </c>
      <c r="E345" s="119">
        <v>261800</v>
      </c>
      <c r="F345" s="117"/>
      <c r="G345" s="117"/>
      <c r="H345" s="120" t="s">
        <v>208</v>
      </c>
    </row>
    <row r="346" spans="1:8">
      <c r="A346" s="116" t="s">
        <v>201</v>
      </c>
      <c r="B346" s="117" t="s">
        <v>155</v>
      </c>
      <c r="C346" s="121" t="s">
        <v>156</v>
      </c>
      <c r="D346" s="118">
        <v>44386</v>
      </c>
      <c r="E346" s="119">
        <v>261800</v>
      </c>
      <c r="F346" s="117"/>
      <c r="G346" s="117"/>
      <c r="H346" s="120" t="s">
        <v>208</v>
      </c>
    </row>
    <row r="347" spans="1:8">
      <c r="A347" s="116" t="s">
        <v>201</v>
      </c>
      <c r="B347" s="117" t="s">
        <v>155</v>
      </c>
      <c r="C347" s="121" t="s">
        <v>156</v>
      </c>
      <c r="D347" s="118">
        <v>44413</v>
      </c>
      <c r="E347" s="119">
        <v>396270</v>
      </c>
      <c r="F347" s="117"/>
      <c r="G347" s="117"/>
      <c r="H347" s="120" t="s">
        <v>208</v>
      </c>
    </row>
    <row r="348" spans="1:8" ht="26.1">
      <c r="A348" s="116" t="s">
        <v>201</v>
      </c>
      <c r="B348" s="120" t="s">
        <v>209</v>
      </c>
      <c r="C348" s="126" t="s">
        <v>210</v>
      </c>
      <c r="D348" s="118">
        <v>44232</v>
      </c>
      <c r="E348" s="119">
        <v>707100</v>
      </c>
      <c r="F348" s="117"/>
      <c r="G348" s="117"/>
      <c r="H348" s="120" t="s">
        <v>211</v>
      </c>
    </row>
    <row r="349" spans="1:8" ht="26.1">
      <c r="A349" s="116" t="s">
        <v>201</v>
      </c>
      <c r="B349" s="120" t="s">
        <v>209</v>
      </c>
      <c r="C349" s="126" t="s">
        <v>210</v>
      </c>
      <c r="D349" s="118">
        <v>44295</v>
      </c>
      <c r="E349" s="119">
        <v>180001</v>
      </c>
      <c r="F349" s="117"/>
      <c r="G349" s="117"/>
      <c r="H349" s="120" t="s">
        <v>211</v>
      </c>
    </row>
    <row r="350" spans="1:8">
      <c r="A350" s="116" t="s">
        <v>201</v>
      </c>
      <c r="B350" s="120" t="s">
        <v>212</v>
      </c>
      <c r="C350" s="117" t="s">
        <v>213</v>
      </c>
      <c r="D350" s="118">
        <v>44228</v>
      </c>
      <c r="E350" s="119">
        <v>110000</v>
      </c>
      <c r="F350" s="117">
        <v>4768</v>
      </c>
      <c r="G350" s="131">
        <v>44076</v>
      </c>
      <c r="H350" s="120"/>
    </row>
    <row r="351" spans="1:8">
      <c r="A351" s="116" t="s">
        <v>201</v>
      </c>
      <c r="B351" s="120" t="s">
        <v>212</v>
      </c>
      <c r="C351" s="121" t="s">
        <v>214</v>
      </c>
      <c r="D351" s="118">
        <v>44287</v>
      </c>
      <c r="E351" s="119">
        <v>110000</v>
      </c>
      <c r="F351" s="117"/>
      <c r="G351" s="117"/>
      <c r="H351" s="120"/>
    </row>
    <row r="352" spans="1:8" ht="38.450000000000003">
      <c r="A352" s="116" t="s">
        <v>215</v>
      </c>
      <c r="B352" s="120" t="s">
        <v>216</v>
      </c>
      <c r="C352" s="121" t="s">
        <v>217</v>
      </c>
      <c r="D352" s="118">
        <v>44232</v>
      </c>
      <c r="E352" s="119">
        <v>2000000</v>
      </c>
      <c r="F352" s="117"/>
      <c r="G352" s="117"/>
      <c r="H352" s="120" t="s">
        <v>218</v>
      </c>
    </row>
    <row r="353" spans="1:8">
      <c r="A353" s="116" t="s">
        <v>215</v>
      </c>
      <c r="B353" s="120" t="s">
        <v>216</v>
      </c>
      <c r="C353" s="126" t="s">
        <v>217</v>
      </c>
      <c r="D353" s="118">
        <v>44295</v>
      </c>
      <c r="E353" s="119">
        <v>1528000</v>
      </c>
      <c r="F353" s="117"/>
      <c r="G353" s="117"/>
      <c r="H353" s="120"/>
    </row>
    <row r="354" spans="1:8">
      <c r="A354" s="116" t="s">
        <v>215</v>
      </c>
      <c r="B354" s="120" t="s">
        <v>216</v>
      </c>
      <c r="C354" s="121" t="s">
        <v>217</v>
      </c>
      <c r="D354" s="118">
        <v>44326</v>
      </c>
      <c r="E354" s="119">
        <v>1453200</v>
      </c>
      <c r="F354" s="117">
        <v>325</v>
      </c>
      <c r="G354" s="117"/>
      <c r="H354" s="120"/>
    </row>
    <row r="355" spans="1:8">
      <c r="A355" s="116" t="s">
        <v>215</v>
      </c>
      <c r="B355" s="120" t="s">
        <v>216</v>
      </c>
      <c r="C355" s="121" t="s">
        <v>217</v>
      </c>
      <c r="D355" s="118">
        <v>44326</v>
      </c>
      <c r="E355" s="119">
        <v>1622400</v>
      </c>
      <c r="F355" s="117">
        <v>326</v>
      </c>
      <c r="G355" s="117"/>
      <c r="H355" s="120"/>
    </row>
    <row r="356" spans="1:8">
      <c r="A356" s="116" t="s">
        <v>215</v>
      </c>
      <c r="B356" s="117" t="s">
        <v>216</v>
      </c>
      <c r="C356" s="121" t="s">
        <v>217</v>
      </c>
      <c r="D356" s="118">
        <v>44363</v>
      </c>
      <c r="E356" s="119">
        <v>1768800</v>
      </c>
      <c r="F356" s="117">
        <v>343</v>
      </c>
      <c r="G356" s="117"/>
      <c r="H356" s="120"/>
    </row>
    <row r="357" spans="1:8">
      <c r="A357" s="116" t="s">
        <v>215</v>
      </c>
      <c r="B357" s="120" t="s">
        <v>216</v>
      </c>
      <c r="C357" s="121" t="s">
        <v>217</v>
      </c>
      <c r="D357" s="118">
        <v>44386</v>
      </c>
      <c r="E357" s="119">
        <v>1624800</v>
      </c>
      <c r="F357" s="117"/>
      <c r="G357" s="117"/>
      <c r="H357" s="120"/>
    </row>
    <row r="358" spans="1:8">
      <c r="A358" s="116" t="s">
        <v>219</v>
      </c>
      <c r="B358" s="120" t="s">
        <v>220</v>
      </c>
      <c r="C358" s="117" t="s">
        <v>221</v>
      </c>
      <c r="D358" s="118">
        <v>44210</v>
      </c>
      <c r="E358" s="119">
        <v>100000</v>
      </c>
      <c r="F358" s="117"/>
      <c r="G358" s="117"/>
      <c r="H358" s="120"/>
    </row>
    <row r="359" spans="1:8">
      <c r="A359" s="116" t="s">
        <v>219</v>
      </c>
      <c r="B359" s="120" t="s">
        <v>220</v>
      </c>
      <c r="C359" s="117" t="s">
        <v>221</v>
      </c>
      <c r="D359" s="118">
        <v>44225</v>
      </c>
      <c r="E359" s="119">
        <v>390000</v>
      </c>
      <c r="F359" s="117"/>
      <c r="G359" s="117"/>
      <c r="H359" s="120"/>
    </row>
    <row r="360" spans="1:8">
      <c r="A360" s="116" t="s">
        <v>219</v>
      </c>
      <c r="B360" s="120" t="s">
        <v>220</v>
      </c>
      <c r="C360" s="117" t="s">
        <v>221</v>
      </c>
      <c r="D360" s="118">
        <v>44239</v>
      </c>
      <c r="E360" s="119">
        <v>100000</v>
      </c>
      <c r="F360" s="117"/>
      <c r="G360" s="117"/>
      <c r="H360" s="120"/>
    </row>
    <row r="361" spans="1:8">
      <c r="A361" s="116" t="s">
        <v>219</v>
      </c>
      <c r="B361" s="120" t="s">
        <v>220</v>
      </c>
      <c r="C361" s="117" t="s">
        <v>221</v>
      </c>
      <c r="D361" s="118">
        <v>44256</v>
      </c>
      <c r="E361" s="119">
        <v>373000</v>
      </c>
      <c r="F361" s="117"/>
      <c r="G361" s="117"/>
      <c r="H361" s="120" t="s">
        <v>222</v>
      </c>
    </row>
    <row r="362" spans="1:8">
      <c r="A362" s="116" t="s">
        <v>219</v>
      </c>
      <c r="B362" s="120" t="s">
        <v>220</v>
      </c>
      <c r="C362" s="117" t="s">
        <v>221</v>
      </c>
      <c r="D362" s="118">
        <v>44271</v>
      </c>
      <c r="E362" s="119">
        <v>100000</v>
      </c>
      <c r="F362" s="122"/>
      <c r="G362" s="122"/>
      <c r="H362" s="120"/>
    </row>
    <row r="363" spans="1:8">
      <c r="A363" s="116" t="s">
        <v>219</v>
      </c>
      <c r="B363" s="120" t="s">
        <v>220</v>
      </c>
      <c r="C363" s="117" t="s">
        <v>221</v>
      </c>
      <c r="D363" s="118">
        <v>44285</v>
      </c>
      <c r="E363" s="119">
        <v>400000</v>
      </c>
      <c r="F363" s="122"/>
      <c r="G363" s="122"/>
      <c r="H363" s="120"/>
    </row>
    <row r="364" spans="1:8">
      <c r="A364" s="116" t="s">
        <v>219</v>
      </c>
      <c r="B364" s="120" t="s">
        <v>220</v>
      </c>
      <c r="C364" s="121" t="s">
        <v>221</v>
      </c>
      <c r="D364" s="118">
        <v>44291</v>
      </c>
      <c r="E364" s="119">
        <v>65792</v>
      </c>
      <c r="F364" s="117"/>
      <c r="G364" s="117"/>
      <c r="H364" s="120"/>
    </row>
    <row r="365" spans="1:8">
      <c r="A365" s="116" t="s">
        <v>219</v>
      </c>
      <c r="B365" s="120" t="s">
        <v>220</v>
      </c>
      <c r="C365" s="126" t="s">
        <v>221</v>
      </c>
      <c r="D365" s="118">
        <v>44300</v>
      </c>
      <c r="E365" s="119">
        <v>100000</v>
      </c>
      <c r="F365" s="117"/>
      <c r="G365" s="117"/>
      <c r="H365" s="120"/>
    </row>
    <row r="366" spans="1:8">
      <c r="A366" s="116" t="s">
        <v>219</v>
      </c>
      <c r="B366" s="120" t="s">
        <v>220</v>
      </c>
      <c r="C366" s="121" t="s">
        <v>221</v>
      </c>
      <c r="D366" s="118">
        <v>44315</v>
      </c>
      <c r="E366" s="119">
        <v>400000</v>
      </c>
      <c r="F366" s="117"/>
      <c r="G366" s="117"/>
      <c r="H366" s="120"/>
    </row>
    <row r="367" spans="1:8">
      <c r="A367" s="116" t="s">
        <v>219</v>
      </c>
      <c r="B367" s="117" t="s">
        <v>220</v>
      </c>
      <c r="C367" s="121" t="s">
        <v>221</v>
      </c>
      <c r="D367" s="118">
        <v>44330</v>
      </c>
      <c r="E367" s="119">
        <v>100000</v>
      </c>
      <c r="F367" s="117"/>
      <c r="G367" s="117"/>
      <c r="H367" s="120"/>
    </row>
    <row r="368" spans="1:8">
      <c r="A368" s="116" t="s">
        <v>219</v>
      </c>
      <c r="B368" s="117" t="s">
        <v>220</v>
      </c>
      <c r="C368" s="124" t="s">
        <v>221</v>
      </c>
      <c r="D368" s="118">
        <f>'[1]STDER 01Ene - 23Ago'!A595</f>
        <v>44347</v>
      </c>
      <c r="E368" s="119">
        <v>338113</v>
      </c>
      <c r="F368" s="122"/>
      <c r="G368" s="125"/>
      <c r="H368" s="120"/>
    </row>
    <row r="369" spans="1:8">
      <c r="A369" s="116" t="s">
        <v>219</v>
      </c>
      <c r="B369" s="117" t="s">
        <v>220</v>
      </c>
      <c r="C369" s="121" t="s">
        <v>221</v>
      </c>
      <c r="D369" s="118">
        <v>44363</v>
      </c>
      <c r="E369" s="119">
        <v>100000</v>
      </c>
      <c r="F369" s="117"/>
      <c r="G369" s="117"/>
      <c r="H369" s="120"/>
    </row>
    <row r="370" spans="1:8">
      <c r="A370" s="116" t="s">
        <v>219</v>
      </c>
      <c r="B370" s="117" t="s">
        <v>220</v>
      </c>
      <c r="C370" s="121" t="s">
        <v>221</v>
      </c>
      <c r="D370" s="118">
        <v>44376</v>
      </c>
      <c r="E370" s="119">
        <v>416448</v>
      </c>
      <c r="F370" s="122"/>
      <c r="G370" s="122"/>
      <c r="H370" s="120"/>
    </row>
    <row r="371" spans="1:8">
      <c r="A371" s="116" t="s">
        <v>219</v>
      </c>
      <c r="B371" s="117" t="s">
        <v>220</v>
      </c>
      <c r="C371" s="121" t="s">
        <v>221</v>
      </c>
      <c r="D371" s="118">
        <v>44396</v>
      </c>
      <c r="E371" s="119">
        <v>100000</v>
      </c>
      <c r="F371" s="117"/>
      <c r="G371" s="117"/>
      <c r="H371" s="120"/>
    </row>
    <row r="372" spans="1:8">
      <c r="A372" s="116" t="s">
        <v>219</v>
      </c>
      <c r="B372" s="117" t="s">
        <v>220</v>
      </c>
      <c r="C372" s="121" t="s">
        <v>221</v>
      </c>
      <c r="D372" s="118">
        <v>44406</v>
      </c>
      <c r="E372" s="119">
        <v>326448</v>
      </c>
      <c r="F372" s="117"/>
      <c r="G372" s="117"/>
      <c r="H372" s="120"/>
    </row>
    <row r="373" spans="1:8">
      <c r="A373" s="116" t="s">
        <v>219</v>
      </c>
      <c r="B373" s="117" t="s">
        <v>220</v>
      </c>
      <c r="C373" s="121" t="s">
        <v>221</v>
      </c>
      <c r="D373" s="118">
        <v>44424</v>
      </c>
      <c r="E373" s="119">
        <v>100000</v>
      </c>
      <c r="F373" s="117"/>
      <c r="G373" s="117"/>
      <c r="H373" s="120"/>
    </row>
    <row r="374" spans="1:8">
      <c r="A374" s="116" t="s">
        <v>219</v>
      </c>
      <c r="B374" s="120" t="s">
        <v>223</v>
      </c>
      <c r="C374" s="121" t="s">
        <v>224</v>
      </c>
      <c r="D374" s="118">
        <v>44425</v>
      </c>
      <c r="E374" s="119">
        <v>100000</v>
      </c>
      <c r="F374" s="117"/>
      <c r="G374" s="117"/>
      <c r="H374" s="120" t="s">
        <v>225</v>
      </c>
    </row>
    <row r="375" spans="1:8">
      <c r="A375" s="116" t="s">
        <v>219</v>
      </c>
      <c r="B375" s="120" t="s">
        <v>226</v>
      </c>
      <c r="C375" s="121" t="s">
        <v>227</v>
      </c>
      <c r="D375" s="118">
        <v>44210</v>
      </c>
      <c r="E375" s="119">
        <v>100000</v>
      </c>
      <c r="F375" s="117"/>
      <c r="G375" s="117"/>
      <c r="H375" s="120"/>
    </row>
    <row r="376" spans="1:8">
      <c r="A376" s="116" t="s">
        <v>219</v>
      </c>
      <c r="B376" s="120" t="s">
        <v>226</v>
      </c>
      <c r="C376" s="121" t="s">
        <v>227</v>
      </c>
      <c r="D376" s="118">
        <v>44225</v>
      </c>
      <c r="E376" s="119">
        <v>473000</v>
      </c>
      <c r="F376" s="117"/>
      <c r="G376" s="117"/>
      <c r="H376" s="120"/>
    </row>
    <row r="377" spans="1:8">
      <c r="A377" s="116" t="s">
        <v>219</v>
      </c>
      <c r="B377" s="120" t="s">
        <v>226</v>
      </c>
      <c r="C377" s="121" t="s">
        <v>227</v>
      </c>
      <c r="D377" s="118">
        <v>44239</v>
      </c>
      <c r="E377" s="119">
        <v>100000</v>
      </c>
      <c r="F377" s="117"/>
      <c r="G377" s="117"/>
      <c r="H377" s="120"/>
    </row>
    <row r="378" spans="1:8">
      <c r="A378" s="116" t="s">
        <v>219</v>
      </c>
      <c r="B378" s="120" t="s">
        <v>226</v>
      </c>
      <c r="C378" s="117" t="s">
        <v>227</v>
      </c>
      <c r="D378" s="118">
        <v>44256</v>
      </c>
      <c r="E378" s="119">
        <v>30000</v>
      </c>
      <c r="F378" s="117"/>
      <c r="G378" s="117"/>
      <c r="H378" s="120"/>
    </row>
    <row r="379" spans="1:8">
      <c r="A379" s="116" t="s">
        <v>219</v>
      </c>
      <c r="B379" s="120" t="s">
        <v>226</v>
      </c>
      <c r="C379" s="117" t="s">
        <v>227</v>
      </c>
      <c r="D379" s="118">
        <v>44256</v>
      </c>
      <c r="E379" s="119">
        <v>278251</v>
      </c>
      <c r="F379" s="117"/>
      <c r="G379" s="117"/>
      <c r="H379" s="120"/>
    </row>
    <row r="380" spans="1:8">
      <c r="A380" s="116" t="s">
        <v>219</v>
      </c>
      <c r="B380" s="120" t="s">
        <v>226</v>
      </c>
      <c r="C380" s="117" t="s">
        <v>228</v>
      </c>
      <c r="D380" s="118">
        <v>44294</v>
      </c>
      <c r="E380" s="119">
        <v>600000</v>
      </c>
      <c r="F380" s="117"/>
      <c r="G380" s="117"/>
      <c r="H380" s="120"/>
    </row>
    <row r="381" spans="1:8">
      <c r="A381" s="116" t="s">
        <v>219</v>
      </c>
      <c r="B381" s="120" t="s">
        <v>229</v>
      </c>
      <c r="C381" s="121" t="s">
        <v>230</v>
      </c>
      <c r="D381" s="118">
        <v>44315</v>
      </c>
      <c r="E381" s="119">
        <v>136000</v>
      </c>
      <c r="F381" s="117"/>
      <c r="G381" s="117"/>
      <c r="H381" s="120"/>
    </row>
    <row r="382" spans="1:8">
      <c r="A382" s="116" t="s">
        <v>219</v>
      </c>
      <c r="B382" s="124" t="s">
        <v>229</v>
      </c>
      <c r="C382" s="124" t="s">
        <v>230</v>
      </c>
      <c r="D382" s="118">
        <f>'[1]STDER 01Ene - 23Ago'!A594</f>
        <v>44347</v>
      </c>
      <c r="E382" s="119">
        <v>400000</v>
      </c>
      <c r="F382" s="122"/>
      <c r="G382" s="125"/>
      <c r="H382" s="120"/>
    </row>
    <row r="383" spans="1:8">
      <c r="A383" s="116" t="s">
        <v>219</v>
      </c>
      <c r="B383" s="117" t="s">
        <v>229</v>
      </c>
      <c r="C383" s="121" t="s">
        <v>230</v>
      </c>
      <c r="D383" s="118">
        <v>44363</v>
      </c>
      <c r="E383" s="119">
        <v>100000</v>
      </c>
      <c r="F383" s="117"/>
      <c r="G383" s="117"/>
      <c r="H383" s="120"/>
    </row>
    <row r="384" spans="1:8">
      <c r="A384" s="116" t="s">
        <v>219</v>
      </c>
      <c r="B384" s="117" t="s">
        <v>229</v>
      </c>
      <c r="C384" s="121" t="s">
        <v>230</v>
      </c>
      <c r="D384" s="118">
        <v>44376</v>
      </c>
      <c r="E384" s="119">
        <v>400000</v>
      </c>
      <c r="F384" s="122"/>
      <c r="G384" s="122"/>
      <c r="H384" s="120"/>
    </row>
    <row r="385" spans="1:8">
      <c r="A385" s="116" t="s">
        <v>219</v>
      </c>
      <c r="B385" s="117" t="s">
        <v>229</v>
      </c>
      <c r="C385" s="121" t="s">
        <v>230</v>
      </c>
      <c r="D385" s="118">
        <v>44396</v>
      </c>
      <c r="E385" s="119">
        <v>100000</v>
      </c>
      <c r="F385" s="117"/>
      <c r="G385" s="117"/>
      <c r="H385" s="120"/>
    </row>
    <row r="386" spans="1:8">
      <c r="A386" s="116" t="s">
        <v>219</v>
      </c>
      <c r="B386" s="117" t="s">
        <v>229</v>
      </c>
      <c r="C386" s="121" t="s">
        <v>230</v>
      </c>
      <c r="D386" s="118">
        <v>44406</v>
      </c>
      <c r="E386" s="119">
        <v>500000</v>
      </c>
      <c r="F386" s="117"/>
      <c r="G386" s="117"/>
      <c r="H386" s="120"/>
    </row>
    <row r="387" spans="1:8">
      <c r="A387" s="116" t="s">
        <v>219</v>
      </c>
      <c r="B387" s="117" t="s">
        <v>229</v>
      </c>
      <c r="C387" s="121" t="s">
        <v>230</v>
      </c>
      <c r="D387" s="118">
        <v>44424</v>
      </c>
      <c r="E387" s="119">
        <v>100000</v>
      </c>
      <c r="F387" s="117"/>
      <c r="G387" s="117"/>
      <c r="H387" s="120"/>
    </row>
    <row r="388" spans="1:8">
      <c r="A388" s="116" t="s">
        <v>219</v>
      </c>
      <c r="B388" s="120" t="s">
        <v>231</v>
      </c>
      <c r="C388" s="121" t="s">
        <v>232</v>
      </c>
      <c r="D388" s="118">
        <v>44214</v>
      </c>
      <c r="E388" s="119">
        <v>100000</v>
      </c>
      <c r="F388" s="117"/>
      <c r="G388" s="117"/>
      <c r="H388" s="120"/>
    </row>
    <row r="389" spans="1:8">
      <c r="A389" s="116" t="s">
        <v>219</v>
      </c>
      <c r="B389" s="120" t="s">
        <v>231</v>
      </c>
      <c r="C389" s="121" t="s">
        <v>232</v>
      </c>
      <c r="D389" s="118">
        <v>44225</v>
      </c>
      <c r="E389" s="119">
        <v>215000</v>
      </c>
      <c r="F389" s="117"/>
      <c r="G389" s="117"/>
      <c r="H389" s="120"/>
    </row>
    <row r="390" spans="1:8">
      <c r="A390" s="116" t="s">
        <v>219</v>
      </c>
      <c r="B390" s="120" t="s">
        <v>231</v>
      </c>
      <c r="C390" s="121" t="s">
        <v>232</v>
      </c>
      <c r="D390" s="118">
        <v>44239</v>
      </c>
      <c r="E390" s="119">
        <v>100000</v>
      </c>
      <c r="F390" s="117"/>
      <c r="G390" s="117"/>
      <c r="H390" s="120"/>
    </row>
    <row r="391" spans="1:8">
      <c r="A391" s="116" t="s">
        <v>219</v>
      </c>
      <c r="B391" s="120" t="s">
        <v>231</v>
      </c>
      <c r="C391" s="121" t="s">
        <v>232</v>
      </c>
      <c r="D391" s="118">
        <v>44256</v>
      </c>
      <c r="E391" s="119">
        <v>226250</v>
      </c>
      <c r="F391" s="117"/>
      <c r="G391" s="117"/>
      <c r="H391" s="120" t="s">
        <v>222</v>
      </c>
    </row>
    <row r="392" spans="1:8">
      <c r="A392" s="116" t="s">
        <v>219</v>
      </c>
      <c r="B392" s="120" t="s">
        <v>231</v>
      </c>
      <c r="C392" s="121" t="s">
        <v>232</v>
      </c>
      <c r="D392" s="118">
        <v>44271</v>
      </c>
      <c r="E392" s="119">
        <v>100000</v>
      </c>
      <c r="F392" s="122"/>
      <c r="G392" s="122"/>
      <c r="H392" s="120"/>
    </row>
    <row r="393" spans="1:8">
      <c r="A393" s="116" t="s">
        <v>219</v>
      </c>
      <c r="B393" s="120" t="s">
        <v>231</v>
      </c>
      <c r="C393" s="121" t="s">
        <v>232</v>
      </c>
      <c r="D393" s="118">
        <v>44285</v>
      </c>
      <c r="E393" s="119">
        <v>226500</v>
      </c>
      <c r="F393" s="122"/>
      <c r="G393" s="122"/>
      <c r="H393" s="120"/>
    </row>
    <row r="394" spans="1:8">
      <c r="A394" s="116" t="s">
        <v>219</v>
      </c>
      <c r="B394" s="120" t="s">
        <v>231</v>
      </c>
      <c r="C394" s="117" t="s">
        <v>232</v>
      </c>
      <c r="D394" s="118">
        <v>44300</v>
      </c>
      <c r="E394" s="119">
        <v>100000</v>
      </c>
      <c r="F394" s="117"/>
      <c r="G394" s="117"/>
      <c r="H394" s="120"/>
    </row>
    <row r="395" spans="1:8">
      <c r="A395" s="116" t="s">
        <v>219</v>
      </c>
      <c r="B395" s="117" t="s">
        <v>231</v>
      </c>
      <c r="C395" s="121" t="s">
        <v>233</v>
      </c>
      <c r="D395" s="118">
        <v>44314</v>
      </c>
      <c r="E395" s="119">
        <v>397763</v>
      </c>
      <c r="F395" s="117"/>
      <c r="G395" s="117"/>
      <c r="H395" s="120"/>
    </row>
    <row r="396" spans="1:8">
      <c r="A396" s="116" t="s">
        <v>219</v>
      </c>
      <c r="B396" s="120" t="s">
        <v>231</v>
      </c>
      <c r="C396" s="121" t="s">
        <v>232</v>
      </c>
      <c r="D396" s="118">
        <v>44315</v>
      </c>
      <c r="E396" s="119">
        <v>300000</v>
      </c>
      <c r="F396" s="117"/>
      <c r="G396" s="117"/>
      <c r="H396" s="120"/>
    </row>
    <row r="397" spans="1:8">
      <c r="A397" s="116" t="s">
        <v>219</v>
      </c>
      <c r="B397" s="120" t="s">
        <v>231</v>
      </c>
      <c r="C397" s="121" t="s">
        <v>232</v>
      </c>
      <c r="D397" s="118">
        <v>44330</v>
      </c>
      <c r="E397" s="119">
        <v>100000</v>
      </c>
      <c r="F397" s="117"/>
      <c r="G397" s="117"/>
      <c r="H397" s="120"/>
    </row>
    <row r="398" spans="1:8">
      <c r="A398" s="116" t="s">
        <v>219</v>
      </c>
      <c r="B398" s="124" t="s">
        <v>231</v>
      </c>
      <c r="C398" s="124" t="s">
        <v>232</v>
      </c>
      <c r="D398" s="118">
        <f>'[1]STDER 01Ene - 23Ago'!A596</f>
        <v>44347</v>
      </c>
      <c r="E398" s="119">
        <v>330000</v>
      </c>
      <c r="F398" s="122"/>
      <c r="G398" s="125"/>
      <c r="H398" s="120"/>
    </row>
    <row r="399" spans="1:8">
      <c r="A399" s="116" t="s">
        <v>219</v>
      </c>
      <c r="B399" s="117" t="s">
        <v>231</v>
      </c>
      <c r="C399" s="121" t="s">
        <v>232</v>
      </c>
      <c r="D399" s="118">
        <v>44363</v>
      </c>
      <c r="E399" s="119">
        <v>100000</v>
      </c>
      <c r="F399" s="117"/>
      <c r="G399" s="117"/>
      <c r="H399" s="120"/>
    </row>
    <row r="400" spans="1:8">
      <c r="A400" s="116" t="s">
        <v>219</v>
      </c>
      <c r="B400" s="117" t="s">
        <v>231</v>
      </c>
      <c r="C400" s="126" t="s">
        <v>232</v>
      </c>
      <c r="D400" s="118">
        <v>44376</v>
      </c>
      <c r="E400" s="119">
        <v>350000</v>
      </c>
      <c r="F400" s="122"/>
      <c r="G400" s="122"/>
      <c r="H400" s="120"/>
    </row>
    <row r="401" spans="1:8">
      <c r="A401" s="116" t="s">
        <v>219</v>
      </c>
      <c r="B401" s="117" t="s">
        <v>231</v>
      </c>
      <c r="C401" s="121" t="s">
        <v>233</v>
      </c>
      <c r="D401" s="118">
        <v>44378</v>
      </c>
      <c r="E401" s="119">
        <v>312545</v>
      </c>
      <c r="F401" s="117"/>
      <c r="G401" s="117"/>
      <c r="H401" s="120"/>
    </row>
    <row r="402" spans="1:8">
      <c r="A402" s="116" t="s">
        <v>219</v>
      </c>
      <c r="B402" s="117" t="s">
        <v>231</v>
      </c>
      <c r="C402" s="121" t="s">
        <v>232</v>
      </c>
      <c r="D402" s="118">
        <v>44396</v>
      </c>
      <c r="E402" s="119">
        <v>100000</v>
      </c>
      <c r="F402" s="117"/>
      <c r="G402" s="117"/>
      <c r="H402" s="120"/>
    </row>
    <row r="403" spans="1:8">
      <c r="A403" s="116" t="s">
        <v>219</v>
      </c>
      <c r="B403" s="117" t="s">
        <v>231</v>
      </c>
      <c r="C403" s="121" t="s">
        <v>233</v>
      </c>
      <c r="D403" s="118">
        <v>44396</v>
      </c>
      <c r="E403" s="119">
        <v>432270</v>
      </c>
      <c r="F403" s="117"/>
      <c r="G403" s="117"/>
      <c r="H403" s="120"/>
    </row>
    <row r="404" spans="1:8">
      <c r="A404" s="116" t="s">
        <v>219</v>
      </c>
      <c r="B404" s="117" t="s">
        <v>231</v>
      </c>
      <c r="C404" s="121" t="s">
        <v>232</v>
      </c>
      <c r="D404" s="118">
        <v>44406</v>
      </c>
      <c r="E404" s="119">
        <v>380000</v>
      </c>
      <c r="F404" s="117"/>
      <c r="G404" s="117"/>
      <c r="H404" s="120"/>
    </row>
    <row r="405" spans="1:8">
      <c r="A405" s="116" t="s">
        <v>219</v>
      </c>
      <c r="B405" s="117" t="s">
        <v>231</v>
      </c>
      <c r="C405" s="121" t="s">
        <v>232</v>
      </c>
      <c r="D405" s="118">
        <v>44424</v>
      </c>
      <c r="E405" s="119">
        <v>100000</v>
      </c>
      <c r="F405" s="117"/>
      <c r="G405" s="117"/>
      <c r="H405" s="120"/>
    </row>
    <row r="406" spans="1:8" ht="26.1">
      <c r="A406" s="116" t="s">
        <v>219</v>
      </c>
      <c r="B406" s="120" t="s">
        <v>234</v>
      </c>
      <c r="C406" s="117" t="s">
        <v>235</v>
      </c>
      <c r="D406" s="118">
        <v>44210</v>
      </c>
      <c r="E406" s="119">
        <v>100000</v>
      </c>
      <c r="F406" s="117"/>
      <c r="G406" s="117"/>
      <c r="H406" s="120"/>
    </row>
    <row r="407" spans="1:8" ht="26.1">
      <c r="A407" s="116" t="s">
        <v>219</v>
      </c>
      <c r="B407" s="120" t="s">
        <v>234</v>
      </c>
      <c r="C407" s="117" t="s">
        <v>235</v>
      </c>
      <c r="D407" s="118">
        <v>44225</v>
      </c>
      <c r="E407" s="119">
        <v>400000</v>
      </c>
      <c r="F407" s="117"/>
      <c r="G407" s="117"/>
      <c r="H407" s="120"/>
    </row>
    <row r="408" spans="1:8" ht="26.1">
      <c r="A408" s="116" t="s">
        <v>219</v>
      </c>
      <c r="B408" s="120" t="s">
        <v>234</v>
      </c>
      <c r="C408" s="117" t="s">
        <v>235</v>
      </c>
      <c r="D408" s="118">
        <v>44239</v>
      </c>
      <c r="E408" s="119">
        <v>100000</v>
      </c>
      <c r="F408" s="117"/>
      <c r="G408" s="117"/>
      <c r="H408" s="120"/>
    </row>
    <row r="409" spans="1:8" ht="26.1">
      <c r="A409" s="116" t="s">
        <v>219</v>
      </c>
      <c r="B409" s="120" t="s">
        <v>234</v>
      </c>
      <c r="C409" s="117" t="s">
        <v>235</v>
      </c>
      <c r="D409" s="118">
        <v>44256</v>
      </c>
      <c r="E409" s="119">
        <v>233000</v>
      </c>
      <c r="F409" s="117"/>
      <c r="G409" s="117"/>
      <c r="H409" s="120" t="s">
        <v>222</v>
      </c>
    </row>
    <row r="410" spans="1:8" ht="26.1">
      <c r="A410" s="116" t="s">
        <v>219</v>
      </c>
      <c r="B410" s="120" t="s">
        <v>234</v>
      </c>
      <c r="C410" s="117" t="s">
        <v>235</v>
      </c>
      <c r="D410" s="118">
        <v>44266</v>
      </c>
      <c r="E410" s="119">
        <v>101889</v>
      </c>
      <c r="F410" s="122"/>
      <c r="G410" s="122"/>
      <c r="H410" s="120" t="s">
        <v>236</v>
      </c>
    </row>
    <row r="411" spans="1:8">
      <c r="A411" s="116" t="s">
        <v>219</v>
      </c>
      <c r="B411" s="120" t="s">
        <v>237</v>
      </c>
      <c r="C411" s="117" t="s">
        <v>238</v>
      </c>
      <c r="D411" s="118">
        <v>44285</v>
      </c>
      <c r="E411" s="119">
        <v>400000</v>
      </c>
      <c r="F411" s="122"/>
      <c r="G411" s="122"/>
      <c r="H411" s="120"/>
    </row>
    <row r="412" spans="1:8">
      <c r="A412" s="116" t="s">
        <v>219</v>
      </c>
      <c r="B412" s="120" t="s">
        <v>237</v>
      </c>
      <c r="C412" s="121" t="s">
        <v>238</v>
      </c>
      <c r="D412" s="118">
        <v>44315</v>
      </c>
      <c r="E412" s="119">
        <v>400000</v>
      </c>
      <c r="F412" s="117"/>
      <c r="G412" s="117"/>
      <c r="H412" s="120"/>
    </row>
    <row r="413" spans="1:8">
      <c r="A413" s="116" t="s">
        <v>219</v>
      </c>
      <c r="B413" s="124" t="s">
        <v>237</v>
      </c>
      <c r="C413" s="124" t="s">
        <v>238</v>
      </c>
      <c r="D413" s="118">
        <f>'[1]STDER 01Ene - 23Ago'!A593</f>
        <v>44347</v>
      </c>
      <c r="E413" s="119">
        <v>450000</v>
      </c>
      <c r="F413" s="122"/>
      <c r="G413" s="125"/>
      <c r="H413" s="120"/>
    </row>
    <row r="414" spans="1:8">
      <c r="A414" s="116" t="s">
        <v>219</v>
      </c>
      <c r="B414" s="117" t="s">
        <v>237</v>
      </c>
      <c r="C414" s="121" t="s">
        <v>238</v>
      </c>
      <c r="D414" s="118">
        <v>44361</v>
      </c>
      <c r="E414" s="119">
        <v>91308</v>
      </c>
      <c r="F414" s="117"/>
      <c r="G414" s="117"/>
      <c r="H414" s="120"/>
    </row>
    <row r="415" spans="1:8">
      <c r="A415" s="116" t="s">
        <v>219</v>
      </c>
      <c r="B415" s="117" t="s">
        <v>237</v>
      </c>
      <c r="C415" s="126" t="s">
        <v>238</v>
      </c>
      <c r="D415" s="118">
        <v>44376</v>
      </c>
      <c r="E415" s="119">
        <v>460000</v>
      </c>
      <c r="F415" s="122"/>
      <c r="G415" s="122"/>
      <c r="H415" s="120"/>
    </row>
    <row r="416" spans="1:8">
      <c r="A416" s="116" t="s">
        <v>219</v>
      </c>
      <c r="B416" s="120" t="s">
        <v>237</v>
      </c>
      <c r="C416" s="121" t="s">
        <v>238</v>
      </c>
      <c r="D416" s="118">
        <v>44396</v>
      </c>
      <c r="E416" s="119">
        <v>105600</v>
      </c>
      <c r="F416" s="117"/>
      <c r="G416" s="117"/>
      <c r="H416" s="120"/>
    </row>
    <row r="417" spans="1:8">
      <c r="A417" s="116" t="s">
        <v>219</v>
      </c>
      <c r="B417" s="120" t="s">
        <v>237</v>
      </c>
      <c r="C417" s="121" t="s">
        <v>238</v>
      </c>
      <c r="D417" s="118">
        <v>44406</v>
      </c>
      <c r="E417" s="119">
        <v>500000</v>
      </c>
      <c r="F417" s="117"/>
      <c r="G417" s="117"/>
      <c r="H417" s="120"/>
    </row>
    <row r="418" spans="1:8">
      <c r="A418" s="116" t="s">
        <v>219</v>
      </c>
      <c r="B418" s="120" t="s">
        <v>239</v>
      </c>
      <c r="C418" s="117" t="s">
        <v>240</v>
      </c>
      <c r="D418" s="118">
        <v>44210</v>
      </c>
      <c r="E418" s="119">
        <v>100000</v>
      </c>
      <c r="F418" s="117"/>
      <c r="G418" s="117"/>
      <c r="H418" s="120"/>
    </row>
    <row r="419" spans="1:8">
      <c r="A419" s="116" t="s">
        <v>219</v>
      </c>
      <c r="B419" s="120" t="s">
        <v>239</v>
      </c>
      <c r="C419" s="117" t="s">
        <v>240</v>
      </c>
      <c r="D419" s="118">
        <v>44225</v>
      </c>
      <c r="E419" s="119">
        <v>700000</v>
      </c>
      <c r="F419" s="117"/>
      <c r="G419" s="117"/>
      <c r="H419" s="120"/>
    </row>
    <row r="420" spans="1:8">
      <c r="A420" s="116" t="s">
        <v>219</v>
      </c>
      <c r="B420" s="120" t="s">
        <v>239</v>
      </c>
      <c r="C420" s="117" t="s">
        <v>240</v>
      </c>
      <c r="D420" s="118">
        <v>44256</v>
      </c>
      <c r="E420" s="119">
        <v>700000</v>
      </c>
      <c r="F420" s="117"/>
      <c r="G420" s="117"/>
      <c r="H420" s="120" t="s">
        <v>241</v>
      </c>
    </row>
    <row r="421" spans="1:8">
      <c r="A421" s="116" t="s">
        <v>219</v>
      </c>
      <c r="B421" s="120" t="s">
        <v>239</v>
      </c>
      <c r="C421" s="117" t="s">
        <v>240</v>
      </c>
      <c r="D421" s="118">
        <v>44271</v>
      </c>
      <c r="E421" s="119">
        <v>100000</v>
      </c>
      <c r="F421" s="122"/>
      <c r="G421" s="122"/>
      <c r="H421" s="120"/>
    </row>
    <row r="422" spans="1:8">
      <c r="A422" s="116" t="s">
        <v>219</v>
      </c>
      <c r="B422" s="120" t="s">
        <v>239</v>
      </c>
      <c r="C422" s="117" t="s">
        <v>240</v>
      </c>
      <c r="D422" s="118">
        <v>44285</v>
      </c>
      <c r="E422" s="119">
        <v>600000</v>
      </c>
      <c r="F422" s="122"/>
      <c r="G422" s="122"/>
      <c r="H422" s="120" t="s">
        <v>242</v>
      </c>
    </row>
    <row r="423" spans="1:8">
      <c r="A423" s="116" t="s">
        <v>219</v>
      </c>
      <c r="B423" s="120" t="s">
        <v>239</v>
      </c>
      <c r="C423" s="117" t="s">
        <v>38</v>
      </c>
      <c r="D423" s="118">
        <v>44287</v>
      </c>
      <c r="E423" s="119">
        <v>100000</v>
      </c>
      <c r="F423" s="117"/>
      <c r="G423" s="117"/>
      <c r="H423" s="120" t="s">
        <v>243</v>
      </c>
    </row>
    <row r="424" spans="1:8">
      <c r="A424" s="116" t="s">
        <v>219</v>
      </c>
      <c r="B424" s="120" t="s">
        <v>239</v>
      </c>
      <c r="C424" s="117" t="s">
        <v>38</v>
      </c>
      <c r="D424" s="118">
        <v>44300</v>
      </c>
      <c r="E424" s="119">
        <v>100000</v>
      </c>
      <c r="F424" s="117"/>
      <c r="G424" s="117"/>
      <c r="H424" s="120"/>
    </row>
    <row r="425" spans="1:8">
      <c r="A425" s="116" t="s">
        <v>219</v>
      </c>
      <c r="B425" s="120" t="s">
        <v>239</v>
      </c>
      <c r="C425" s="121" t="s">
        <v>38</v>
      </c>
      <c r="D425" s="118">
        <v>44315</v>
      </c>
      <c r="E425" s="119">
        <v>700000</v>
      </c>
      <c r="F425" s="117"/>
      <c r="G425" s="117"/>
      <c r="H425" s="120"/>
    </row>
    <row r="426" spans="1:8">
      <c r="A426" s="116" t="s">
        <v>219</v>
      </c>
      <c r="B426" s="117" t="s">
        <v>239</v>
      </c>
      <c r="C426" s="121" t="s">
        <v>38</v>
      </c>
      <c r="D426" s="118">
        <v>44330</v>
      </c>
      <c r="E426" s="119">
        <v>100000</v>
      </c>
      <c r="F426" s="117"/>
      <c r="G426" s="117"/>
      <c r="H426" s="120"/>
    </row>
    <row r="427" spans="1:8">
      <c r="A427" s="116" t="s">
        <v>219</v>
      </c>
      <c r="B427" s="124" t="s">
        <v>239</v>
      </c>
      <c r="C427" s="124" t="s">
        <v>38</v>
      </c>
      <c r="D427" s="118">
        <f>'[1]STDER 01Ene - 23Ago'!A592</f>
        <v>44347</v>
      </c>
      <c r="E427" s="119">
        <v>700000</v>
      </c>
      <c r="F427" s="122"/>
      <c r="G427" s="125"/>
      <c r="H427" s="120"/>
    </row>
    <row r="428" spans="1:8">
      <c r="A428" s="116" t="s">
        <v>219</v>
      </c>
      <c r="B428" s="117" t="s">
        <v>239</v>
      </c>
      <c r="C428" s="121" t="s">
        <v>38</v>
      </c>
      <c r="D428" s="118">
        <v>44363</v>
      </c>
      <c r="E428" s="119">
        <v>100000</v>
      </c>
      <c r="F428" s="117"/>
      <c r="G428" s="117"/>
      <c r="H428" s="120"/>
    </row>
    <row r="429" spans="1:8">
      <c r="A429" s="116" t="s">
        <v>219</v>
      </c>
      <c r="B429" s="117" t="s">
        <v>239</v>
      </c>
      <c r="C429" s="126" t="s">
        <v>38</v>
      </c>
      <c r="D429" s="118">
        <v>44376</v>
      </c>
      <c r="E429" s="119">
        <v>700000</v>
      </c>
      <c r="F429" s="122"/>
      <c r="G429" s="122"/>
      <c r="H429" s="120"/>
    </row>
    <row r="430" spans="1:8">
      <c r="A430" s="116" t="s">
        <v>219</v>
      </c>
      <c r="B430" s="117" t="s">
        <v>239</v>
      </c>
      <c r="C430" s="121" t="s">
        <v>38</v>
      </c>
      <c r="D430" s="118">
        <v>44396</v>
      </c>
      <c r="E430" s="119">
        <v>100000</v>
      </c>
      <c r="F430" s="117"/>
      <c r="G430" s="117"/>
      <c r="H430" s="120"/>
    </row>
    <row r="431" spans="1:8">
      <c r="A431" s="116" t="s">
        <v>219</v>
      </c>
      <c r="B431" s="117" t="s">
        <v>239</v>
      </c>
      <c r="C431" s="121" t="s">
        <v>38</v>
      </c>
      <c r="D431" s="118">
        <v>44406</v>
      </c>
      <c r="E431" s="119">
        <v>800000</v>
      </c>
      <c r="F431" s="117"/>
      <c r="G431" s="117"/>
      <c r="H431" s="120"/>
    </row>
    <row r="432" spans="1:8">
      <c r="A432" s="116" t="s">
        <v>219</v>
      </c>
      <c r="B432" s="120" t="s">
        <v>239</v>
      </c>
      <c r="C432" s="121" t="s">
        <v>38</v>
      </c>
      <c r="D432" s="118">
        <v>44424</v>
      </c>
      <c r="E432" s="119">
        <v>100000</v>
      </c>
      <c r="F432" s="117"/>
      <c r="G432" s="117"/>
      <c r="H432" s="120"/>
    </row>
    <row r="433" spans="1:8">
      <c r="A433" s="116" t="s">
        <v>219</v>
      </c>
      <c r="B433" s="120" t="s">
        <v>244</v>
      </c>
      <c r="C433" s="117" t="s">
        <v>245</v>
      </c>
      <c r="D433" s="118">
        <v>44210</v>
      </c>
      <c r="E433" s="119">
        <v>100000</v>
      </c>
      <c r="F433" s="117"/>
      <c r="G433" s="117"/>
      <c r="H433" s="120"/>
    </row>
    <row r="434" spans="1:8">
      <c r="A434" s="116" t="s">
        <v>219</v>
      </c>
      <c r="B434" s="120" t="s">
        <v>244</v>
      </c>
      <c r="C434" s="117" t="s">
        <v>245</v>
      </c>
      <c r="D434" s="118">
        <v>44225</v>
      </c>
      <c r="E434" s="119">
        <v>400000</v>
      </c>
      <c r="F434" s="117"/>
      <c r="G434" s="117"/>
      <c r="H434" s="120"/>
    </row>
    <row r="435" spans="1:8">
      <c r="A435" s="116" t="s">
        <v>219</v>
      </c>
      <c r="B435" s="120" t="s">
        <v>244</v>
      </c>
      <c r="C435" s="117" t="s">
        <v>245</v>
      </c>
      <c r="D435" s="118">
        <v>44244</v>
      </c>
      <c r="E435" s="119">
        <v>100000</v>
      </c>
      <c r="F435" s="117"/>
      <c r="G435" s="117"/>
      <c r="H435" s="120"/>
    </row>
    <row r="436" spans="1:8">
      <c r="A436" s="116" t="s">
        <v>219</v>
      </c>
      <c r="B436" s="120" t="s">
        <v>244</v>
      </c>
      <c r="C436" s="117" t="s">
        <v>245</v>
      </c>
      <c r="D436" s="118">
        <v>44256</v>
      </c>
      <c r="E436" s="119">
        <v>400000</v>
      </c>
      <c r="F436" s="117"/>
      <c r="G436" s="117"/>
      <c r="H436" s="120" t="s">
        <v>246</v>
      </c>
    </row>
    <row r="437" spans="1:8">
      <c r="A437" s="116" t="s">
        <v>219</v>
      </c>
      <c r="B437" s="120" t="s">
        <v>244</v>
      </c>
      <c r="C437" s="117" t="s">
        <v>245</v>
      </c>
      <c r="D437" s="118">
        <v>44271</v>
      </c>
      <c r="E437" s="119">
        <v>100000</v>
      </c>
      <c r="F437" s="122"/>
      <c r="G437" s="122"/>
      <c r="H437" s="120"/>
    </row>
    <row r="438" spans="1:8">
      <c r="A438" s="116" t="s">
        <v>219</v>
      </c>
      <c r="B438" s="120" t="s">
        <v>244</v>
      </c>
      <c r="C438" s="117" t="s">
        <v>245</v>
      </c>
      <c r="D438" s="118">
        <v>44285</v>
      </c>
      <c r="E438" s="119">
        <v>400000</v>
      </c>
      <c r="F438" s="122"/>
      <c r="G438" s="122"/>
      <c r="H438" s="120"/>
    </row>
    <row r="439" spans="1:8">
      <c r="A439" s="116" t="s">
        <v>219</v>
      </c>
      <c r="B439" s="120" t="s">
        <v>244</v>
      </c>
      <c r="C439" s="117" t="s">
        <v>245</v>
      </c>
      <c r="D439" s="118">
        <v>44291</v>
      </c>
      <c r="E439" s="119">
        <v>32896</v>
      </c>
      <c r="F439" s="117"/>
      <c r="G439" s="117"/>
      <c r="H439" s="120"/>
    </row>
    <row r="440" spans="1:8">
      <c r="A440" s="116" t="s">
        <v>219</v>
      </c>
      <c r="B440" s="120" t="s">
        <v>244</v>
      </c>
      <c r="C440" s="117" t="s">
        <v>245</v>
      </c>
      <c r="D440" s="118">
        <v>44300</v>
      </c>
      <c r="E440" s="119">
        <v>100000</v>
      </c>
      <c r="F440" s="117"/>
      <c r="G440" s="117"/>
      <c r="H440" s="120"/>
    </row>
    <row r="441" spans="1:8">
      <c r="A441" s="116" t="s">
        <v>219</v>
      </c>
      <c r="B441" s="117" t="s">
        <v>244</v>
      </c>
      <c r="C441" s="121" t="s">
        <v>245</v>
      </c>
      <c r="D441" s="118">
        <v>44316</v>
      </c>
      <c r="E441" s="119">
        <v>400000</v>
      </c>
      <c r="F441" s="117"/>
      <c r="G441" s="117"/>
      <c r="H441" s="120"/>
    </row>
    <row r="442" spans="1:8">
      <c r="A442" s="116" t="s">
        <v>219</v>
      </c>
      <c r="B442" s="120" t="s">
        <v>244</v>
      </c>
      <c r="C442" s="117" t="s">
        <v>245</v>
      </c>
      <c r="D442" s="118">
        <v>44330</v>
      </c>
      <c r="E442" s="119">
        <v>8224</v>
      </c>
      <c r="F442" s="117"/>
      <c r="G442" s="117"/>
      <c r="H442" s="120"/>
    </row>
    <row r="443" spans="1:8">
      <c r="A443" s="116" t="s">
        <v>219</v>
      </c>
      <c r="B443" s="120" t="s">
        <v>244</v>
      </c>
      <c r="C443" s="117" t="s">
        <v>245</v>
      </c>
      <c r="D443" s="118">
        <v>44330</v>
      </c>
      <c r="E443" s="119">
        <v>100000</v>
      </c>
      <c r="F443" s="117"/>
      <c r="G443" s="117"/>
      <c r="H443" s="120"/>
    </row>
    <row r="444" spans="1:8">
      <c r="A444" s="116" t="s">
        <v>219</v>
      </c>
      <c r="B444" s="117" t="s">
        <v>244</v>
      </c>
      <c r="C444" s="121" t="s">
        <v>245</v>
      </c>
      <c r="D444" s="118">
        <v>44350</v>
      </c>
      <c r="E444" s="119">
        <v>408224</v>
      </c>
      <c r="F444" s="117"/>
      <c r="G444" s="117"/>
      <c r="H444" s="120"/>
    </row>
    <row r="445" spans="1:8">
      <c r="A445" s="116" t="s">
        <v>219</v>
      </c>
      <c r="B445" s="117" t="s">
        <v>244</v>
      </c>
      <c r="C445" s="121" t="s">
        <v>245</v>
      </c>
      <c r="D445" s="118">
        <v>44363</v>
      </c>
      <c r="E445" s="119">
        <v>100000</v>
      </c>
      <c r="F445" s="117"/>
      <c r="G445" s="117"/>
      <c r="H445" s="120"/>
    </row>
    <row r="446" spans="1:8">
      <c r="A446" s="116" t="s">
        <v>219</v>
      </c>
      <c r="B446" s="117" t="s">
        <v>244</v>
      </c>
      <c r="C446" s="121" t="s">
        <v>245</v>
      </c>
      <c r="D446" s="118">
        <v>44376</v>
      </c>
      <c r="E446" s="119">
        <v>368224</v>
      </c>
      <c r="F446" s="122"/>
      <c r="G446" s="122"/>
      <c r="H446" s="120"/>
    </row>
    <row r="447" spans="1:8">
      <c r="A447" s="116" t="s">
        <v>219</v>
      </c>
      <c r="B447" s="120" t="s">
        <v>244</v>
      </c>
      <c r="C447" s="121" t="s">
        <v>245</v>
      </c>
      <c r="D447" s="118">
        <v>44396</v>
      </c>
      <c r="E447" s="119">
        <v>100000</v>
      </c>
      <c r="F447" s="117"/>
      <c r="G447" s="117"/>
      <c r="H447" s="120"/>
    </row>
    <row r="448" spans="1:8">
      <c r="A448" s="116" t="s">
        <v>219</v>
      </c>
      <c r="B448" s="117" t="s">
        <v>244</v>
      </c>
      <c r="C448" s="121" t="s">
        <v>245</v>
      </c>
      <c r="D448" s="118">
        <v>44406</v>
      </c>
      <c r="E448" s="119">
        <v>268224</v>
      </c>
      <c r="F448" s="117"/>
      <c r="G448" s="117"/>
      <c r="H448" s="120"/>
    </row>
    <row r="449" spans="1:8">
      <c r="A449" s="116" t="s">
        <v>219</v>
      </c>
      <c r="B449" s="117" t="s">
        <v>244</v>
      </c>
      <c r="C449" s="121" t="s">
        <v>245</v>
      </c>
      <c r="D449" s="118">
        <v>44424</v>
      </c>
      <c r="E449" s="119">
        <v>100000</v>
      </c>
      <c r="F449" s="117"/>
      <c r="G449" s="117"/>
      <c r="H449" s="120"/>
    </row>
    <row r="450" spans="1:8">
      <c r="A450" s="116" t="s">
        <v>219</v>
      </c>
      <c r="B450" s="117" t="s">
        <v>247</v>
      </c>
      <c r="C450" s="121" t="s">
        <v>248</v>
      </c>
      <c r="D450" s="118">
        <v>44363</v>
      </c>
      <c r="E450" s="119">
        <v>100000</v>
      </c>
      <c r="F450" s="117"/>
      <c r="G450" s="117"/>
      <c r="H450" s="120"/>
    </row>
    <row r="451" spans="1:8" ht="26.1">
      <c r="A451" s="116" t="s">
        <v>219</v>
      </c>
      <c r="B451" s="120" t="s">
        <v>247</v>
      </c>
      <c r="C451" s="126" t="s">
        <v>248</v>
      </c>
      <c r="D451" s="118">
        <v>44376</v>
      </c>
      <c r="E451" s="119">
        <v>150000</v>
      </c>
      <c r="F451" s="122"/>
      <c r="G451" s="122"/>
      <c r="H451" s="120"/>
    </row>
    <row r="452" spans="1:8" ht="26.1">
      <c r="A452" s="116" t="s">
        <v>219</v>
      </c>
      <c r="B452" s="120" t="s">
        <v>247</v>
      </c>
      <c r="C452" s="121" t="s">
        <v>248</v>
      </c>
      <c r="D452" s="118">
        <v>44396</v>
      </c>
      <c r="E452" s="119">
        <v>100000</v>
      </c>
      <c r="F452" s="117"/>
      <c r="G452" s="117"/>
      <c r="H452" s="120"/>
    </row>
    <row r="453" spans="1:8" ht="26.1">
      <c r="A453" s="116" t="s">
        <v>219</v>
      </c>
      <c r="B453" s="120" t="s">
        <v>247</v>
      </c>
      <c r="C453" s="121" t="s">
        <v>248</v>
      </c>
      <c r="D453" s="118">
        <v>44406</v>
      </c>
      <c r="E453" s="119">
        <v>300000</v>
      </c>
      <c r="F453" s="117"/>
      <c r="G453" s="117"/>
      <c r="H453" s="120"/>
    </row>
    <row r="454" spans="1:8" ht="26.1">
      <c r="A454" s="116" t="s">
        <v>219</v>
      </c>
      <c r="B454" s="120" t="s">
        <v>247</v>
      </c>
      <c r="C454" s="121" t="s">
        <v>248</v>
      </c>
      <c r="D454" s="118">
        <v>44424</v>
      </c>
      <c r="E454" s="119">
        <v>100000</v>
      </c>
      <c r="F454" s="117"/>
      <c r="G454" s="117"/>
      <c r="H454" s="120"/>
    </row>
    <row r="455" spans="1:8" ht="26.1">
      <c r="A455" s="116" t="s">
        <v>219</v>
      </c>
      <c r="B455" s="120" t="s">
        <v>249</v>
      </c>
      <c r="C455" s="117" t="s">
        <v>250</v>
      </c>
      <c r="D455" s="118">
        <v>44232</v>
      </c>
      <c r="E455" s="119">
        <v>150000</v>
      </c>
      <c r="F455" s="117"/>
      <c r="G455" s="117"/>
      <c r="H455" s="120"/>
    </row>
    <row r="456" spans="1:8" ht="26.1">
      <c r="A456" s="116" t="s">
        <v>251</v>
      </c>
      <c r="B456" s="120" t="s">
        <v>12</v>
      </c>
      <c r="C456" s="117" t="s">
        <v>13</v>
      </c>
      <c r="D456" s="118">
        <v>44292</v>
      </c>
      <c r="E456" s="119">
        <v>425614</v>
      </c>
      <c r="F456" s="117"/>
      <c r="G456" s="117"/>
      <c r="H456" s="120" t="s">
        <v>252</v>
      </c>
    </row>
    <row r="457" spans="1:8">
      <c r="A457" s="116" t="s">
        <v>251</v>
      </c>
      <c r="B457" s="120" t="s">
        <v>253</v>
      </c>
      <c r="C457" s="117"/>
      <c r="D457" s="118">
        <v>44207</v>
      </c>
      <c r="E457" s="119">
        <v>941687</v>
      </c>
      <c r="F457" s="117"/>
      <c r="G457" s="117"/>
      <c r="H457" s="120"/>
    </row>
    <row r="458" spans="1:8">
      <c r="A458" s="116" t="s">
        <v>251</v>
      </c>
      <c r="B458" s="120" t="s">
        <v>253</v>
      </c>
      <c r="C458" s="122"/>
      <c r="D458" s="118">
        <v>44239</v>
      </c>
      <c r="E458" s="119">
        <v>1138225</v>
      </c>
      <c r="F458" s="117"/>
      <c r="G458" s="117"/>
      <c r="H458" s="120"/>
    </row>
    <row r="459" spans="1:8">
      <c r="A459" s="116" t="s">
        <v>251</v>
      </c>
      <c r="B459" s="120" t="s">
        <v>253</v>
      </c>
      <c r="C459" s="122"/>
      <c r="D459" s="118">
        <v>44265</v>
      </c>
      <c r="E459" s="119">
        <v>1167524</v>
      </c>
      <c r="F459" s="122"/>
      <c r="G459" s="122"/>
      <c r="H459" s="120"/>
    </row>
    <row r="460" spans="1:8">
      <c r="A460" s="116" t="s">
        <v>251</v>
      </c>
      <c r="B460" s="120" t="s">
        <v>253</v>
      </c>
      <c r="C460" s="126"/>
      <c r="D460" s="118">
        <v>44298</v>
      </c>
      <c r="E460" s="119">
        <v>1123289</v>
      </c>
      <c r="F460" s="117"/>
      <c r="G460" s="117"/>
      <c r="H460" s="120"/>
    </row>
    <row r="461" spans="1:8">
      <c r="A461" s="116" t="s">
        <v>251</v>
      </c>
      <c r="B461" s="120" t="s">
        <v>253</v>
      </c>
      <c r="C461" s="121"/>
      <c r="D461" s="118">
        <v>44326</v>
      </c>
      <c r="E461" s="119">
        <v>1083911</v>
      </c>
      <c r="F461" s="117"/>
      <c r="G461" s="117"/>
      <c r="H461" s="120"/>
    </row>
    <row r="462" spans="1:8">
      <c r="A462" s="116" t="s">
        <v>251</v>
      </c>
      <c r="B462" s="117" t="s">
        <v>253</v>
      </c>
      <c r="C462" s="121"/>
      <c r="D462" s="118">
        <v>44357</v>
      </c>
      <c r="E462" s="119">
        <v>1064729</v>
      </c>
      <c r="F462" s="117"/>
      <c r="G462" s="117"/>
      <c r="H462" s="120"/>
    </row>
    <row r="463" spans="1:8">
      <c r="A463" s="116" t="s">
        <v>251</v>
      </c>
      <c r="B463" s="120" t="s">
        <v>253</v>
      </c>
      <c r="C463" s="121"/>
      <c r="D463" s="118">
        <v>44389</v>
      </c>
      <c r="E463" s="119">
        <v>1058097</v>
      </c>
      <c r="F463" s="117"/>
      <c r="G463" s="117"/>
      <c r="H463" s="120"/>
    </row>
    <row r="464" spans="1:8">
      <c r="A464" s="116" t="s">
        <v>251</v>
      </c>
      <c r="B464" s="120" t="s">
        <v>253</v>
      </c>
      <c r="C464" s="122"/>
      <c r="D464" s="118">
        <v>44419</v>
      </c>
      <c r="E464" s="119">
        <v>1286503</v>
      </c>
      <c r="F464" s="117"/>
      <c r="G464" s="117"/>
      <c r="H464" s="120"/>
    </row>
    <row r="465" spans="1:8" ht="26.1">
      <c r="A465" s="116" t="s">
        <v>254</v>
      </c>
      <c r="B465" s="120" t="s">
        <v>255</v>
      </c>
      <c r="C465" s="117"/>
      <c r="D465" s="118">
        <v>44230</v>
      </c>
      <c r="E465" s="119">
        <v>455175</v>
      </c>
      <c r="F465" s="117"/>
      <c r="G465" s="117"/>
      <c r="H465" s="120"/>
    </row>
    <row r="466" spans="1:8" ht="26.1">
      <c r="A466" s="116" t="s">
        <v>254</v>
      </c>
      <c r="B466" s="120" t="s">
        <v>255</v>
      </c>
      <c r="C466" s="122"/>
      <c r="D466" s="118">
        <v>44258</v>
      </c>
      <c r="E466" s="119">
        <v>455175</v>
      </c>
      <c r="F466" s="122"/>
      <c r="G466" s="122"/>
      <c r="H466" s="120"/>
    </row>
    <row r="467" spans="1:8" ht="26.1">
      <c r="A467" s="116" t="s">
        <v>254</v>
      </c>
      <c r="B467" s="120" t="s">
        <v>255</v>
      </c>
      <c r="C467" s="121"/>
      <c r="D467" s="118">
        <v>44291</v>
      </c>
      <c r="E467" s="119">
        <v>455175</v>
      </c>
      <c r="F467" s="117"/>
      <c r="G467" s="117"/>
      <c r="H467" s="120"/>
    </row>
    <row r="468" spans="1:8" ht="26.1">
      <c r="A468" s="116" t="s">
        <v>254</v>
      </c>
      <c r="B468" s="120" t="s">
        <v>255</v>
      </c>
      <c r="C468" s="121"/>
      <c r="D468" s="118">
        <v>44319</v>
      </c>
      <c r="E468" s="119">
        <v>455175</v>
      </c>
      <c r="F468" s="117"/>
      <c r="G468" s="117"/>
      <c r="H468" s="120"/>
    </row>
    <row r="469" spans="1:8" ht="26.1">
      <c r="A469" s="116" t="s">
        <v>254</v>
      </c>
      <c r="B469" s="120" t="s">
        <v>255</v>
      </c>
      <c r="C469" s="121"/>
      <c r="D469" s="118">
        <v>44350</v>
      </c>
      <c r="E469" s="119">
        <v>455175</v>
      </c>
      <c r="F469" s="117"/>
      <c r="G469" s="117"/>
      <c r="H469" s="120"/>
    </row>
    <row r="470" spans="1:8" ht="26.1">
      <c r="A470" s="116" t="s">
        <v>254</v>
      </c>
      <c r="B470" s="120" t="s">
        <v>255</v>
      </c>
      <c r="C470" s="121"/>
      <c r="D470" s="118">
        <v>44382</v>
      </c>
      <c r="E470" s="119">
        <v>455175</v>
      </c>
      <c r="F470" s="117"/>
      <c r="G470" s="117"/>
      <c r="H470" s="120"/>
    </row>
    <row r="471" spans="1:8" ht="26.1">
      <c r="A471" s="116" t="s">
        <v>254</v>
      </c>
      <c r="B471" s="120" t="s">
        <v>255</v>
      </c>
      <c r="C471" s="122"/>
      <c r="D471" s="118">
        <v>44411</v>
      </c>
      <c r="E471" s="119">
        <v>455175</v>
      </c>
      <c r="F471" s="117"/>
      <c r="G471" s="117"/>
      <c r="H471" s="120"/>
    </row>
    <row r="472" spans="1:8" ht="26.1">
      <c r="A472" s="116" t="s">
        <v>254</v>
      </c>
      <c r="B472" s="120" t="s">
        <v>256</v>
      </c>
      <c r="C472" s="117" t="s">
        <v>257</v>
      </c>
      <c r="D472" s="118">
        <v>44222</v>
      </c>
      <c r="E472" s="119">
        <v>171803</v>
      </c>
      <c r="F472" s="117"/>
      <c r="G472" s="117"/>
      <c r="H472" s="120" t="s">
        <v>258</v>
      </c>
    </row>
    <row r="473" spans="1:8">
      <c r="A473" s="116" t="s">
        <v>254</v>
      </c>
      <c r="B473" s="120" t="s">
        <v>256</v>
      </c>
      <c r="C473" s="117" t="s">
        <v>257</v>
      </c>
      <c r="D473" s="118">
        <v>44225</v>
      </c>
      <c r="E473" s="119">
        <v>171803</v>
      </c>
      <c r="F473" s="117"/>
      <c r="G473" s="117"/>
      <c r="H473" s="120" t="s">
        <v>259</v>
      </c>
    </row>
    <row r="474" spans="1:8">
      <c r="A474" s="116" t="s">
        <v>260</v>
      </c>
      <c r="B474" s="120" t="s">
        <v>261</v>
      </c>
      <c r="C474" s="117"/>
      <c r="D474" s="118">
        <v>44216</v>
      </c>
      <c r="E474" s="119">
        <v>1900131</v>
      </c>
      <c r="F474" s="117"/>
      <c r="G474" s="117"/>
      <c r="H474" s="120"/>
    </row>
    <row r="475" spans="1:8">
      <c r="A475" s="116" t="s">
        <v>260</v>
      </c>
      <c r="B475" s="120" t="s">
        <v>261</v>
      </c>
      <c r="C475" s="122"/>
      <c r="D475" s="118">
        <v>44249</v>
      </c>
      <c r="E475" s="119">
        <v>1941347</v>
      </c>
      <c r="F475" s="117"/>
      <c r="G475" s="117"/>
      <c r="H475" s="120"/>
    </row>
    <row r="476" spans="1:8">
      <c r="A476" s="116" t="s">
        <v>260</v>
      </c>
      <c r="B476" s="120" t="s">
        <v>261</v>
      </c>
      <c r="C476" s="122"/>
      <c r="D476" s="118">
        <v>44277</v>
      </c>
      <c r="E476" s="119">
        <v>1986384</v>
      </c>
      <c r="F476" s="122"/>
      <c r="G476" s="122"/>
      <c r="H476" s="120"/>
    </row>
    <row r="477" spans="1:8">
      <c r="A477" s="116" t="s">
        <v>260</v>
      </c>
      <c r="B477" s="120" t="s">
        <v>261</v>
      </c>
      <c r="C477" s="121"/>
      <c r="D477" s="118">
        <v>44307</v>
      </c>
      <c r="E477" s="119">
        <v>1798487</v>
      </c>
      <c r="F477" s="117"/>
      <c r="G477" s="117"/>
      <c r="H477" s="120"/>
    </row>
    <row r="478" spans="1:8">
      <c r="A478" s="116" t="s">
        <v>260</v>
      </c>
      <c r="B478" s="120" t="s">
        <v>261</v>
      </c>
      <c r="C478" s="122"/>
      <c r="D478" s="118">
        <v>44340</v>
      </c>
      <c r="E478" s="119">
        <v>2083053</v>
      </c>
      <c r="F478" s="122"/>
      <c r="G478" s="122"/>
      <c r="H478" s="120"/>
    </row>
    <row r="479" spans="1:8">
      <c r="A479" s="116" t="s">
        <v>260</v>
      </c>
      <c r="B479" s="120" t="s">
        <v>261</v>
      </c>
      <c r="C479" s="122"/>
      <c r="D479" s="118">
        <f>'[1]STDER 01Ene - 23Ago'!A591</f>
        <v>44347</v>
      </c>
      <c r="E479" s="119">
        <v>2523945</v>
      </c>
      <c r="F479" s="122"/>
      <c r="G479" s="125"/>
      <c r="H479" s="120"/>
    </row>
    <row r="480" spans="1:8">
      <c r="A480" s="116" t="s">
        <v>260</v>
      </c>
      <c r="B480" s="120" t="s">
        <v>261</v>
      </c>
      <c r="C480" s="121"/>
      <c r="D480" s="118">
        <v>44371</v>
      </c>
      <c r="E480" s="119">
        <v>2088872</v>
      </c>
      <c r="F480" s="117"/>
      <c r="G480" s="117"/>
      <c r="H480" s="120"/>
    </row>
    <row r="481" spans="1:8">
      <c r="A481" s="116" t="s">
        <v>260</v>
      </c>
      <c r="B481" s="120" t="s">
        <v>261</v>
      </c>
      <c r="C481" s="121"/>
      <c r="D481" s="118">
        <v>44397</v>
      </c>
      <c r="E481" s="119">
        <v>2630754</v>
      </c>
      <c r="F481" s="117"/>
      <c r="G481" s="117"/>
      <c r="H481" s="120"/>
    </row>
    <row r="482" spans="1:8">
      <c r="A482" s="116" t="s">
        <v>260</v>
      </c>
      <c r="B482" s="120" t="s">
        <v>261</v>
      </c>
      <c r="C482" s="121"/>
      <c r="D482" s="118">
        <v>44428</v>
      </c>
      <c r="E482" s="119" t="s">
        <v>262</v>
      </c>
      <c r="F482" s="117"/>
      <c r="G482" s="117"/>
      <c r="H482" s="120"/>
    </row>
    <row r="483" spans="1:8">
      <c r="A483" s="116" t="s">
        <v>260</v>
      </c>
      <c r="B483" s="120" t="s">
        <v>263</v>
      </c>
      <c r="C483" s="121"/>
      <c r="D483" s="118">
        <v>44294</v>
      </c>
      <c r="E483" s="119">
        <v>103184</v>
      </c>
      <c r="F483" s="117"/>
      <c r="G483" s="117"/>
      <c r="H483" s="120"/>
    </row>
    <row r="484" spans="1:8" ht="26.1">
      <c r="A484" s="116" t="s">
        <v>264</v>
      </c>
      <c r="B484" s="120" t="s">
        <v>265</v>
      </c>
      <c r="C484" s="121"/>
      <c r="D484" s="118">
        <v>44228</v>
      </c>
      <c r="E484" s="119">
        <v>15000000</v>
      </c>
      <c r="F484" s="117"/>
      <c r="G484" s="117"/>
      <c r="H484" s="120"/>
    </row>
    <row r="485" spans="1:8" ht="26.1">
      <c r="A485" s="132" t="s">
        <v>264</v>
      </c>
      <c r="B485" s="120" t="s">
        <v>265</v>
      </c>
      <c r="C485" s="121"/>
      <c r="D485" s="118">
        <v>44384</v>
      </c>
      <c r="E485" s="119">
        <v>30000000</v>
      </c>
      <c r="F485" s="117"/>
      <c r="G485" s="117"/>
      <c r="H485" s="120"/>
    </row>
    <row r="486" spans="1:8" ht="26.1">
      <c r="A486" s="116" t="s">
        <v>266</v>
      </c>
      <c r="B486" s="120" t="s">
        <v>267</v>
      </c>
      <c r="C486" s="121" t="s">
        <v>268</v>
      </c>
      <c r="D486" s="118">
        <v>44271</v>
      </c>
      <c r="E486" s="119">
        <v>85000</v>
      </c>
      <c r="F486" s="117"/>
      <c r="G486" s="117"/>
      <c r="H486" s="120" t="s">
        <v>269</v>
      </c>
    </row>
    <row r="487" spans="1:8" ht="26.1">
      <c r="A487" s="116" t="s">
        <v>266</v>
      </c>
      <c r="B487" s="120" t="s">
        <v>270</v>
      </c>
      <c r="C487" s="121" t="s">
        <v>271</v>
      </c>
      <c r="D487" s="118">
        <v>44363</v>
      </c>
      <c r="E487" s="119">
        <v>335000</v>
      </c>
      <c r="F487" s="117"/>
      <c r="G487" s="117"/>
      <c r="H487" s="120"/>
    </row>
    <row r="488" spans="1:8" ht="26.1">
      <c r="A488" s="116" t="s">
        <v>266</v>
      </c>
      <c r="B488" s="117" t="s">
        <v>237</v>
      </c>
      <c r="C488" s="121" t="s">
        <v>238</v>
      </c>
      <c r="D488" s="118">
        <v>44363</v>
      </c>
      <c r="E488" s="119">
        <v>228789</v>
      </c>
      <c r="F488" s="117"/>
      <c r="G488" s="117"/>
      <c r="H488" s="120" t="s">
        <v>272</v>
      </c>
    </row>
    <row r="489" spans="1:8" ht="26.1">
      <c r="A489" s="116" t="s">
        <v>266</v>
      </c>
      <c r="B489" s="120" t="s">
        <v>239</v>
      </c>
      <c r="C489" s="121" t="s">
        <v>38</v>
      </c>
      <c r="D489" s="118">
        <v>44330</v>
      </c>
      <c r="E489" s="119">
        <v>74650</v>
      </c>
      <c r="F489" s="117"/>
      <c r="G489" s="117"/>
      <c r="H489" s="120" t="s">
        <v>273</v>
      </c>
    </row>
    <row r="490" spans="1:8">
      <c r="A490" s="116" t="s">
        <v>266</v>
      </c>
      <c r="B490" s="120" t="s">
        <v>239</v>
      </c>
      <c r="C490" s="121" t="s">
        <v>38</v>
      </c>
      <c r="D490" s="118">
        <v>44350</v>
      </c>
      <c r="E490" s="119">
        <v>113000</v>
      </c>
      <c r="F490" s="117"/>
      <c r="G490" s="117"/>
      <c r="H490" s="120" t="s">
        <v>274</v>
      </c>
    </row>
    <row r="491" spans="1:8">
      <c r="A491" s="116" t="s">
        <v>266</v>
      </c>
      <c r="B491" s="120" t="s">
        <v>239</v>
      </c>
      <c r="C491" s="121" t="s">
        <v>38</v>
      </c>
      <c r="D491" s="118">
        <v>44410</v>
      </c>
      <c r="E491" s="119">
        <v>74000</v>
      </c>
      <c r="F491" s="117"/>
      <c r="G491" s="117"/>
      <c r="H491" s="120"/>
    </row>
    <row r="492" spans="1:8">
      <c r="A492" s="116" t="s">
        <v>266</v>
      </c>
      <c r="B492" s="120" t="s">
        <v>275</v>
      </c>
      <c r="C492" s="121" t="s">
        <v>276</v>
      </c>
      <c r="D492" s="118">
        <v>44370</v>
      </c>
      <c r="E492" s="119">
        <v>37000</v>
      </c>
      <c r="F492" s="117"/>
      <c r="G492" s="117"/>
      <c r="H492" s="120" t="s">
        <v>277</v>
      </c>
    </row>
    <row r="493" spans="1:8">
      <c r="A493" s="116" t="s">
        <v>266</v>
      </c>
      <c r="B493" s="120" t="s">
        <v>278</v>
      </c>
      <c r="C493" s="121" t="s">
        <v>279</v>
      </c>
      <c r="D493" s="118">
        <v>44295</v>
      </c>
      <c r="E493" s="119">
        <v>25000</v>
      </c>
      <c r="F493" s="117"/>
      <c r="G493" s="117"/>
      <c r="H493" s="120" t="s">
        <v>280</v>
      </c>
    </row>
    <row r="494" spans="1:8" ht="26.1">
      <c r="A494" s="116" t="s">
        <v>266</v>
      </c>
      <c r="B494" s="120" t="s">
        <v>281</v>
      </c>
      <c r="C494" s="121" t="s">
        <v>282</v>
      </c>
      <c r="D494" s="118">
        <v>44405</v>
      </c>
      <c r="E494" s="119">
        <v>295833</v>
      </c>
      <c r="F494" s="117"/>
      <c r="G494" s="117"/>
      <c r="H494" s="120" t="s">
        <v>283</v>
      </c>
    </row>
    <row r="495" spans="1:8">
      <c r="A495" s="116" t="s">
        <v>266</v>
      </c>
      <c r="B495" s="120" t="s">
        <v>284</v>
      </c>
      <c r="C495" s="121" t="s">
        <v>285</v>
      </c>
      <c r="D495" s="118">
        <v>44327</v>
      </c>
      <c r="E495" s="119">
        <v>59600</v>
      </c>
      <c r="F495" s="117">
        <v>186</v>
      </c>
      <c r="G495" s="117"/>
      <c r="H495" s="120" t="s">
        <v>286</v>
      </c>
    </row>
    <row r="496" spans="1:8" ht="26.1">
      <c r="A496" s="116" t="s">
        <v>266</v>
      </c>
      <c r="B496" s="120" t="s">
        <v>287</v>
      </c>
      <c r="C496" s="121" t="s">
        <v>288</v>
      </c>
      <c r="D496" s="118">
        <f>'[1]STDER 01Ene - 23Ago'!A579</f>
        <v>44342</v>
      </c>
      <c r="E496" s="119">
        <v>29500</v>
      </c>
      <c r="F496" s="117"/>
      <c r="G496" s="117"/>
      <c r="H496" s="120"/>
    </row>
    <row r="497" spans="1:8">
      <c r="A497" s="116" t="s">
        <v>289</v>
      </c>
      <c r="B497" s="120" t="s">
        <v>290</v>
      </c>
      <c r="C497" s="121" t="s">
        <v>291</v>
      </c>
      <c r="D497" s="118">
        <v>44207</v>
      </c>
      <c r="E497" s="119">
        <v>174019</v>
      </c>
      <c r="F497" s="117"/>
      <c r="G497" s="117"/>
      <c r="H497" s="120"/>
    </row>
    <row r="498" spans="1:8">
      <c r="A498" s="116" t="s">
        <v>289</v>
      </c>
      <c r="B498" s="120" t="s">
        <v>290</v>
      </c>
      <c r="C498" s="121" t="s">
        <v>291</v>
      </c>
      <c r="D498" s="118">
        <v>44252</v>
      </c>
      <c r="E498" s="119">
        <v>214581</v>
      </c>
      <c r="F498" s="117"/>
      <c r="G498" s="117"/>
      <c r="H498" s="120"/>
    </row>
    <row r="499" spans="1:8">
      <c r="A499" s="116" t="s">
        <v>289</v>
      </c>
      <c r="B499" s="120" t="s">
        <v>290</v>
      </c>
      <c r="C499" s="121" t="s">
        <v>291</v>
      </c>
      <c r="D499" s="118">
        <v>44265</v>
      </c>
      <c r="E499" s="119">
        <v>189025</v>
      </c>
      <c r="F499" s="117"/>
      <c r="G499" s="117"/>
      <c r="H499" s="120"/>
    </row>
    <row r="500" spans="1:8">
      <c r="A500" s="116"/>
      <c r="B500" s="120" t="s">
        <v>292</v>
      </c>
      <c r="C500" s="121" t="s">
        <v>293</v>
      </c>
      <c r="D500" s="118">
        <v>44273</v>
      </c>
      <c r="E500" s="119">
        <v>20000</v>
      </c>
      <c r="F500" s="117"/>
      <c r="G500" s="117"/>
      <c r="H500" s="120" t="s">
        <v>294</v>
      </c>
    </row>
    <row r="501" spans="1:8" ht="26.1">
      <c r="A501" s="116"/>
      <c r="B501" s="120" t="s">
        <v>49</v>
      </c>
      <c r="C501" s="121"/>
      <c r="D501" s="118">
        <v>44228</v>
      </c>
      <c r="E501" s="119">
        <v>35000</v>
      </c>
      <c r="F501" s="117"/>
      <c r="G501" s="117"/>
      <c r="H501" s="120"/>
    </row>
    <row r="502" spans="1:8">
      <c r="A502" s="116"/>
      <c r="B502" s="120" t="s">
        <v>295</v>
      </c>
      <c r="C502" s="121" t="s">
        <v>296</v>
      </c>
      <c r="D502" s="118">
        <v>44294</v>
      </c>
      <c r="E502" s="119">
        <v>31000</v>
      </c>
      <c r="F502" s="117"/>
      <c r="G502" s="117"/>
      <c r="H502" s="120"/>
    </row>
    <row r="503" spans="1:8" ht="15" customHeight="1">
      <c r="A503" s="132"/>
      <c r="B503" s="120" t="s">
        <v>297</v>
      </c>
      <c r="C503" s="121" t="s">
        <v>298</v>
      </c>
      <c r="D503" s="118">
        <v>44379</v>
      </c>
      <c r="E503" s="119">
        <v>34000</v>
      </c>
      <c r="F503" s="117"/>
      <c r="G503" s="117"/>
      <c r="H503" s="120"/>
    </row>
    <row r="504" spans="1:8" ht="15" customHeight="1">
      <c r="A504" s="116"/>
      <c r="B504" s="120" t="s">
        <v>56</v>
      </c>
      <c r="C504" s="121" t="s">
        <v>57</v>
      </c>
      <c r="D504" s="118">
        <v>44364</v>
      </c>
      <c r="E504" s="119">
        <v>7390</v>
      </c>
      <c r="F504" s="117"/>
      <c r="G504" s="117"/>
      <c r="H504" s="120"/>
    </row>
    <row r="505" spans="1:8" ht="15" customHeight="1">
      <c r="A505" s="116"/>
      <c r="B505" s="120" t="s">
        <v>299</v>
      </c>
      <c r="C505" s="121" t="s">
        <v>300</v>
      </c>
      <c r="D505" s="118">
        <v>44300</v>
      </c>
      <c r="E505" s="119">
        <v>643854</v>
      </c>
      <c r="F505" s="117"/>
      <c r="G505" s="117"/>
      <c r="H505" s="120" t="s">
        <v>301</v>
      </c>
    </row>
  </sheetData>
  <autoFilter ref="A1:E505" xr:uid="{E5E943A0-32E1-4E64-893E-249A94CE28CA}"/>
  <pageMargins left="0.59055118110236227" right="0.27559055118110237" top="0.6692913385826772" bottom="0.55118110236220474" header="0.31496062992125984" footer="0.31496062992125984"/>
  <pageSetup orientation="portrait" horizontalDpi="0" verticalDpi="0" r:id="rId1"/>
  <rowBreaks count="6" manualBreakCount="6">
    <brk id="102" max="16383" man="1"/>
    <brk id="188" max="16383" man="1"/>
    <brk id="329" max="16383" man="1"/>
    <brk id="357" max="16383" man="1"/>
    <brk id="464" max="16383" man="1"/>
    <brk id="49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AD04-C10F-4718-A30A-9DC7210049DC}">
  <dimension ref="A1:O4"/>
  <sheetViews>
    <sheetView workbookViewId="0">
      <selection activeCell="I14" sqref="I14"/>
    </sheetView>
  </sheetViews>
  <sheetFormatPr defaultColWidth="11.42578125" defaultRowHeight="14.45"/>
  <sheetData>
    <row r="1" spans="1:15">
      <c r="A1" s="12" t="s">
        <v>441</v>
      </c>
      <c r="B1" s="12"/>
      <c r="C1" s="87" t="s">
        <v>304</v>
      </c>
      <c r="D1" s="87" t="s">
        <v>305</v>
      </c>
      <c r="E1" s="87" t="s">
        <v>306</v>
      </c>
      <c r="F1" s="87" t="s">
        <v>307</v>
      </c>
      <c r="G1" s="87" t="s">
        <v>308</v>
      </c>
      <c r="H1" s="87" t="s">
        <v>309</v>
      </c>
      <c r="I1" s="87" t="s">
        <v>310</v>
      </c>
      <c r="J1" s="87" t="s">
        <v>311</v>
      </c>
      <c r="K1" s="87" t="s">
        <v>312</v>
      </c>
      <c r="L1" s="87" t="s">
        <v>313</v>
      </c>
      <c r="M1" s="87" t="s">
        <v>314</v>
      </c>
      <c r="N1" s="87" t="s">
        <v>315</v>
      </c>
      <c r="O1" s="87" t="s">
        <v>316</v>
      </c>
    </row>
    <row r="2" spans="1:15">
      <c r="A2" s="3">
        <v>1810</v>
      </c>
      <c r="B2" s="3" t="s">
        <v>442</v>
      </c>
      <c r="C2" s="6">
        <f>SUM(D2:O2)</f>
        <v>15000000</v>
      </c>
      <c r="D2" s="6">
        <v>15000000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>
      <c r="A3" s="53"/>
      <c r="B3" s="8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53" t="s">
        <v>304</v>
      </c>
      <c r="B4" s="53"/>
      <c r="C4" s="69">
        <f>SUM(D4:F4)</f>
        <v>15000000</v>
      </c>
      <c r="D4" s="7">
        <f>SUM(D2)</f>
        <v>15000000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CBA05-9B22-4543-8F87-FE90F3746470}">
  <sheetPr>
    <pageSetUpPr fitToPage="1"/>
  </sheetPr>
  <dimension ref="A1:O37"/>
  <sheetViews>
    <sheetView workbookViewId="0">
      <pane ySplit="1" topLeftCell="A2" activePane="bottomLeft" state="frozen"/>
      <selection pane="bottomLeft" activeCell="E38" sqref="E38"/>
    </sheetView>
  </sheetViews>
  <sheetFormatPr defaultColWidth="11.42578125" defaultRowHeight="14.45"/>
  <cols>
    <col min="1" max="1" width="8.42578125" customWidth="1"/>
    <col min="2" max="2" width="12.140625" customWidth="1"/>
    <col min="3" max="3" width="11.85546875" customWidth="1"/>
    <col min="4" max="15" width="11" bestFit="1" customWidth="1"/>
  </cols>
  <sheetData>
    <row r="1" spans="1:15" ht="15.6" thickTop="1" thickBot="1">
      <c r="A1" s="92" t="s">
        <v>302</v>
      </c>
      <c r="B1" s="16" t="s">
        <v>303</v>
      </c>
      <c r="C1" s="17" t="s">
        <v>304</v>
      </c>
      <c r="D1" s="17" t="s">
        <v>305</v>
      </c>
      <c r="E1" s="17" t="s">
        <v>306</v>
      </c>
      <c r="F1" s="17" t="s">
        <v>307</v>
      </c>
      <c r="G1" s="17" t="s">
        <v>308</v>
      </c>
      <c r="H1" s="17" t="s">
        <v>309</v>
      </c>
      <c r="I1" s="17" t="s">
        <v>310</v>
      </c>
      <c r="J1" s="17" t="s">
        <v>311</v>
      </c>
      <c r="K1" s="17" t="s">
        <v>312</v>
      </c>
      <c r="L1" s="17" t="s">
        <v>313</v>
      </c>
      <c r="M1" s="17" t="s">
        <v>314</v>
      </c>
      <c r="N1" s="17" t="s">
        <v>315</v>
      </c>
      <c r="O1" s="17" t="s">
        <v>316</v>
      </c>
    </row>
    <row r="2" spans="1:15" ht="15.6" thickTop="1" thickBot="1">
      <c r="A2" s="90">
        <v>1100</v>
      </c>
      <c r="B2" s="18" t="s">
        <v>317</v>
      </c>
      <c r="C2" s="19">
        <f t="shared" ref="C2:O2" si="0">SUM(C3:C7)</f>
        <v>19657609</v>
      </c>
      <c r="D2" s="19">
        <f t="shared" si="0"/>
        <v>3776949</v>
      </c>
      <c r="E2" s="19">
        <f t="shared" si="0"/>
        <v>3534226</v>
      </c>
      <c r="F2" s="19">
        <f t="shared" si="0"/>
        <v>3535406</v>
      </c>
      <c r="G2" s="19">
        <f t="shared" si="0"/>
        <v>5031244</v>
      </c>
      <c r="H2" s="19">
        <f t="shared" si="0"/>
        <v>3779784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</row>
    <row r="3" spans="1:15" ht="15" thickTop="1">
      <c r="A3" s="91">
        <v>1110</v>
      </c>
      <c r="B3" s="4" t="s">
        <v>318</v>
      </c>
      <c r="C3" s="46">
        <f>SUM(D3:O3)</f>
        <v>13563434</v>
      </c>
      <c r="D3" s="46">
        <f>'1100 Operacional'!D9</f>
        <v>2726874</v>
      </c>
      <c r="E3" s="46">
        <f>'1100 Operacional'!E9</f>
        <v>2672613</v>
      </c>
      <c r="F3" s="46">
        <f>'1100 Operacional'!F9</f>
        <v>2694085</v>
      </c>
      <c r="G3" s="46">
        <f>'1100 Operacional'!G9</f>
        <v>2743031</v>
      </c>
      <c r="H3" s="46">
        <f>'1100 Operacional'!H9</f>
        <v>2726831</v>
      </c>
      <c r="I3" s="46">
        <f>'1100 Operacional'!I9</f>
        <v>0</v>
      </c>
      <c r="J3" s="46">
        <f>'1100 Operacional'!J9</f>
        <v>0</v>
      </c>
      <c r="K3" s="46">
        <f>'1100 Operacional'!K9</f>
        <v>0</v>
      </c>
      <c r="L3" s="46">
        <f>'1100 Operacional'!L9</f>
        <v>0</v>
      </c>
      <c r="M3" s="46">
        <f>'1100 Operacional'!M9</f>
        <v>0</v>
      </c>
      <c r="N3" s="46">
        <f>'1100 Operacional'!N9</f>
        <v>0</v>
      </c>
      <c r="O3" s="46">
        <f>'1100 Operacional'!O9</f>
        <v>0</v>
      </c>
    </row>
    <row r="4" spans="1:15">
      <c r="A4" s="91">
        <v>1120</v>
      </c>
      <c r="B4" s="4" t="s">
        <v>319</v>
      </c>
      <c r="C4" s="46">
        <f t="shared" ref="C4:C7" si="1">SUM(D4:O4)</f>
        <v>1794875</v>
      </c>
      <c r="D4" s="46">
        <f>'1100 Operacional'!D19</f>
        <v>275075</v>
      </c>
      <c r="E4" s="46">
        <f>'1100 Operacional'!E19</f>
        <v>441613</v>
      </c>
      <c r="F4" s="46">
        <f>'1100 Operacional'!F19</f>
        <v>371321</v>
      </c>
      <c r="G4" s="46">
        <f>'1100 Operacional'!G19</f>
        <v>230913</v>
      </c>
      <c r="H4" s="46">
        <f>'1100 Operacional'!H19</f>
        <v>475953</v>
      </c>
      <c r="I4" s="46">
        <f>'1100 Operacional'!I19</f>
        <v>0</v>
      </c>
      <c r="J4" s="46">
        <f>'1100 Operacional'!J19</f>
        <v>0</v>
      </c>
      <c r="K4" s="46">
        <f>'1100 Operacional'!K19</f>
        <v>0</v>
      </c>
      <c r="L4" s="46">
        <f>'1100 Operacional'!L19</f>
        <v>0</v>
      </c>
      <c r="M4" s="46">
        <f>'1100 Operacional'!M19</f>
        <v>0</v>
      </c>
      <c r="N4" s="46">
        <f>'1100 Operacional'!N19</f>
        <v>0</v>
      </c>
      <c r="O4" s="46">
        <f>'1100 Operacional'!O19</f>
        <v>0</v>
      </c>
    </row>
    <row r="5" spans="1:15">
      <c r="A5" s="91">
        <v>1130</v>
      </c>
      <c r="B5" s="22" t="s">
        <v>320</v>
      </c>
      <c r="C5" s="46">
        <f t="shared" si="1"/>
        <v>0</v>
      </c>
      <c r="D5" s="46">
        <f>'1100 Operacional'!D31</f>
        <v>0</v>
      </c>
      <c r="E5" s="46">
        <f>'1100 Operacional'!E31</f>
        <v>0</v>
      </c>
      <c r="F5" s="46">
        <f>'1100 Operacional'!F31</f>
        <v>0</v>
      </c>
      <c r="G5" s="46">
        <f>'1100 Operacional'!G31</f>
        <v>0</v>
      </c>
      <c r="H5" s="46">
        <f>'1100 Operacional'!H31</f>
        <v>0</v>
      </c>
      <c r="I5" s="46">
        <f>'1100 Operacional'!I31</f>
        <v>0</v>
      </c>
      <c r="J5" s="46">
        <f>'1100 Operacional'!J31</f>
        <v>0</v>
      </c>
      <c r="K5" s="46">
        <f>'1100 Operacional'!K31</f>
        <v>0</v>
      </c>
      <c r="L5" s="46">
        <f>'1100 Operacional'!L31</f>
        <v>0</v>
      </c>
      <c r="M5" s="46">
        <f>'1100 Operacional'!M31</f>
        <v>0</v>
      </c>
      <c r="N5" s="46">
        <f>'1100 Operacional'!N31</f>
        <v>0</v>
      </c>
      <c r="O5" s="46">
        <f>'1100 Operacional'!O31</f>
        <v>0</v>
      </c>
    </row>
    <row r="6" spans="1:15">
      <c r="A6" s="91">
        <v>1140</v>
      </c>
      <c r="B6" s="22" t="s">
        <v>321</v>
      </c>
      <c r="C6" s="46">
        <f t="shared" si="1"/>
        <v>1500000</v>
      </c>
      <c r="D6" s="46">
        <f>'1100 Operacional'!D39</f>
        <v>120000</v>
      </c>
      <c r="E6" s="46">
        <f>'1100 Operacional'!E39</f>
        <v>420000</v>
      </c>
      <c r="F6" s="46">
        <f>'1100 Operacional'!F39</f>
        <v>470000</v>
      </c>
      <c r="G6" s="46">
        <f>'1100 Operacional'!G39</f>
        <v>400000</v>
      </c>
      <c r="H6" s="46">
        <f>'1100 Operacional'!H39</f>
        <v>90000</v>
      </c>
      <c r="I6" s="46">
        <f>'1100 Operacional'!I39</f>
        <v>0</v>
      </c>
      <c r="J6" s="46">
        <f>'1100 Operacional'!J39</f>
        <v>0</v>
      </c>
      <c r="K6" s="46">
        <f>'1100 Operacional'!K39</f>
        <v>0</v>
      </c>
      <c r="L6" s="46">
        <f>'1100 Operacional'!L39</f>
        <v>0</v>
      </c>
      <c r="M6" s="46">
        <f>'1100 Operacional'!M39</f>
        <v>0</v>
      </c>
      <c r="N6" s="46">
        <f>'1100 Operacional'!N39</f>
        <v>0</v>
      </c>
      <c r="O6" s="46">
        <f>'1100 Operacional'!O39</f>
        <v>0</v>
      </c>
    </row>
    <row r="7" spans="1:15" ht="26.1">
      <c r="A7" s="91">
        <v>1150</v>
      </c>
      <c r="B7" s="98" t="s">
        <v>322</v>
      </c>
      <c r="C7" s="46">
        <f t="shared" si="1"/>
        <v>2799300</v>
      </c>
      <c r="D7" s="46">
        <f>'1100 Operacional'!D50</f>
        <v>655000</v>
      </c>
      <c r="E7" s="46">
        <f>'1100 Operacional'!E50</f>
        <v>0</v>
      </c>
      <c r="F7" s="46">
        <f>'1100 Operacional'!F50</f>
        <v>0</v>
      </c>
      <c r="G7" s="46">
        <f>'1100 Operacional'!G50</f>
        <v>1657300</v>
      </c>
      <c r="H7" s="46">
        <f>'1100 Operacional'!H50</f>
        <v>487000</v>
      </c>
      <c r="I7" s="46">
        <f>'1100 Operacional'!I50</f>
        <v>0</v>
      </c>
      <c r="J7" s="46">
        <f>'1100 Operacional'!J50</f>
        <v>0</v>
      </c>
      <c r="K7" s="46">
        <f>'1100 Operacional'!K50</f>
        <v>0</v>
      </c>
      <c r="L7" s="46">
        <f>'1100 Operacional'!L50</f>
        <v>0</v>
      </c>
      <c r="M7" s="46">
        <f>'1100 Operacional'!M50</f>
        <v>0</v>
      </c>
      <c r="N7" s="46">
        <f>'1100 Operacional'!N50</f>
        <v>0</v>
      </c>
      <c r="O7" s="46">
        <f>'1100 Operacional'!O50</f>
        <v>0</v>
      </c>
    </row>
    <row r="8" spans="1:15" ht="15" thickBo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5.6" thickTop="1" thickBot="1">
      <c r="A9" s="94">
        <v>1200</v>
      </c>
      <c r="B9" s="95" t="s">
        <v>323</v>
      </c>
      <c r="C9" s="19">
        <f>C11+C12</f>
        <v>63506603</v>
      </c>
      <c r="D9" s="19">
        <f t="shared" ref="D9:O9" si="2">SUM(D11:D12)</f>
        <v>17351498</v>
      </c>
      <c r="E9" s="19">
        <f t="shared" si="2"/>
        <v>19918982</v>
      </c>
      <c r="F9" s="19">
        <f t="shared" si="2"/>
        <v>14259859</v>
      </c>
      <c r="G9" s="19">
        <f t="shared" si="2"/>
        <v>11976264</v>
      </c>
      <c r="H9" s="19">
        <f t="shared" si="2"/>
        <v>0</v>
      </c>
      <c r="I9" s="19">
        <f t="shared" si="2"/>
        <v>0</v>
      </c>
      <c r="J9" s="19">
        <f t="shared" si="2"/>
        <v>0</v>
      </c>
      <c r="K9" s="19">
        <f t="shared" si="2"/>
        <v>0</v>
      </c>
      <c r="L9" s="19">
        <f t="shared" si="2"/>
        <v>0</v>
      </c>
      <c r="M9" s="19">
        <f t="shared" si="2"/>
        <v>0</v>
      </c>
      <c r="N9" s="19">
        <f t="shared" si="2"/>
        <v>0</v>
      </c>
      <c r="O9" s="19">
        <f t="shared" si="2"/>
        <v>0</v>
      </c>
    </row>
    <row r="10" spans="1:15">
      <c r="A10" s="91"/>
      <c r="B10" s="71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</row>
    <row r="11" spans="1:15">
      <c r="A11" s="91">
        <v>1210</v>
      </c>
      <c r="B11" s="4" t="s">
        <v>324</v>
      </c>
      <c r="C11" s="46">
        <f>SUM(D11:G11)</f>
        <v>40199253</v>
      </c>
      <c r="D11" s="46">
        <f>'1200 Dres'!D15</f>
        <v>10902949</v>
      </c>
      <c r="E11" s="46">
        <f>'1200 Dres'!E15</f>
        <v>9642932</v>
      </c>
      <c r="F11" s="46">
        <f>'1200 Dres'!F15</f>
        <v>10946208</v>
      </c>
      <c r="G11" s="46">
        <f>'1200 Dres'!G15</f>
        <v>8707164</v>
      </c>
      <c r="H11" s="54"/>
      <c r="I11" s="54"/>
      <c r="J11" s="54"/>
      <c r="K11" s="54"/>
      <c r="L11" s="54"/>
      <c r="M11" s="54"/>
      <c r="N11" s="54"/>
      <c r="O11" s="54"/>
    </row>
    <row r="12" spans="1:15">
      <c r="A12" s="91">
        <v>1290</v>
      </c>
      <c r="B12" s="22" t="s">
        <v>325</v>
      </c>
      <c r="C12" s="46">
        <f>SUM(D12:O12)</f>
        <v>23307350</v>
      </c>
      <c r="D12" s="93">
        <f>'1200 Dres'!D17</f>
        <v>6448549</v>
      </c>
      <c r="E12" s="93">
        <f>'1200 Dres'!E17</f>
        <v>10276050</v>
      </c>
      <c r="F12" s="93">
        <f>'1200 Dres'!F17</f>
        <v>3313651</v>
      </c>
      <c r="G12" s="93">
        <f>'1200 Dres'!G17</f>
        <v>3269100</v>
      </c>
      <c r="H12" s="8"/>
      <c r="I12" s="8"/>
      <c r="J12" s="8"/>
      <c r="K12" s="8"/>
      <c r="L12" s="8"/>
      <c r="M12" s="8"/>
      <c r="N12" s="8"/>
      <c r="O12" s="8"/>
    </row>
    <row r="13" spans="1:15" ht="15" thickBo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ht="15.6" thickTop="1" thickBot="1">
      <c r="A14" s="96">
        <v>1300</v>
      </c>
      <c r="B14" s="16" t="s">
        <v>326</v>
      </c>
      <c r="C14" s="19">
        <f>SUM(D14:O14)</f>
        <v>11124100</v>
      </c>
      <c r="D14" s="19">
        <f t="shared" ref="D14:F14" si="3">SUM(D16:D17)</f>
        <v>4266547</v>
      </c>
      <c r="E14" s="19">
        <f t="shared" si="3"/>
        <v>1739233</v>
      </c>
      <c r="F14" s="19">
        <f t="shared" si="3"/>
        <v>1742767</v>
      </c>
      <c r="G14" s="19">
        <f>'1300 Insumos'!G28</f>
        <v>789282</v>
      </c>
      <c r="H14" s="19">
        <f>'1300 Insumos'!H28</f>
        <v>2586271</v>
      </c>
      <c r="I14" s="19">
        <f>'1300 Insumos'!I28</f>
        <v>0</v>
      </c>
      <c r="J14" s="19">
        <f>'1300 Insumos'!J28</f>
        <v>0</v>
      </c>
      <c r="K14" s="19">
        <f>'1300 Insumos'!K28</f>
        <v>0</v>
      </c>
      <c r="L14" s="19">
        <f>'1300 Insumos'!L28</f>
        <v>0</v>
      </c>
      <c r="M14" s="19">
        <f>'1300 Insumos'!M28</f>
        <v>0</v>
      </c>
      <c r="N14" s="19">
        <f>'1300 Insumos'!N28</f>
        <v>0</v>
      </c>
      <c r="O14" s="19">
        <f>'1300 Insumos'!O28</f>
        <v>0</v>
      </c>
    </row>
    <row r="15" spans="1:15" ht="15" thickTop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A16" s="91">
        <v>1310</v>
      </c>
      <c r="B16" s="98" t="s">
        <v>327</v>
      </c>
      <c r="C16" s="46">
        <f>SUM(D16:O16)</f>
        <v>5779719</v>
      </c>
      <c r="D16" s="46">
        <f>'1300 Insumos'!D15</f>
        <v>2401855</v>
      </c>
      <c r="E16" s="46">
        <f>'1300 Insumos'!E15</f>
        <v>978198</v>
      </c>
      <c r="F16" s="46">
        <f>'1300 Insumos'!F15</f>
        <v>360356</v>
      </c>
      <c r="G16" s="46">
        <f>'1300 Insumos'!G15</f>
        <v>516738</v>
      </c>
      <c r="H16" s="46">
        <f>'1300 Insumos'!H15</f>
        <v>1522572</v>
      </c>
      <c r="I16" s="46">
        <f>'1300 Insumos'!I15</f>
        <v>0</v>
      </c>
      <c r="J16" s="46">
        <f>'1300 Insumos'!J15</f>
        <v>0</v>
      </c>
      <c r="K16" s="46">
        <f>'1300 Insumos'!K15</f>
        <v>0</v>
      </c>
      <c r="L16" s="46">
        <f>'1300 Insumos'!L15</f>
        <v>0</v>
      </c>
      <c r="M16" s="46">
        <f>'1300 Insumos'!M15</f>
        <v>0</v>
      </c>
      <c r="N16" s="46">
        <f>'1300 Insumos'!N15</f>
        <v>0</v>
      </c>
      <c r="O16" s="46">
        <f>'1300 Insumos'!O15</f>
        <v>0</v>
      </c>
    </row>
    <row r="17" spans="1:15" ht="26.1">
      <c r="A17" s="91">
        <v>1320</v>
      </c>
      <c r="B17" s="98" t="s">
        <v>328</v>
      </c>
      <c r="C17" s="46">
        <f>SUM(D17:O17)</f>
        <v>5344381</v>
      </c>
      <c r="D17" s="46">
        <f>'1300 Insumos'!D26</f>
        <v>1864692</v>
      </c>
      <c r="E17" s="46">
        <f>'1300 Insumos'!E26</f>
        <v>761035</v>
      </c>
      <c r="F17" s="46">
        <f>'1300 Insumos'!F26</f>
        <v>1382411</v>
      </c>
      <c r="G17" s="46">
        <f>'1300 Insumos'!G26</f>
        <v>272544</v>
      </c>
      <c r="H17" s="46">
        <f>'1300 Insumos'!H26</f>
        <v>1063699</v>
      </c>
      <c r="I17" s="46">
        <f>'1300 Insumos'!I26</f>
        <v>0</v>
      </c>
      <c r="J17" s="46">
        <f>'1300 Insumos'!J26</f>
        <v>0</v>
      </c>
      <c r="K17" s="46">
        <f>'1300 Insumos'!K26</f>
        <v>0</v>
      </c>
      <c r="L17" s="46">
        <f>'1300 Insumos'!L26</f>
        <v>0</v>
      </c>
      <c r="M17" s="46">
        <f>'1300 Insumos'!M26</f>
        <v>0</v>
      </c>
      <c r="N17" s="46">
        <f>'1300 Insumos'!N26</f>
        <v>0</v>
      </c>
      <c r="O17" s="46">
        <f>'1300 Insumos'!O26</f>
        <v>0</v>
      </c>
    </row>
    <row r="18" spans="1:15" ht="15" thickBo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ht="15.6" thickTop="1" thickBot="1">
      <c r="A19" s="96">
        <v>1400</v>
      </c>
      <c r="B19" s="16" t="s">
        <v>329</v>
      </c>
      <c r="C19" s="19">
        <f t="shared" ref="C19:O19" si="4">SUM(C21:C22)</f>
        <v>17877671</v>
      </c>
      <c r="D19" s="19">
        <f t="shared" si="4"/>
        <v>1798880</v>
      </c>
      <c r="E19" s="19">
        <f t="shared" si="4"/>
        <v>3884050</v>
      </c>
      <c r="F19" s="19">
        <f t="shared" si="4"/>
        <v>1191890</v>
      </c>
      <c r="G19" s="19">
        <f t="shared" si="4"/>
        <v>3028751</v>
      </c>
      <c r="H19" s="19">
        <f t="shared" si="4"/>
        <v>7974100</v>
      </c>
      <c r="I19" s="19">
        <f t="shared" si="4"/>
        <v>0</v>
      </c>
      <c r="J19" s="19">
        <f t="shared" si="4"/>
        <v>0</v>
      </c>
      <c r="K19" s="19">
        <f t="shared" si="4"/>
        <v>0</v>
      </c>
      <c r="L19" s="19">
        <f t="shared" si="4"/>
        <v>0</v>
      </c>
      <c r="M19" s="19">
        <f t="shared" si="4"/>
        <v>0</v>
      </c>
      <c r="N19" s="19">
        <f t="shared" si="4"/>
        <v>0</v>
      </c>
      <c r="O19" s="19">
        <f t="shared" si="4"/>
        <v>0</v>
      </c>
    </row>
    <row r="20" spans="1:15" ht="15" thickTop="1">
      <c r="A20" s="22"/>
      <c r="B20" s="22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</row>
    <row r="21" spans="1:15">
      <c r="A21" s="91">
        <v>1410</v>
      </c>
      <c r="B21" s="22" t="s">
        <v>330</v>
      </c>
      <c r="C21" s="46">
        <f>SUM(D21:O21)</f>
        <v>11274071</v>
      </c>
      <c r="D21" s="46">
        <f>'1400 Laboratorio'!D11</f>
        <v>1798880</v>
      </c>
      <c r="E21" s="46">
        <f>'1400 Laboratorio'!E11</f>
        <v>1884050</v>
      </c>
      <c r="F21" s="46">
        <f>'1400 Laboratorio'!F11</f>
        <v>1191890</v>
      </c>
      <c r="G21" s="46">
        <f>'1400 Laboratorio'!G11</f>
        <v>1500751</v>
      </c>
      <c r="H21" s="46">
        <f>'1400 Laboratorio'!H16</f>
        <v>4898500</v>
      </c>
      <c r="I21" s="46">
        <f>'1400 Laboratorio'!I16</f>
        <v>0</v>
      </c>
      <c r="J21" s="46">
        <f>'1400 Laboratorio'!J16</f>
        <v>0</v>
      </c>
      <c r="K21" s="46">
        <f>'1400 Laboratorio'!K16</f>
        <v>0</v>
      </c>
      <c r="L21" s="46">
        <f>'1400 Laboratorio'!L16</f>
        <v>0</v>
      </c>
      <c r="M21" s="46">
        <f>'1400 Laboratorio'!M16</f>
        <v>0</v>
      </c>
      <c r="N21" s="46">
        <f>'1400 Laboratorio'!N16</f>
        <v>0</v>
      </c>
      <c r="O21" s="46">
        <f>'1400 Laboratorio'!O16</f>
        <v>0</v>
      </c>
    </row>
    <row r="22" spans="1:15">
      <c r="A22" s="91">
        <v>1450</v>
      </c>
      <c r="B22" s="22" t="s">
        <v>331</v>
      </c>
      <c r="C22" s="46">
        <f t="shared" ref="C22" si="5">SUM(D22:O23)</f>
        <v>6603600</v>
      </c>
      <c r="D22" s="46">
        <f>'1400 Laboratorio'!D14</f>
        <v>0</v>
      </c>
      <c r="E22" s="46">
        <f>'1400 Laboratorio'!E14</f>
        <v>2000000</v>
      </c>
      <c r="F22" s="46">
        <f>'1400 Laboratorio'!F14</f>
        <v>0</v>
      </c>
      <c r="G22" s="46">
        <f>'1400 Laboratorio'!G14</f>
        <v>1528000</v>
      </c>
      <c r="H22" s="46">
        <f>'1400 Laboratorio'!H14</f>
        <v>3075600</v>
      </c>
      <c r="I22" s="46">
        <f>'1400 Laboratorio'!I14</f>
        <v>0</v>
      </c>
      <c r="J22" s="46">
        <f>'1400 Laboratorio'!J14</f>
        <v>0</v>
      </c>
      <c r="K22" s="46">
        <f>'1400 Laboratorio'!K14</f>
        <v>0</v>
      </c>
      <c r="L22" s="46">
        <f>'1400 Laboratorio'!L14</f>
        <v>0</v>
      </c>
      <c r="M22" s="46">
        <f>'1400 Laboratorio'!M14</f>
        <v>0</v>
      </c>
      <c r="N22" s="46">
        <f>'1400 Laboratorio'!N14</f>
        <v>0</v>
      </c>
      <c r="O22" s="46">
        <f>'1400 Laboratorio'!O14</f>
        <v>0</v>
      </c>
    </row>
    <row r="23" spans="1:15" ht="15" thickBo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15.6" thickTop="1" thickBot="1">
      <c r="A24" s="96">
        <v>1500</v>
      </c>
      <c r="B24" s="16" t="s">
        <v>332</v>
      </c>
      <c r="C24" s="19">
        <f>SUM(D24:O24)</f>
        <v>19318990</v>
      </c>
      <c r="D24" s="19">
        <f t="shared" ref="D24:O24" si="6">SUM(D26:D27)</f>
        <v>3904687</v>
      </c>
      <c r="E24" s="19">
        <f t="shared" si="6"/>
        <v>4028726</v>
      </c>
      <c r="F24" s="19">
        <f t="shared" si="6"/>
        <v>4234164</v>
      </c>
      <c r="G24" s="19">
        <f t="shared" si="6"/>
        <v>4983591</v>
      </c>
      <c r="H24" s="19">
        <f t="shared" si="6"/>
        <v>2167822</v>
      </c>
      <c r="I24" s="19">
        <f t="shared" si="6"/>
        <v>0</v>
      </c>
      <c r="J24" s="19">
        <f t="shared" si="6"/>
        <v>0</v>
      </c>
      <c r="K24" s="19">
        <f t="shared" si="6"/>
        <v>0</v>
      </c>
      <c r="L24" s="19">
        <f t="shared" si="6"/>
        <v>0</v>
      </c>
      <c r="M24" s="19">
        <f t="shared" si="6"/>
        <v>0</v>
      </c>
      <c r="N24" s="19">
        <f t="shared" si="6"/>
        <v>0</v>
      </c>
      <c r="O24" s="19">
        <f t="shared" si="6"/>
        <v>0</v>
      </c>
    </row>
    <row r="25" spans="1:15" ht="15" thickTop="1">
      <c r="A25" s="22"/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</row>
    <row r="26" spans="1:15">
      <c r="A26" s="91">
        <v>1510</v>
      </c>
      <c r="B26" s="22" t="s">
        <v>332</v>
      </c>
      <c r="C26" s="46">
        <f t="shared" ref="C26:C27" si="7">SUM(D26:O26)</f>
        <v>13438740</v>
      </c>
      <c r="D26" s="46">
        <f>'1500 Personal'!D12</f>
        <v>2963000</v>
      </c>
      <c r="E26" s="46">
        <f>'1500 Personal'!E12</f>
        <v>2890501</v>
      </c>
      <c r="F26" s="46">
        <f>'1500 Personal'!F12</f>
        <v>3066640</v>
      </c>
      <c r="G26" s="46">
        <f>'1500 Personal'!G12</f>
        <v>3434688</v>
      </c>
      <c r="H26" s="46">
        <f>'1500 Personal'!H14</f>
        <v>1083911</v>
      </c>
      <c r="I26" s="46">
        <f>'1500 Personal'!I14</f>
        <v>0</v>
      </c>
      <c r="J26" s="46">
        <f>'1500 Personal'!J14</f>
        <v>0</v>
      </c>
      <c r="K26" s="46">
        <f>'1500 Personal'!K14</f>
        <v>0</v>
      </c>
      <c r="L26" s="46">
        <f>'1500 Personal'!L14</f>
        <v>0</v>
      </c>
      <c r="M26" s="46">
        <f>'1500 Personal'!M14</f>
        <v>0</v>
      </c>
      <c r="N26" s="46">
        <f>'1500 Personal'!N14</f>
        <v>0</v>
      </c>
      <c r="O26" s="46">
        <f>'1500 Personal'!O14</f>
        <v>0</v>
      </c>
    </row>
    <row r="27" spans="1:15">
      <c r="A27" s="91">
        <v>1550</v>
      </c>
      <c r="B27" s="4" t="s">
        <v>333</v>
      </c>
      <c r="C27" s="46">
        <f t="shared" si="7"/>
        <v>5880250</v>
      </c>
      <c r="D27" s="46">
        <f>'1500 Personal'!D14</f>
        <v>941687</v>
      </c>
      <c r="E27" s="46">
        <f>'1500 Personal'!E14</f>
        <v>1138225</v>
      </c>
      <c r="F27" s="46">
        <f>'1500 Personal'!F14</f>
        <v>1167524</v>
      </c>
      <c r="G27" s="46">
        <f>'1500 Personal'!G14</f>
        <v>1548903</v>
      </c>
      <c r="H27" s="46">
        <f>'1500 Personal'!H14</f>
        <v>1083911</v>
      </c>
      <c r="I27" s="46">
        <f>'1500 Personal'!I14</f>
        <v>0</v>
      </c>
      <c r="J27" s="46">
        <f>'1500 Personal'!J14</f>
        <v>0</v>
      </c>
      <c r="K27" s="46">
        <f>'1500 Personal'!K14</f>
        <v>0</v>
      </c>
      <c r="L27" s="46">
        <f>'1500 Personal'!L14</f>
        <v>0</v>
      </c>
      <c r="M27" s="46">
        <f>'1500 Personal'!M14</f>
        <v>0</v>
      </c>
      <c r="N27" s="46">
        <f>'1500 Personal'!N14</f>
        <v>0</v>
      </c>
      <c r="O27" s="46">
        <f>'1500 Personal'!O14</f>
        <v>0</v>
      </c>
    </row>
    <row r="28" spans="1:15" ht="15" thickBo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ht="15.6" thickTop="1" thickBot="1">
      <c r="A29" s="96">
        <v>1600</v>
      </c>
      <c r="B29" s="16" t="s">
        <v>334</v>
      </c>
      <c r="C29" s="19">
        <f>SUM(D29:O29)</f>
        <v>2166306</v>
      </c>
      <c r="D29" s="19">
        <f>'1600 y 1700 Equipamiento'!F5</f>
        <v>345606</v>
      </c>
      <c r="E29" s="19">
        <f>'1600 y 1700 Equipamiento'!G5</f>
        <v>455175</v>
      </c>
      <c r="F29" s="19">
        <f>'1600 y 1700 Equipamiento'!H5</f>
        <v>455175</v>
      </c>
      <c r="G29" s="19">
        <f>'1600 y 1700 Equipamiento'!I5</f>
        <v>455175</v>
      </c>
      <c r="H29" s="19">
        <f>'1600 y 1700 Equipamiento'!J5</f>
        <v>455175</v>
      </c>
      <c r="I29" s="19">
        <f>'1600 y 1700 Equipamiento'!K5</f>
        <v>0</v>
      </c>
      <c r="J29" s="19">
        <f>'1600 y 1700 Equipamiento'!L5</f>
        <v>0</v>
      </c>
      <c r="K29" s="19">
        <f>'1600 y 1700 Equipamiento'!M5</f>
        <v>0</v>
      </c>
      <c r="L29" s="19">
        <f>'1600 y 1700 Equipamiento'!N5</f>
        <v>0</v>
      </c>
      <c r="M29" s="19">
        <f>'1600 y 1700 Equipamiento'!O5</f>
        <v>0</v>
      </c>
      <c r="N29" s="19">
        <f>'1600 y 1700 Equipamiento'!P5</f>
        <v>0</v>
      </c>
      <c r="O29" s="19">
        <f>'1600 y 1700 Equipamiento'!Q5</f>
        <v>0</v>
      </c>
    </row>
    <row r="30" spans="1:15" ht="15" thickTop="1">
      <c r="A30" s="54"/>
      <c r="B30" s="54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5" thickBo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ht="15.6" thickTop="1" thickBot="1">
      <c r="A32" s="96">
        <v>1700</v>
      </c>
      <c r="B32" s="16" t="s">
        <v>335</v>
      </c>
      <c r="C32" s="19">
        <f>SUM(D32:O32)</f>
        <v>12233347</v>
      </c>
      <c r="D32" s="19">
        <f>'1600 y 1700 Equipamiento'!F12</f>
        <v>1900131</v>
      </c>
      <c r="E32" s="19">
        <f>'1600 y 1700 Equipamiento'!G12</f>
        <v>1941347</v>
      </c>
      <c r="F32" s="19">
        <f>'1600 y 1700 Equipamiento'!H12</f>
        <v>1986384</v>
      </c>
      <c r="G32" s="19">
        <f>'1600 y 1700 Equipamiento'!I12</f>
        <v>1798487</v>
      </c>
      <c r="H32" s="19">
        <f>'1600 y 1700 Equipamiento'!J12</f>
        <v>4606998</v>
      </c>
      <c r="I32" s="19">
        <f>'1600 y 1700 Equipamiento'!K12</f>
        <v>0</v>
      </c>
      <c r="J32" s="19">
        <f>'1600 y 1700 Equipamiento'!L12</f>
        <v>0</v>
      </c>
      <c r="K32" s="19">
        <f>'1600 y 1700 Equipamiento'!M12</f>
        <v>0</v>
      </c>
      <c r="L32" s="19">
        <f>'1600 y 1700 Equipamiento'!N12</f>
        <v>0</v>
      </c>
      <c r="M32" s="19">
        <f>'1600 y 1700 Equipamiento'!O12</f>
        <v>0</v>
      </c>
      <c r="N32" s="19">
        <f>'1600 y 1700 Equipamiento'!P12</f>
        <v>0</v>
      </c>
      <c r="O32" s="19">
        <f>'1600 y 1700 Equipamiento'!Q12</f>
        <v>0</v>
      </c>
    </row>
    <row r="33" spans="1:15" ht="15" thickTop="1">
      <c r="A33" s="54"/>
      <c r="B33" s="54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</row>
    <row r="34" spans="1: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ht="15" thickBo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ht="15.6" thickTop="1" thickBot="1">
      <c r="A36" s="20" t="s">
        <v>336</v>
      </c>
      <c r="B36" s="20"/>
      <c r="C36" s="17">
        <f>SUM(D36:O36)</f>
        <v>145884626</v>
      </c>
      <c r="D36" s="17">
        <f>D2+D9+D14+D19+D24+D29+D32</f>
        <v>33344298</v>
      </c>
      <c r="E36" s="17">
        <f t="shared" ref="E36:O36" si="8">E2+E9+E14+E19+E24+E29+E32</f>
        <v>35501739</v>
      </c>
      <c r="F36" s="17">
        <f t="shared" si="8"/>
        <v>27405645</v>
      </c>
      <c r="G36" s="17">
        <f t="shared" si="8"/>
        <v>28062794</v>
      </c>
      <c r="H36" s="17">
        <f t="shared" si="8"/>
        <v>21570150</v>
      </c>
      <c r="I36" s="17">
        <f t="shared" si="8"/>
        <v>0</v>
      </c>
      <c r="J36" s="17">
        <f t="shared" si="8"/>
        <v>0</v>
      </c>
      <c r="K36" s="17">
        <f t="shared" si="8"/>
        <v>0</v>
      </c>
      <c r="L36" s="17">
        <f t="shared" si="8"/>
        <v>0</v>
      </c>
      <c r="M36" s="17">
        <f t="shared" si="8"/>
        <v>0</v>
      </c>
      <c r="N36" s="17">
        <f t="shared" si="8"/>
        <v>0</v>
      </c>
      <c r="O36" s="17">
        <f t="shared" si="8"/>
        <v>0</v>
      </c>
    </row>
    <row r="37" spans="1:15" ht="15" thickTop="1"/>
  </sheetData>
  <pageMargins left="0.7" right="0.7" top="0.75" bottom="0.75" header="0.3" footer="0.3"/>
  <pageSetup scale="74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0A7D-F6E6-438F-90D6-F4AE6F077700}">
  <sheetPr>
    <pageSetUpPr fitToPage="1"/>
  </sheetPr>
  <dimension ref="A1:O37"/>
  <sheetViews>
    <sheetView workbookViewId="0">
      <pane ySplit="1" topLeftCell="A10" activePane="bottomLeft" state="frozen"/>
      <selection pane="bottomLeft" activeCell="E3" sqref="E3:E7"/>
    </sheetView>
  </sheetViews>
  <sheetFormatPr defaultColWidth="10.85546875" defaultRowHeight="14.45"/>
  <cols>
    <col min="1" max="1" width="8" style="99" customWidth="1"/>
    <col min="2" max="2" width="10.85546875" style="99"/>
    <col min="3" max="3" width="9.85546875" style="99" customWidth="1"/>
    <col min="4" max="4" width="6.5703125" style="99" customWidth="1"/>
    <col min="5" max="5" width="6.85546875" style="99" customWidth="1"/>
    <col min="6" max="6" width="9.5703125" style="99" customWidth="1"/>
    <col min="7" max="7" width="9.7109375" style="99" customWidth="1"/>
    <col min="8" max="8" width="8.5703125" style="99" customWidth="1"/>
    <col min="9" max="9" width="9.5703125" style="99" customWidth="1"/>
    <col min="10" max="11" width="8.5703125" style="99" customWidth="1"/>
    <col min="12" max="12" width="6.7109375" style="99" customWidth="1"/>
    <col min="13" max="13" width="8.5703125" style="99" customWidth="1"/>
    <col min="14" max="14" width="10.5703125" style="99" customWidth="1"/>
    <col min="15" max="15" width="9.5703125" style="99" customWidth="1"/>
    <col min="16" max="16384" width="10.85546875" style="99"/>
  </cols>
  <sheetData>
    <row r="1" spans="1:15" ht="47.1">
      <c r="A1" s="103"/>
      <c r="B1" s="103"/>
      <c r="C1" s="108" t="s">
        <v>110</v>
      </c>
      <c r="D1" s="108" t="s">
        <v>337</v>
      </c>
      <c r="E1" s="108" t="s">
        <v>142</v>
      </c>
      <c r="F1" s="108" t="s">
        <v>119</v>
      </c>
      <c r="G1" s="108" t="s">
        <v>121</v>
      </c>
      <c r="H1" s="108" t="s">
        <v>338</v>
      </c>
      <c r="I1" s="108" t="s">
        <v>339</v>
      </c>
      <c r="J1" s="108" t="s">
        <v>130</v>
      </c>
      <c r="K1" s="108" t="s">
        <v>340</v>
      </c>
      <c r="L1" s="108" t="s">
        <v>140</v>
      </c>
      <c r="M1" s="108" t="s">
        <v>341</v>
      </c>
      <c r="N1" s="109" t="s">
        <v>342</v>
      </c>
      <c r="O1" s="108" t="s">
        <v>147</v>
      </c>
    </row>
    <row r="2" spans="1:15">
      <c r="A2" s="103"/>
      <c r="B2" s="103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3"/>
      <c r="O2" s="107"/>
    </row>
    <row r="3" spans="1:15">
      <c r="A3" s="103" t="s">
        <v>336</v>
      </c>
      <c r="B3" s="102" t="s">
        <v>343</v>
      </c>
      <c r="C3" s="106">
        <f>C9+C15+C21+C27+C33</f>
        <v>10581510</v>
      </c>
      <c r="D3" s="106"/>
      <c r="E3" s="106"/>
      <c r="F3" s="106">
        <f t="shared" ref="F3:G7" si="0">F9+F15+F21+F27</f>
        <v>3198405</v>
      </c>
      <c r="G3" s="106">
        <f t="shared" si="0"/>
        <v>5092011</v>
      </c>
      <c r="H3" s="106"/>
      <c r="I3" s="106">
        <f>I9+I15+I21+I27+I33</f>
        <v>18101248</v>
      </c>
      <c r="J3" s="106"/>
      <c r="K3" s="106">
        <f>K9+K15+K21+K27</f>
        <v>2679249</v>
      </c>
      <c r="L3" s="106"/>
      <c r="M3" s="106">
        <f>M9+M15+M21+M27</f>
        <v>2902403</v>
      </c>
      <c r="N3" s="106">
        <f>SUM(C3:M3)</f>
        <v>42554826</v>
      </c>
      <c r="O3" s="106">
        <f>O9+O15+O21+O27</f>
        <v>23641850</v>
      </c>
    </row>
    <row r="4" spans="1:15">
      <c r="A4" s="103"/>
      <c r="B4" s="102" t="s">
        <v>344</v>
      </c>
      <c r="C4" s="106">
        <f>C10+C16+C22+C28</f>
        <v>27164023</v>
      </c>
      <c r="D4" s="106"/>
      <c r="E4" s="106"/>
      <c r="F4" s="106">
        <f t="shared" si="0"/>
        <v>10490300</v>
      </c>
      <c r="G4" s="106">
        <f t="shared" si="0"/>
        <v>15698885</v>
      </c>
      <c r="H4" s="106"/>
      <c r="I4" s="106">
        <f t="shared" ref="I4:I7" si="1">I10+I16+I22+I28+I34</f>
        <v>32187580</v>
      </c>
      <c r="J4" s="106"/>
      <c r="K4" s="106">
        <f>K10+K16+K22+K28</f>
        <v>8255995</v>
      </c>
      <c r="L4" s="106"/>
      <c r="M4" s="106">
        <f>M10+M16+M22+M28</f>
        <v>6845784</v>
      </c>
      <c r="N4" s="106">
        <f>SUM(C4:M4)</f>
        <v>100642567</v>
      </c>
      <c r="O4" s="106">
        <f>O10+O16+O22+O28</f>
        <v>52574063</v>
      </c>
    </row>
    <row r="5" spans="1:15">
      <c r="A5" s="103"/>
      <c r="B5" s="102" t="s">
        <v>330</v>
      </c>
      <c r="C5" s="106">
        <f>C11+C17+C23+C29</f>
        <v>6001999</v>
      </c>
      <c r="D5" s="106"/>
      <c r="E5" s="106"/>
      <c r="F5" s="106">
        <f t="shared" si="0"/>
        <v>1352000</v>
      </c>
      <c r="G5" s="106">
        <f t="shared" si="0"/>
        <v>1150000</v>
      </c>
      <c r="H5" s="106"/>
      <c r="I5" s="106">
        <f t="shared" si="1"/>
        <v>1574000</v>
      </c>
      <c r="J5" s="106"/>
      <c r="K5" s="106">
        <f>K11+K17+K23+K29</f>
        <v>601000</v>
      </c>
      <c r="L5" s="106"/>
      <c r="M5" s="106">
        <f>M11+M17+M23+M29</f>
        <v>346000</v>
      </c>
      <c r="N5" s="106">
        <f>SUM(C5:M5)</f>
        <v>11024999</v>
      </c>
      <c r="O5" s="106">
        <f>O11+O17+O23+O29</f>
        <v>3687000</v>
      </c>
    </row>
    <row r="6" spans="1:15">
      <c r="A6" s="103"/>
      <c r="B6" s="102" t="s">
        <v>345</v>
      </c>
      <c r="C6" s="106">
        <f>C12+C18+C24+C30</f>
        <v>21163023</v>
      </c>
      <c r="D6" s="106"/>
      <c r="E6" s="106"/>
      <c r="F6" s="106">
        <f t="shared" si="0"/>
        <v>9138300</v>
      </c>
      <c r="G6" s="106">
        <f t="shared" si="0"/>
        <v>14548894</v>
      </c>
      <c r="H6" s="106"/>
      <c r="I6" s="106">
        <f t="shared" si="1"/>
        <v>30510330</v>
      </c>
      <c r="J6" s="106"/>
      <c r="K6" s="106">
        <f>K12+K18+K24+K30</f>
        <v>7854995</v>
      </c>
      <c r="L6" s="106"/>
      <c r="M6" s="106">
        <f>M12+M18+M24+M30</f>
        <v>6499784</v>
      </c>
      <c r="N6" s="106">
        <f>SUM(C6:M6)</f>
        <v>89715326</v>
      </c>
      <c r="O6" s="106">
        <f>O12+O18+O24+O30</f>
        <v>48887083</v>
      </c>
    </row>
    <row r="7" spans="1:15">
      <c r="A7" s="103"/>
      <c r="B7" s="102" t="s">
        <v>346</v>
      </c>
      <c r="C7" s="105">
        <f>C13+C19+C25+C31</f>
        <v>10581513</v>
      </c>
      <c r="D7" s="105"/>
      <c r="E7" s="105"/>
      <c r="F7" s="105">
        <f t="shared" si="0"/>
        <v>5939895</v>
      </c>
      <c r="G7" s="105">
        <f t="shared" si="0"/>
        <v>9456883</v>
      </c>
      <c r="H7" s="105"/>
      <c r="I7" s="105">
        <f t="shared" si="1"/>
        <v>12409082</v>
      </c>
      <c r="J7" s="105"/>
      <c r="K7" s="105">
        <f>K13+K19+K25+K31</f>
        <v>5175746</v>
      </c>
      <c r="L7" s="105"/>
      <c r="M7" s="105">
        <f>M13+M19+M25+M31</f>
        <v>3597381</v>
      </c>
      <c r="N7" s="105">
        <f>SUM(C7:M7)</f>
        <v>47160500</v>
      </c>
      <c r="O7" s="105">
        <f>O13+O19+O25+O31</f>
        <v>25245233</v>
      </c>
    </row>
    <row r="8" spans="1:15">
      <c r="A8" s="103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</row>
    <row r="9" spans="1:15">
      <c r="A9" s="103" t="s">
        <v>347</v>
      </c>
      <c r="B9" s="102" t="s">
        <v>343</v>
      </c>
      <c r="C9" s="101">
        <v>2920692</v>
      </c>
      <c r="D9" s="101"/>
      <c r="E9" s="101"/>
      <c r="F9" s="101">
        <v>811454</v>
      </c>
      <c r="G9" s="101">
        <v>1217869</v>
      </c>
      <c r="H9" s="101"/>
      <c r="I9" s="101">
        <v>2025090</v>
      </c>
      <c r="J9" s="101"/>
      <c r="K9" s="101">
        <v>993570</v>
      </c>
      <c r="L9" s="101"/>
      <c r="M9" s="101">
        <v>735345</v>
      </c>
      <c r="N9" s="101"/>
      <c r="O9" s="101">
        <v>6448549</v>
      </c>
    </row>
    <row r="10" spans="1:15">
      <c r="A10" s="103"/>
      <c r="B10" s="102" t="s">
        <v>344</v>
      </c>
      <c r="C10" s="101">
        <v>7225385</v>
      </c>
      <c r="D10" s="101"/>
      <c r="E10" s="101"/>
      <c r="F10" s="101">
        <v>2725440</v>
      </c>
      <c r="G10" s="101">
        <v>3805910</v>
      </c>
      <c r="H10" s="101"/>
      <c r="I10" s="101">
        <v>3629150</v>
      </c>
      <c r="J10" s="101"/>
      <c r="K10" s="101">
        <v>3012770</v>
      </c>
      <c r="L10" s="101"/>
      <c r="M10" s="101">
        <v>1673100</v>
      </c>
      <c r="N10" s="101"/>
      <c r="O10" s="101">
        <v>12128562</v>
      </c>
    </row>
    <row r="11" spans="1:15">
      <c r="A11" s="103"/>
      <c r="B11" s="102" t="s">
        <v>330</v>
      </c>
      <c r="C11" s="101">
        <v>1384000</v>
      </c>
      <c r="D11" s="101"/>
      <c r="E11" s="101"/>
      <c r="F11" s="101">
        <v>407000</v>
      </c>
      <c r="G11" s="101">
        <v>326000</v>
      </c>
      <c r="H11" s="101"/>
      <c r="I11" s="101">
        <v>159000</v>
      </c>
      <c r="J11" s="101"/>
      <c r="K11" s="104">
        <v>174000</v>
      </c>
      <c r="L11" s="101"/>
      <c r="M11" s="101">
        <v>39000</v>
      </c>
      <c r="N11" s="101"/>
      <c r="O11" s="101">
        <v>912000</v>
      </c>
    </row>
    <row r="12" spans="1:15">
      <c r="A12" s="103"/>
      <c r="B12" s="102" t="s">
        <v>345</v>
      </c>
      <c r="C12" s="101">
        <v>5841385</v>
      </c>
      <c r="D12" s="101"/>
      <c r="E12" s="101"/>
      <c r="F12" s="101">
        <v>2318440</v>
      </c>
      <c r="G12" s="101">
        <v>3479910</v>
      </c>
      <c r="H12" s="101"/>
      <c r="I12" s="101">
        <v>3366900</v>
      </c>
      <c r="J12" s="101"/>
      <c r="K12" s="101">
        <v>2838770</v>
      </c>
      <c r="L12" s="101"/>
      <c r="M12" s="101">
        <v>1634100</v>
      </c>
      <c r="N12" s="101"/>
      <c r="O12" s="101">
        <v>11216582</v>
      </c>
    </row>
    <row r="13" spans="1:15">
      <c r="A13" s="103"/>
      <c r="B13" s="102" t="s">
        <v>346</v>
      </c>
      <c r="C13" s="101">
        <f>C12-C9</f>
        <v>2920693</v>
      </c>
      <c r="D13" s="101"/>
      <c r="E13" s="101"/>
      <c r="F13" s="101">
        <f>F12-F9</f>
        <v>1506986</v>
      </c>
      <c r="G13" s="101">
        <f>G12-G9</f>
        <v>2262041</v>
      </c>
      <c r="H13" s="101"/>
      <c r="I13" s="101">
        <f>I12-I9</f>
        <v>1341810</v>
      </c>
      <c r="J13" s="101"/>
      <c r="K13" s="101">
        <f>K12-K9</f>
        <v>1845200</v>
      </c>
      <c r="L13" s="101"/>
      <c r="M13" s="101">
        <f>M12-M9</f>
        <v>898755</v>
      </c>
      <c r="N13" s="101"/>
      <c r="O13" s="101">
        <f>O12-O9</f>
        <v>4768033</v>
      </c>
    </row>
    <row r="14" spans="1:15">
      <c r="A14" s="103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1:15">
      <c r="A15" s="103" t="s">
        <v>348</v>
      </c>
      <c r="B15" s="102" t="s">
        <v>349</v>
      </c>
      <c r="C15" s="101">
        <v>2348223</v>
      </c>
      <c r="D15" s="101"/>
      <c r="E15" s="101"/>
      <c r="F15" s="101">
        <v>953624</v>
      </c>
      <c r="G15" s="101">
        <v>1666158</v>
      </c>
      <c r="H15" s="101"/>
      <c r="I15" s="101">
        <v>4008240</v>
      </c>
      <c r="J15" s="101"/>
      <c r="K15" s="101">
        <v>460740</v>
      </c>
      <c r="L15" s="101"/>
      <c r="M15" s="101">
        <v>842428</v>
      </c>
      <c r="N15" s="101"/>
      <c r="O15" s="101">
        <v>10276050</v>
      </c>
    </row>
    <row r="16" spans="1:15">
      <c r="A16" s="103"/>
      <c r="B16" s="102" t="s">
        <v>344</v>
      </c>
      <c r="C16" s="101">
        <v>7292447</v>
      </c>
      <c r="D16" s="101"/>
      <c r="E16" s="101"/>
      <c r="F16" s="101">
        <v>3095640</v>
      </c>
      <c r="G16" s="101">
        <v>5080450</v>
      </c>
      <c r="H16" s="101"/>
      <c r="I16" s="101">
        <v>7102400</v>
      </c>
      <c r="J16" s="101"/>
      <c r="K16" s="101">
        <v>1451400</v>
      </c>
      <c r="L16" s="101"/>
      <c r="M16" s="101">
        <v>2035062</v>
      </c>
      <c r="N16" s="101"/>
      <c r="O16" s="101">
        <v>22766750</v>
      </c>
    </row>
    <row r="17" spans="1:15">
      <c r="A17" s="103"/>
      <c r="B17" s="102" t="s">
        <v>330</v>
      </c>
      <c r="C17" s="101">
        <v>2596999</v>
      </c>
      <c r="D17" s="101"/>
      <c r="E17" s="101"/>
      <c r="F17" s="101">
        <v>371000</v>
      </c>
      <c r="G17" s="101">
        <v>320000</v>
      </c>
      <c r="H17" s="101"/>
      <c r="I17" s="101">
        <v>367000</v>
      </c>
      <c r="J17" s="101"/>
      <c r="K17" s="101">
        <v>135000</v>
      </c>
      <c r="L17" s="101"/>
      <c r="M17" s="101">
        <v>163000</v>
      </c>
      <c r="N17" s="101"/>
      <c r="O17" s="101">
        <v>1510000</v>
      </c>
    </row>
    <row r="18" spans="1:15">
      <c r="A18" s="103"/>
      <c r="B18" s="102" t="s">
        <v>345</v>
      </c>
      <c r="C18" s="101">
        <v>4696447</v>
      </c>
      <c r="D18" s="101"/>
      <c r="E18" s="101"/>
      <c r="F18" s="101">
        <v>2724640</v>
      </c>
      <c r="G18" s="101">
        <v>4760450</v>
      </c>
      <c r="H18" s="101"/>
      <c r="I18" s="101">
        <v>6735400</v>
      </c>
      <c r="J18" s="101"/>
      <c r="K18" s="101">
        <v>1316400</v>
      </c>
      <c r="L18" s="101"/>
      <c r="M18" s="101">
        <v>1872062</v>
      </c>
      <c r="N18" s="101"/>
      <c r="O18" s="101">
        <v>21256750</v>
      </c>
    </row>
    <row r="19" spans="1:15">
      <c r="A19" s="103"/>
      <c r="B19" s="102" t="s">
        <v>346</v>
      </c>
      <c r="C19" s="101">
        <f>C18-C15</f>
        <v>2348224</v>
      </c>
      <c r="D19" s="101"/>
      <c r="E19" s="101"/>
      <c r="F19" s="101">
        <f>F18-F15</f>
        <v>1771016</v>
      </c>
      <c r="G19" s="101">
        <f>G18-G15</f>
        <v>3094292</v>
      </c>
      <c r="H19" s="101"/>
      <c r="I19" s="101">
        <f>I18-I15</f>
        <v>2727160</v>
      </c>
      <c r="J19" s="101"/>
      <c r="K19" s="101">
        <f>K18-K15</f>
        <v>855660</v>
      </c>
      <c r="L19" s="101"/>
      <c r="M19" s="101">
        <f>M18-M15</f>
        <v>1029634</v>
      </c>
      <c r="N19" s="101"/>
      <c r="O19" s="101">
        <f>O18-O15</f>
        <v>10980700</v>
      </c>
    </row>
    <row r="20" spans="1:15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1:15">
      <c r="A21" s="103" t="s">
        <v>350</v>
      </c>
      <c r="B21" s="102" t="s">
        <v>349</v>
      </c>
      <c r="C21" s="101">
        <v>2506492</v>
      </c>
      <c r="D21" s="101"/>
      <c r="E21" s="101">
        <v>443120</v>
      </c>
      <c r="F21" s="101">
        <v>580790</v>
      </c>
      <c r="G21" s="101">
        <v>1370023</v>
      </c>
      <c r="H21" s="101"/>
      <c r="I21" s="101">
        <v>4957980</v>
      </c>
      <c r="J21" s="101"/>
      <c r="K21" s="101">
        <v>559860</v>
      </c>
      <c r="L21" s="101"/>
      <c r="M21" s="101">
        <v>221630</v>
      </c>
      <c r="N21" s="101"/>
      <c r="O21" s="101">
        <v>3313651</v>
      </c>
    </row>
    <row r="22" spans="1:15">
      <c r="A22" s="103"/>
      <c r="B22" s="102" t="s">
        <v>344</v>
      </c>
      <c r="C22" s="101">
        <v>6316985</v>
      </c>
      <c r="D22" s="101"/>
      <c r="E22" s="101">
        <v>911240</v>
      </c>
      <c r="F22" s="101">
        <v>1824400</v>
      </c>
      <c r="G22" s="101">
        <v>4242350</v>
      </c>
      <c r="H22" s="101"/>
      <c r="I22" s="101">
        <v>8643300</v>
      </c>
      <c r="J22" s="101"/>
      <c r="K22" s="101">
        <v>1799600</v>
      </c>
      <c r="L22" s="101"/>
      <c r="M22" s="101">
        <v>570512</v>
      </c>
      <c r="N22" s="101"/>
      <c r="O22" s="101">
        <v>7698751</v>
      </c>
    </row>
    <row r="23" spans="1:15">
      <c r="A23" s="103"/>
      <c r="B23" s="102" t="s">
        <v>330</v>
      </c>
      <c r="C23" s="101">
        <v>1304000</v>
      </c>
      <c r="D23" s="101"/>
      <c r="E23" s="101">
        <v>25000</v>
      </c>
      <c r="F23" s="101">
        <v>165000</v>
      </c>
      <c r="G23" s="101">
        <v>328000</v>
      </c>
      <c r="H23" s="101"/>
      <c r="I23" s="101">
        <v>380000</v>
      </c>
      <c r="J23" s="101"/>
      <c r="K23" s="101">
        <v>200000</v>
      </c>
      <c r="L23" s="101"/>
      <c r="M23" s="101">
        <v>28000</v>
      </c>
      <c r="N23" s="101"/>
      <c r="O23" s="101">
        <v>409000</v>
      </c>
    </row>
    <row r="24" spans="1:15">
      <c r="A24" s="103"/>
      <c r="B24" s="102" t="s">
        <v>345</v>
      </c>
      <c r="C24" s="101">
        <v>5012985</v>
      </c>
      <c r="D24" s="101"/>
      <c r="E24" s="101">
        <v>886240</v>
      </c>
      <c r="F24" s="101">
        <v>1659400</v>
      </c>
      <c r="G24" s="101">
        <v>3914359</v>
      </c>
      <c r="H24" s="101"/>
      <c r="I24" s="101">
        <v>8263300</v>
      </c>
      <c r="J24" s="101"/>
      <c r="K24" s="101">
        <v>1799600</v>
      </c>
      <c r="L24" s="101"/>
      <c r="M24" s="101">
        <v>542512</v>
      </c>
      <c r="N24" s="101"/>
      <c r="O24" s="101">
        <v>7289751</v>
      </c>
    </row>
    <row r="25" spans="1:15">
      <c r="A25" s="103"/>
      <c r="B25" s="102" t="s">
        <v>346</v>
      </c>
      <c r="C25" s="101">
        <f>C24-C21</f>
        <v>2506493</v>
      </c>
      <c r="D25" s="101"/>
      <c r="E25" s="101">
        <f>E24-E21</f>
        <v>443120</v>
      </c>
      <c r="F25" s="101">
        <f>F24-F21</f>
        <v>1078610</v>
      </c>
      <c r="G25" s="101">
        <f>G24-G21</f>
        <v>2544336</v>
      </c>
      <c r="H25" s="101"/>
      <c r="I25" s="101">
        <f>I24-I21</f>
        <v>3305320</v>
      </c>
      <c r="J25" s="101"/>
      <c r="K25" s="101">
        <f>K24-K21</f>
        <v>1239740</v>
      </c>
      <c r="L25" s="101"/>
      <c r="M25" s="101">
        <f>M24-M21</f>
        <v>320882</v>
      </c>
      <c r="N25" s="101"/>
      <c r="O25" s="101">
        <f>O24-O21</f>
        <v>3976100</v>
      </c>
    </row>
    <row r="26" spans="1:15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1:15">
      <c r="A27" s="103" t="s">
        <v>351</v>
      </c>
      <c r="B27" s="102" t="s">
        <v>349</v>
      </c>
      <c r="C27" s="101">
        <v>2806103</v>
      </c>
      <c r="D27" s="101"/>
      <c r="E27" s="101"/>
      <c r="F27" s="101">
        <v>852537</v>
      </c>
      <c r="G27" s="101">
        <v>837961</v>
      </c>
      <c r="H27" s="101"/>
      <c r="I27" s="101">
        <v>3322638</v>
      </c>
      <c r="J27" s="101"/>
      <c r="K27" s="101">
        <v>665079</v>
      </c>
      <c r="L27" s="101"/>
      <c r="M27" s="101">
        <v>1103000</v>
      </c>
      <c r="N27" s="101"/>
      <c r="O27" s="101">
        <v>3603600</v>
      </c>
    </row>
    <row r="28" spans="1:15">
      <c r="A28" s="103"/>
      <c r="B28" s="102" t="s">
        <v>344</v>
      </c>
      <c r="C28" s="101">
        <v>6329206</v>
      </c>
      <c r="D28" s="101"/>
      <c r="E28" s="101"/>
      <c r="F28" s="101">
        <v>2844820</v>
      </c>
      <c r="G28" s="101">
        <v>2570175</v>
      </c>
      <c r="H28" s="101"/>
      <c r="I28" s="101">
        <v>5857730</v>
      </c>
      <c r="J28" s="101"/>
      <c r="K28" s="101">
        <v>1992225</v>
      </c>
      <c r="L28" s="101"/>
      <c r="M28" s="101">
        <v>2567110</v>
      </c>
      <c r="N28" s="101"/>
      <c r="O28" s="101">
        <v>9980000</v>
      </c>
    </row>
    <row r="29" spans="1:15">
      <c r="A29" s="103"/>
      <c r="B29" s="102" t="s">
        <v>330</v>
      </c>
      <c r="C29" s="101">
        <v>717000</v>
      </c>
      <c r="D29" s="101"/>
      <c r="E29" s="101"/>
      <c r="F29" s="101">
        <v>409000</v>
      </c>
      <c r="G29" s="101">
        <v>176000</v>
      </c>
      <c r="H29" s="101"/>
      <c r="I29" s="101">
        <v>320000</v>
      </c>
      <c r="J29" s="101"/>
      <c r="K29" s="101">
        <v>92000</v>
      </c>
      <c r="L29" s="101"/>
      <c r="M29" s="101">
        <v>116000</v>
      </c>
      <c r="N29" s="101"/>
      <c r="O29" s="101">
        <v>856000</v>
      </c>
    </row>
    <row r="30" spans="1:15">
      <c r="A30" s="103"/>
      <c r="B30" s="102" t="s">
        <v>345</v>
      </c>
      <c r="C30" s="101">
        <v>5612206</v>
      </c>
      <c r="D30" s="101"/>
      <c r="E30" s="101"/>
      <c r="F30" s="101">
        <v>2435820</v>
      </c>
      <c r="G30" s="101">
        <v>2394175</v>
      </c>
      <c r="H30" s="101"/>
      <c r="I30" s="101">
        <v>5537730</v>
      </c>
      <c r="J30" s="101"/>
      <c r="K30" s="101">
        <v>1900225</v>
      </c>
      <c r="L30" s="101"/>
      <c r="M30" s="101">
        <v>2451110</v>
      </c>
      <c r="N30" s="101"/>
      <c r="O30" s="101">
        <v>9124000</v>
      </c>
    </row>
    <row r="31" spans="1:15">
      <c r="A31" s="103"/>
      <c r="B31" s="102" t="s">
        <v>346</v>
      </c>
      <c r="C31" s="101">
        <f>C30-C27</f>
        <v>2806103</v>
      </c>
      <c r="D31" s="101"/>
      <c r="E31" s="101"/>
      <c r="F31" s="101">
        <f>F30-F27</f>
        <v>1583283</v>
      </c>
      <c r="G31" s="101">
        <f>G30-G27</f>
        <v>1556214</v>
      </c>
      <c r="H31" s="101"/>
      <c r="I31" s="101">
        <f>I30-I27</f>
        <v>2215092</v>
      </c>
      <c r="J31" s="101"/>
      <c r="K31" s="101">
        <f>K30-K27</f>
        <v>1235146</v>
      </c>
      <c r="L31" s="101"/>
      <c r="M31" s="101">
        <f>M30-M27</f>
        <v>1348110</v>
      </c>
      <c r="N31" s="101"/>
      <c r="O31" s="101">
        <f>O30-O27</f>
        <v>5520400</v>
      </c>
    </row>
    <row r="32" spans="1:15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1:15">
      <c r="A33" s="103" t="s">
        <v>352</v>
      </c>
      <c r="B33" s="102" t="s">
        <v>349</v>
      </c>
      <c r="C33" s="101"/>
      <c r="D33" s="101"/>
      <c r="E33" s="101"/>
      <c r="F33" s="101"/>
      <c r="G33" s="101"/>
      <c r="H33" s="101"/>
      <c r="I33" s="101">
        <v>3787300</v>
      </c>
      <c r="J33" s="101"/>
      <c r="K33" s="101"/>
      <c r="L33" s="101"/>
      <c r="M33" s="101"/>
      <c r="N33" s="101"/>
      <c r="O33" s="101"/>
    </row>
    <row r="34" spans="1:15">
      <c r="A34" s="103"/>
      <c r="B34" s="102" t="s">
        <v>344</v>
      </c>
      <c r="C34" s="101"/>
      <c r="D34" s="101"/>
      <c r="E34" s="101"/>
      <c r="F34" s="101"/>
      <c r="G34" s="101"/>
      <c r="H34" s="101"/>
      <c r="I34" s="101">
        <v>6955000</v>
      </c>
      <c r="J34" s="101"/>
      <c r="K34" s="101"/>
      <c r="L34" s="101"/>
      <c r="M34" s="101"/>
      <c r="N34" s="101"/>
      <c r="O34" s="101"/>
    </row>
    <row r="35" spans="1:15">
      <c r="A35" s="103"/>
      <c r="B35" s="102" t="s">
        <v>330</v>
      </c>
      <c r="C35" s="101"/>
      <c r="D35" s="101"/>
      <c r="E35" s="101"/>
      <c r="F35" s="101"/>
      <c r="G35" s="101"/>
      <c r="H35" s="101"/>
      <c r="I35" s="101">
        <v>348000</v>
      </c>
      <c r="J35" s="101"/>
      <c r="K35" s="101"/>
      <c r="L35" s="101"/>
      <c r="M35" s="101"/>
      <c r="N35" s="101"/>
      <c r="O35" s="101"/>
    </row>
    <row r="36" spans="1:15">
      <c r="A36" s="103"/>
      <c r="B36" s="102" t="s">
        <v>345</v>
      </c>
      <c r="C36" s="101"/>
      <c r="D36" s="101"/>
      <c r="E36" s="101"/>
      <c r="F36" s="101"/>
      <c r="G36" s="101"/>
      <c r="H36" s="101"/>
      <c r="I36" s="101">
        <v>6607000</v>
      </c>
      <c r="J36" s="101"/>
      <c r="K36" s="101"/>
      <c r="L36" s="101"/>
      <c r="M36" s="101"/>
      <c r="N36" s="101"/>
      <c r="O36" s="101"/>
    </row>
    <row r="37" spans="1:15">
      <c r="A37" s="103"/>
      <c r="B37" s="102" t="s">
        <v>346</v>
      </c>
      <c r="C37" s="101"/>
      <c r="D37" s="101"/>
      <c r="E37" s="101"/>
      <c r="F37" s="101"/>
      <c r="G37" s="101"/>
      <c r="H37" s="101"/>
      <c r="I37" s="101">
        <f>I36-I33</f>
        <v>2819700</v>
      </c>
      <c r="J37" s="101"/>
      <c r="K37" s="101"/>
      <c r="L37" s="101"/>
      <c r="M37" s="101"/>
      <c r="N37" s="101"/>
      <c r="O37" s="101"/>
    </row>
  </sheetData>
  <pageMargins left="0.47244094488188981" right="0.39370078740157483" top="0.78740157480314965" bottom="0.39370078740157483" header="0.31496062992125984" footer="0.31496062992125984"/>
  <pageSetup scale="98" fitToHeight="0" orientation="landscape" horizontalDpi="0" verticalDpi="0" r:id="rId1"/>
  <ignoredErrors>
    <ignoredError sqref="N3:N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476F-9F5A-4182-BC0A-CB5D1DA5EA7A}">
  <sheetPr>
    <pageSetUpPr fitToPage="1"/>
  </sheetPr>
  <dimension ref="A1:O53"/>
  <sheetViews>
    <sheetView workbookViewId="0">
      <pane ySplit="1" topLeftCell="A2" activePane="bottomLeft" state="frozen"/>
      <selection pane="bottomLeft" activeCell="H7" sqref="H7"/>
    </sheetView>
  </sheetViews>
  <sheetFormatPr defaultColWidth="11.42578125" defaultRowHeight="14.45"/>
  <cols>
    <col min="1" max="1" width="6.140625" customWidth="1"/>
    <col min="2" max="2" width="18.140625" customWidth="1"/>
    <col min="3" max="3" width="11.28515625" customWidth="1"/>
    <col min="4" max="6" width="8.85546875" customWidth="1"/>
    <col min="7" max="7" width="9.85546875" customWidth="1"/>
    <col min="8" max="8" width="8.85546875" customWidth="1"/>
    <col min="9" max="9" width="10.7109375" customWidth="1"/>
    <col min="10" max="15" width="8.85546875" customWidth="1"/>
  </cols>
  <sheetData>
    <row r="1" spans="1:15" ht="26.45">
      <c r="A1" s="10">
        <v>1100</v>
      </c>
      <c r="B1" s="12" t="s">
        <v>353</v>
      </c>
      <c r="C1" s="26" t="s">
        <v>304</v>
      </c>
      <c r="D1" s="26" t="s">
        <v>305</v>
      </c>
      <c r="E1" s="26" t="s">
        <v>306</v>
      </c>
      <c r="F1" s="26" t="s">
        <v>307</v>
      </c>
      <c r="G1" s="26" t="s">
        <v>308</v>
      </c>
      <c r="H1" s="26" t="s">
        <v>309</v>
      </c>
      <c r="I1" s="26" t="s">
        <v>310</v>
      </c>
      <c r="J1" s="26" t="s">
        <v>311</v>
      </c>
      <c r="K1" s="26" t="s">
        <v>312</v>
      </c>
      <c r="L1" s="26" t="s">
        <v>313</v>
      </c>
      <c r="M1" s="26" t="s">
        <v>314</v>
      </c>
      <c r="N1" s="26" t="s">
        <v>315</v>
      </c>
      <c r="O1" s="26" t="s">
        <v>316</v>
      </c>
    </row>
    <row r="2" spans="1:15" ht="30" customHeight="1">
      <c r="A2" s="5">
        <v>1110</v>
      </c>
      <c r="B2" s="1" t="s">
        <v>354</v>
      </c>
      <c r="C2" s="6">
        <f>SUM(D2:O2)</f>
        <v>99960</v>
      </c>
      <c r="D2" s="6">
        <f>8330+8330+8330+8330</f>
        <v>33320</v>
      </c>
      <c r="E2" s="6">
        <f>8330+8330</f>
        <v>16660</v>
      </c>
      <c r="F2" s="6">
        <f>8330+8330</f>
        <v>16660</v>
      </c>
      <c r="G2" s="6">
        <f>8330+8330</f>
        <v>16660</v>
      </c>
      <c r="H2" s="6">
        <f>8330+8330</f>
        <v>16660</v>
      </c>
      <c r="I2" s="6"/>
      <c r="J2" s="6"/>
      <c r="K2" s="6"/>
      <c r="L2" s="6"/>
      <c r="M2" s="6"/>
      <c r="N2" s="6"/>
      <c r="O2" s="6"/>
    </row>
    <row r="3" spans="1:15" ht="24">
      <c r="A3" s="5">
        <v>1110</v>
      </c>
      <c r="B3" s="1" t="s">
        <v>355</v>
      </c>
      <c r="C3" s="6">
        <f t="shared" ref="C3:C7" si="0">SUM(D3:O3)</f>
        <v>12322236</v>
      </c>
      <c r="D3" s="6">
        <v>2404564</v>
      </c>
      <c r="E3" s="6">
        <v>2440010</v>
      </c>
      <c r="F3" s="6">
        <v>2483158</v>
      </c>
      <c r="G3" s="6">
        <v>2480164</v>
      </c>
      <c r="H3" s="6">
        <v>2514340</v>
      </c>
      <c r="I3" s="6"/>
      <c r="J3" s="6"/>
      <c r="K3" s="6"/>
      <c r="L3" s="6"/>
      <c r="M3" s="6"/>
      <c r="N3" s="6"/>
      <c r="O3" s="6"/>
    </row>
    <row r="4" spans="1:15" ht="24">
      <c r="A4" s="5">
        <v>1110</v>
      </c>
      <c r="B4" s="30" t="s">
        <v>356</v>
      </c>
      <c r="C4" s="6">
        <f t="shared" si="0"/>
        <v>534238</v>
      </c>
      <c r="D4" s="6">
        <f>121460+7530</f>
        <v>128990</v>
      </c>
      <c r="E4" s="6">
        <f>123267+12676</f>
        <v>135943</v>
      </c>
      <c r="F4" s="6">
        <f>16676+11506+99085</f>
        <v>127267</v>
      </c>
      <c r="G4" s="6">
        <f>18126+8081</f>
        <v>26207</v>
      </c>
      <c r="H4" s="6">
        <f>17968+97863</f>
        <v>115831</v>
      </c>
      <c r="I4" s="6"/>
      <c r="J4" s="6"/>
      <c r="K4" s="6"/>
      <c r="L4" s="6"/>
      <c r="M4" s="6"/>
      <c r="N4" s="6"/>
      <c r="O4" s="6"/>
    </row>
    <row r="5" spans="1:15">
      <c r="A5" s="5">
        <v>1110</v>
      </c>
      <c r="B5" s="1" t="s">
        <v>357</v>
      </c>
      <c r="C5" s="6">
        <f t="shared" si="0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>
      <c r="A6" s="5">
        <v>1110</v>
      </c>
      <c r="B6" s="1" t="s">
        <v>358</v>
      </c>
      <c r="C6" s="6"/>
      <c r="D6" s="6"/>
      <c r="E6" s="6"/>
      <c r="F6" s="6">
        <v>67000</v>
      </c>
      <c r="G6" s="6">
        <v>60000</v>
      </c>
      <c r="H6" s="6"/>
      <c r="I6" s="6"/>
      <c r="J6" s="6"/>
      <c r="K6" s="6"/>
      <c r="L6" s="6"/>
      <c r="M6" s="6"/>
      <c r="N6" s="6"/>
      <c r="O6" s="6"/>
    </row>
    <row r="7" spans="1:15" ht="30" customHeight="1">
      <c r="A7" s="5">
        <v>1110</v>
      </c>
      <c r="B7" s="1" t="s">
        <v>359</v>
      </c>
      <c r="C7" s="6">
        <f t="shared" si="0"/>
        <v>480000</v>
      </c>
      <c r="D7" s="6">
        <v>160000</v>
      </c>
      <c r="E7" s="6">
        <v>80000</v>
      </c>
      <c r="F7" s="6"/>
      <c r="G7" s="6">
        <v>160000</v>
      </c>
      <c r="H7" s="6">
        <v>80000</v>
      </c>
      <c r="I7" s="6"/>
      <c r="J7" s="6"/>
      <c r="K7" s="6"/>
      <c r="L7" s="6"/>
      <c r="M7" s="6"/>
      <c r="N7" s="6"/>
      <c r="O7" s="6"/>
    </row>
    <row r="8" spans="1:15" ht="15" thickBot="1"/>
    <row r="9" spans="1:15" ht="15" thickBot="1">
      <c r="A9" s="29">
        <v>1110</v>
      </c>
      <c r="B9" s="34" t="s">
        <v>342</v>
      </c>
      <c r="C9" s="35">
        <f>SUM(C2:C8)</f>
        <v>13436434</v>
      </c>
      <c r="D9" s="35">
        <f t="shared" ref="D9:O9" si="1">SUM(D2:D7)</f>
        <v>2726874</v>
      </c>
      <c r="E9" s="35">
        <f t="shared" si="1"/>
        <v>2672613</v>
      </c>
      <c r="F9" s="35">
        <f t="shared" si="1"/>
        <v>2694085</v>
      </c>
      <c r="G9" s="35">
        <f t="shared" si="1"/>
        <v>2743031</v>
      </c>
      <c r="H9" s="35">
        <f t="shared" si="1"/>
        <v>2726831</v>
      </c>
      <c r="I9" s="35">
        <f t="shared" si="1"/>
        <v>0</v>
      </c>
      <c r="J9" s="35">
        <f t="shared" si="1"/>
        <v>0</v>
      </c>
      <c r="K9" s="35">
        <f t="shared" si="1"/>
        <v>0</v>
      </c>
      <c r="L9" s="35">
        <f t="shared" si="1"/>
        <v>0</v>
      </c>
      <c r="M9" s="35">
        <f t="shared" si="1"/>
        <v>0</v>
      </c>
      <c r="N9" s="35">
        <f t="shared" si="1"/>
        <v>0</v>
      </c>
      <c r="O9" s="35">
        <f t="shared" si="1"/>
        <v>0</v>
      </c>
    </row>
    <row r="10" spans="1:15">
      <c r="A10" s="5"/>
      <c r="B10" s="32"/>
      <c r="C10" s="3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ht="30" customHeight="1">
      <c r="A11" s="24">
        <v>1120</v>
      </c>
      <c r="B11" s="25" t="s">
        <v>360</v>
      </c>
      <c r="C11" s="7"/>
      <c r="D11" s="7"/>
      <c r="E11" s="7"/>
      <c r="F11" s="7"/>
      <c r="G11" s="7"/>
      <c r="H11" s="7">
        <f>65057+14973</f>
        <v>80030</v>
      </c>
      <c r="I11" s="7"/>
      <c r="J11" s="7"/>
      <c r="K11" s="7"/>
      <c r="L11" s="7"/>
      <c r="M11" s="7"/>
      <c r="N11" s="7"/>
      <c r="O11" s="7"/>
    </row>
    <row r="12" spans="1:15">
      <c r="A12" s="24">
        <v>1120</v>
      </c>
      <c r="B12" s="25" t="s">
        <v>361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24">
        <v>1120</v>
      </c>
      <c r="B13" s="25" t="s">
        <v>34</v>
      </c>
      <c r="C13" s="7">
        <f>SUM(D13:O13)</f>
        <v>440104</v>
      </c>
      <c r="D13" s="7">
        <f>106517+34324+34234</f>
        <v>175075</v>
      </c>
      <c r="E13" s="7">
        <v>77913</v>
      </c>
      <c r="F13" s="7"/>
      <c r="G13" s="7">
        <v>95914</v>
      </c>
      <c r="H13" s="7">
        <v>91202</v>
      </c>
      <c r="I13" s="7"/>
      <c r="J13" s="7"/>
      <c r="K13" s="7"/>
      <c r="L13" s="7"/>
      <c r="M13" s="7"/>
      <c r="N13" s="7"/>
      <c r="O13" s="7"/>
    </row>
    <row r="14" spans="1:15" ht="35.450000000000003">
      <c r="A14" s="24">
        <v>1120</v>
      </c>
      <c r="B14" s="37" t="s">
        <v>362</v>
      </c>
      <c r="C14" s="7">
        <f>SUM(D14:O14)</f>
        <v>299880</v>
      </c>
      <c r="D14" s="7"/>
      <c r="E14" s="7"/>
      <c r="F14" s="7">
        <f>152320+96390</f>
        <v>248710</v>
      </c>
      <c r="G14" s="7"/>
      <c r="H14" s="7">
        <v>51170</v>
      </c>
      <c r="I14" s="7"/>
      <c r="J14" s="7"/>
      <c r="K14" s="7"/>
      <c r="L14" s="7"/>
      <c r="M14" s="7"/>
      <c r="N14" s="7"/>
      <c r="O14" s="7"/>
    </row>
    <row r="15" spans="1:15" ht="24">
      <c r="A15" s="24">
        <v>1120</v>
      </c>
      <c r="B15" s="37" t="s">
        <v>363</v>
      </c>
      <c r="C15" s="38"/>
      <c r="D15" s="7"/>
      <c r="E15" s="7"/>
      <c r="F15" s="7">
        <v>22610</v>
      </c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A16" s="24">
        <v>1120</v>
      </c>
      <c r="B16" s="37" t="s">
        <v>364</v>
      </c>
      <c r="C16" s="38">
        <f>SUM(D16:O16)</f>
        <v>863703</v>
      </c>
      <c r="D16" s="7">
        <v>100000</v>
      </c>
      <c r="E16" s="7">
        <f>113700+250000</f>
        <v>363700</v>
      </c>
      <c r="F16" s="7">
        <v>100001</v>
      </c>
      <c r="G16" s="7">
        <v>100001</v>
      </c>
      <c r="H16" s="24">
        <f>100000+100001</f>
        <v>200001</v>
      </c>
      <c r="I16" s="37"/>
      <c r="J16" s="38"/>
      <c r="K16" s="7"/>
      <c r="L16" s="7"/>
      <c r="M16" s="7"/>
      <c r="N16" s="7"/>
      <c r="O16" s="24"/>
    </row>
    <row r="17" spans="1:15">
      <c r="A17" s="24">
        <v>1120</v>
      </c>
      <c r="B17" s="37" t="s">
        <v>365</v>
      </c>
      <c r="C17" s="38"/>
      <c r="D17" s="7"/>
      <c r="E17" s="7"/>
      <c r="F17" s="7"/>
      <c r="G17" s="7">
        <v>34998</v>
      </c>
      <c r="H17" s="7">
        <v>53550</v>
      </c>
      <c r="I17" s="7"/>
      <c r="J17" s="7"/>
      <c r="K17" s="7"/>
      <c r="L17" s="7"/>
      <c r="M17" s="7"/>
      <c r="N17" s="7"/>
      <c r="O17" s="7"/>
    </row>
    <row r="18" spans="1:15" ht="15" thickBot="1">
      <c r="A18" s="24">
        <v>1120</v>
      </c>
      <c r="B18" s="37" t="s">
        <v>366</v>
      </c>
      <c r="C18" s="38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ht="30" customHeight="1" thickBot="1">
      <c r="A19" s="36">
        <v>1120</v>
      </c>
      <c r="B19" s="39" t="s">
        <v>342</v>
      </c>
      <c r="C19" s="35">
        <f>SUM(D19:O19)</f>
        <v>1794875</v>
      </c>
      <c r="D19" s="35">
        <f t="shared" ref="D19:O19" si="2">SUM(D11:D18)</f>
        <v>275075</v>
      </c>
      <c r="E19" s="35">
        <f t="shared" si="2"/>
        <v>441613</v>
      </c>
      <c r="F19" s="35">
        <f t="shared" si="2"/>
        <v>371321</v>
      </c>
      <c r="G19" s="35">
        <f t="shared" si="2"/>
        <v>230913</v>
      </c>
      <c r="H19" s="35">
        <f t="shared" si="2"/>
        <v>475953</v>
      </c>
      <c r="I19" s="35">
        <f t="shared" si="2"/>
        <v>0</v>
      </c>
      <c r="J19" s="35">
        <f t="shared" si="2"/>
        <v>0</v>
      </c>
      <c r="K19" s="35">
        <f t="shared" si="2"/>
        <v>0</v>
      </c>
      <c r="L19" s="35">
        <f t="shared" si="2"/>
        <v>0</v>
      </c>
      <c r="M19" s="35">
        <f t="shared" si="2"/>
        <v>0</v>
      </c>
      <c r="N19" s="35">
        <f t="shared" si="2"/>
        <v>0</v>
      </c>
      <c r="O19" s="35">
        <f t="shared" si="2"/>
        <v>0</v>
      </c>
    </row>
    <row r="20" spans="1:15" ht="30" customHeight="1">
      <c r="A20" s="5"/>
      <c r="B20" s="32"/>
      <c r="C20" s="33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ht="30" customHeight="1">
      <c r="A21" s="5">
        <v>1130</v>
      </c>
      <c r="B21" s="1" t="s">
        <v>367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ht="30" customHeight="1">
      <c r="A22" s="5">
        <v>1130</v>
      </c>
      <c r="B22" s="1" t="s">
        <v>368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ht="30" customHeight="1">
      <c r="A23" s="5">
        <v>1130</v>
      </c>
      <c r="B23" s="1" t="s">
        <v>369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ht="30" customHeight="1">
      <c r="A24" s="5">
        <v>1130</v>
      </c>
      <c r="B24" s="1" t="s">
        <v>370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ht="30" customHeight="1">
      <c r="A25" s="5">
        <v>1130</v>
      </c>
      <c r="B25" s="1" t="s">
        <v>371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ht="30" customHeight="1">
      <c r="A26" s="5">
        <v>1130</v>
      </c>
      <c r="B26" s="1" t="s">
        <v>372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ht="30" customHeight="1">
      <c r="A27" s="5">
        <v>1130</v>
      </c>
      <c r="B27" s="1" t="s">
        <v>373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ht="30" customHeight="1">
      <c r="A28" s="5">
        <v>1130</v>
      </c>
      <c r="B28" s="1" t="s">
        <v>374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ht="30" customHeight="1">
      <c r="A29" s="5">
        <v>1130</v>
      </c>
      <c r="B29" s="1" t="s">
        <v>375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ht="30" customHeight="1">
      <c r="A30" s="48">
        <v>1130</v>
      </c>
      <c r="B30" s="30" t="s">
        <v>376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</row>
    <row r="31" spans="1:15" ht="30" customHeight="1">
      <c r="A31" s="5">
        <v>1130</v>
      </c>
      <c r="B31" s="49" t="s">
        <v>377</v>
      </c>
      <c r="C31" s="50">
        <f t="shared" ref="C31:O31" si="3">SUM(C21:C30)</f>
        <v>0</v>
      </c>
      <c r="D31" s="50">
        <f t="shared" si="3"/>
        <v>0</v>
      </c>
      <c r="E31" s="50">
        <f t="shared" si="3"/>
        <v>0</v>
      </c>
      <c r="F31" s="50">
        <f t="shared" si="3"/>
        <v>0</v>
      </c>
      <c r="G31" s="50">
        <f t="shared" si="3"/>
        <v>0</v>
      </c>
      <c r="H31" s="50">
        <f t="shared" si="3"/>
        <v>0</v>
      </c>
      <c r="I31" s="50">
        <f t="shared" si="3"/>
        <v>0</v>
      </c>
      <c r="J31" s="50">
        <f t="shared" si="3"/>
        <v>0</v>
      </c>
      <c r="K31" s="50">
        <f t="shared" si="3"/>
        <v>0</v>
      </c>
      <c r="L31" s="50">
        <f t="shared" si="3"/>
        <v>0</v>
      </c>
      <c r="M31" s="50">
        <f t="shared" si="3"/>
        <v>0</v>
      </c>
      <c r="N31" s="50">
        <f t="shared" si="3"/>
        <v>0</v>
      </c>
      <c r="O31" s="50">
        <f t="shared" si="3"/>
        <v>0</v>
      </c>
    </row>
    <row r="32" spans="1:15" ht="30" customHeight="1">
      <c r="A32" s="14"/>
      <c r="B32" s="15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ht="30" customHeight="1">
      <c r="A33" s="24">
        <v>1140</v>
      </c>
      <c r="B33" s="25" t="s">
        <v>378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ht="30" customHeight="1">
      <c r="A34" s="24">
        <v>1140</v>
      </c>
      <c r="B34" s="25" t="s">
        <v>379</v>
      </c>
      <c r="C34" s="7">
        <f>SUM(D34:O34)</f>
        <v>650000</v>
      </c>
      <c r="D34" s="7"/>
      <c r="E34" s="7">
        <v>300000</v>
      </c>
      <c r="F34" s="7">
        <v>350000</v>
      </c>
      <c r="G34" s="7"/>
      <c r="H34" s="7"/>
      <c r="I34" s="7"/>
      <c r="J34" s="7"/>
      <c r="K34" s="7"/>
      <c r="L34" s="7"/>
      <c r="M34" s="7"/>
      <c r="N34" s="7"/>
      <c r="O34" s="7"/>
    </row>
    <row r="35" spans="1:15" ht="30" customHeight="1">
      <c r="A35" s="24">
        <v>1140</v>
      </c>
      <c r="B35" s="25" t="s">
        <v>68</v>
      </c>
      <c r="C35" s="7"/>
      <c r="D35" s="7"/>
      <c r="E35" s="7"/>
      <c r="F35" s="7"/>
      <c r="G35" s="7">
        <v>335000</v>
      </c>
      <c r="H35" s="7"/>
      <c r="I35" s="7"/>
      <c r="J35" s="7"/>
      <c r="K35" s="7"/>
      <c r="L35" s="7"/>
      <c r="M35" s="7"/>
      <c r="N35" s="7"/>
      <c r="O35" s="7"/>
    </row>
    <row r="36" spans="1:15" ht="30" customHeight="1">
      <c r="A36" s="24">
        <v>1140</v>
      </c>
      <c r="B36" s="25" t="s">
        <v>380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ht="30" customHeight="1">
      <c r="A37" s="24">
        <v>1140</v>
      </c>
      <c r="B37" s="25" t="s">
        <v>381</v>
      </c>
      <c r="C37" s="7">
        <f>SUM(D37:O37)</f>
        <v>425000</v>
      </c>
      <c r="D37" s="7">
        <f>60000+60000</f>
        <v>120000</v>
      </c>
      <c r="E37" s="7">
        <v>120000</v>
      </c>
      <c r="F37" s="7">
        <v>120000</v>
      </c>
      <c r="G37" s="7">
        <v>65000</v>
      </c>
      <c r="H37" s="7"/>
      <c r="I37" s="7"/>
      <c r="J37" s="7"/>
      <c r="K37" s="7"/>
      <c r="L37" s="7"/>
      <c r="M37" s="7"/>
      <c r="N37" s="7"/>
      <c r="O37" s="7"/>
    </row>
    <row r="38" spans="1:15" ht="30" customHeight="1" thickBot="1">
      <c r="A38" s="24">
        <v>1140</v>
      </c>
      <c r="B38" s="25" t="s">
        <v>73</v>
      </c>
      <c r="C38" s="7"/>
      <c r="D38" s="7"/>
      <c r="E38" s="7"/>
      <c r="F38" s="7"/>
      <c r="G38" s="7"/>
      <c r="H38" s="7">
        <v>90000</v>
      </c>
      <c r="I38" s="7"/>
      <c r="J38" s="7"/>
      <c r="K38" s="7"/>
      <c r="L38" s="7"/>
      <c r="M38" s="7"/>
      <c r="N38" s="7"/>
      <c r="O38" s="7"/>
    </row>
    <row r="39" spans="1:15" ht="30" customHeight="1" thickBot="1">
      <c r="A39" s="36">
        <v>1140</v>
      </c>
      <c r="B39" s="40" t="s">
        <v>382</v>
      </c>
      <c r="C39" s="35">
        <f>SUM(D39:O39)</f>
        <v>1500000</v>
      </c>
      <c r="D39" s="35">
        <f>SUM(D33:D38)</f>
        <v>120000</v>
      </c>
      <c r="E39" s="35">
        <f t="shared" ref="E39:O39" si="4">SUM(E33:E38)</f>
        <v>420000</v>
      </c>
      <c r="F39" s="35">
        <f t="shared" si="4"/>
        <v>470000</v>
      </c>
      <c r="G39" s="35">
        <f t="shared" si="4"/>
        <v>400000</v>
      </c>
      <c r="H39" s="35">
        <f t="shared" si="4"/>
        <v>90000</v>
      </c>
      <c r="I39" s="35">
        <f t="shared" si="4"/>
        <v>0</v>
      </c>
      <c r="J39" s="35">
        <f t="shared" si="4"/>
        <v>0</v>
      </c>
      <c r="K39" s="35">
        <f t="shared" si="4"/>
        <v>0</v>
      </c>
      <c r="L39" s="35">
        <f t="shared" si="4"/>
        <v>0</v>
      </c>
      <c r="M39" s="35">
        <f t="shared" si="4"/>
        <v>0</v>
      </c>
      <c r="N39" s="35">
        <f t="shared" si="4"/>
        <v>0</v>
      </c>
      <c r="O39" s="35">
        <f t="shared" si="4"/>
        <v>0</v>
      </c>
    </row>
    <row r="40" spans="1:15" ht="30" customHeight="1">
      <c r="A40" s="5">
        <v>1150</v>
      </c>
      <c r="B40" s="110" t="s">
        <v>383</v>
      </c>
      <c r="C40" s="33"/>
      <c r="D40" s="6"/>
      <c r="E40" s="6"/>
      <c r="F40" s="6"/>
      <c r="G40" s="6"/>
      <c r="H40" s="6">
        <v>200000</v>
      </c>
      <c r="I40" s="6"/>
      <c r="J40" s="6"/>
      <c r="K40" s="6"/>
      <c r="L40" s="6"/>
      <c r="M40" s="6"/>
      <c r="N40" s="6"/>
      <c r="O40" s="6"/>
    </row>
    <row r="41" spans="1:15" ht="30" customHeight="1">
      <c r="A41" s="5">
        <v>1150</v>
      </c>
      <c r="B41" s="6" t="s">
        <v>384</v>
      </c>
      <c r="C41" s="6">
        <f>SUM(D41:O41)</f>
        <v>655000</v>
      </c>
      <c r="D41" s="6">
        <f>355000+300000</f>
        <v>655000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ht="30" customHeight="1">
      <c r="A42" s="5">
        <v>1150</v>
      </c>
      <c r="B42" s="1" t="s">
        <v>82</v>
      </c>
      <c r="C42" s="6">
        <f>SUM(D42:O42)</f>
        <v>883000</v>
      </c>
      <c r="D42" s="6"/>
      <c r="E42" s="6"/>
      <c r="F42" s="6"/>
      <c r="G42" s="6">
        <v>883000</v>
      </c>
      <c r="H42" s="6"/>
      <c r="I42" s="6"/>
      <c r="J42" s="6"/>
      <c r="K42" s="6"/>
      <c r="L42" s="6"/>
      <c r="M42" s="6"/>
      <c r="N42" s="6"/>
      <c r="O42" s="6"/>
    </row>
    <row r="43" spans="1:15" ht="24">
      <c r="A43" s="5">
        <v>1150</v>
      </c>
      <c r="B43" s="1" t="s">
        <v>385</v>
      </c>
      <c r="C43" s="6"/>
      <c r="D43" s="6"/>
      <c r="E43" s="6"/>
      <c r="F43" s="6"/>
      <c r="G43" s="6"/>
      <c r="H43" s="6">
        <v>487000</v>
      </c>
      <c r="I43" s="6"/>
      <c r="J43" s="6"/>
      <c r="K43" s="6"/>
      <c r="L43" s="6"/>
      <c r="M43" s="6"/>
      <c r="N43" s="6"/>
      <c r="O43" s="6"/>
    </row>
    <row r="44" spans="1:15" ht="30" customHeight="1">
      <c r="A44" s="5">
        <v>1150</v>
      </c>
      <c r="B44" s="25" t="s">
        <v>386</v>
      </c>
      <c r="C44" s="6"/>
      <c r="D44" s="6"/>
      <c r="E44" s="6"/>
      <c r="F44" s="6"/>
      <c r="G44" s="58">
        <f>830*725</f>
        <v>601750</v>
      </c>
      <c r="H44" s="6"/>
      <c r="I44" s="6"/>
      <c r="J44" s="6"/>
      <c r="K44" s="6"/>
      <c r="L44" s="6"/>
      <c r="M44" s="6"/>
      <c r="N44" s="6"/>
      <c r="O44" s="6"/>
    </row>
    <row r="45" spans="1:15" ht="30" customHeight="1">
      <c r="A45" s="5">
        <v>1150</v>
      </c>
      <c r="B45" s="1" t="s">
        <v>387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>
      <c r="A46" s="5">
        <v>1150</v>
      </c>
      <c r="B46" s="1" t="s">
        <v>388</v>
      </c>
      <c r="C46" s="6"/>
      <c r="D46" s="6"/>
      <c r="E46" s="6"/>
      <c r="F46" s="6"/>
      <c r="G46" s="6">
        <v>172550</v>
      </c>
      <c r="H46" s="6"/>
      <c r="I46" s="6"/>
      <c r="J46" s="6"/>
      <c r="K46" s="6"/>
      <c r="L46" s="6"/>
      <c r="M46" s="6"/>
      <c r="N46" s="6"/>
      <c r="O46" s="6"/>
    </row>
    <row r="47" spans="1:15">
      <c r="A47" s="5">
        <v>1150</v>
      </c>
      <c r="B47" s="1" t="s">
        <v>389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>
      <c r="A48" s="5">
        <v>1150</v>
      </c>
      <c r="B48" s="1" t="s">
        <v>390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ht="15" thickBot="1">
      <c r="A49" s="5">
        <v>1150</v>
      </c>
      <c r="B49" s="30" t="s">
        <v>391</v>
      </c>
      <c r="C49" s="31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8"/>
    </row>
    <row r="50" spans="1:15" ht="15" thickBot="1">
      <c r="A50" s="41">
        <v>1150</v>
      </c>
      <c r="B50" s="34" t="s">
        <v>342</v>
      </c>
      <c r="C50" s="42">
        <f>SUM(D50:O50)</f>
        <v>2799300</v>
      </c>
      <c r="D50" s="42">
        <f t="shared" ref="D50:O50" si="5">SUM(D41:D49)</f>
        <v>655000</v>
      </c>
      <c r="E50" s="42">
        <f t="shared" si="5"/>
        <v>0</v>
      </c>
      <c r="F50" s="42">
        <f t="shared" si="5"/>
        <v>0</v>
      </c>
      <c r="G50" s="42">
        <f t="shared" si="5"/>
        <v>1657300</v>
      </c>
      <c r="H50" s="42">
        <f t="shared" si="5"/>
        <v>487000</v>
      </c>
      <c r="I50" s="42">
        <f t="shared" si="5"/>
        <v>0</v>
      </c>
      <c r="J50" s="42">
        <f t="shared" si="5"/>
        <v>0</v>
      </c>
      <c r="K50" s="42">
        <f t="shared" si="5"/>
        <v>0</v>
      </c>
      <c r="L50" s="42">
        <f t="shared" si="5"/>
        <v>0</v>
      </c>
      <c r="M50" s="42">
        <f t="shared" si="5"/>
        <v>0</v>
      </c>
      <c r="N50" s="42">
        <f t="shared" si="5"/>
        <v>0</v>
      </c>
      <c r="O50" s="42">
        <f t="shared" si="5"/>
        <v>0</v>
      </c>
    </row>
    <row r="51" spans="1:15" ht="15" thickBot="1">
      <c r="A51" s="41"/>
      <c r="B51" s="43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</row>
    <row r="52" spans="1:15" ht="30" customHeight="1" thickTop="1" thickBot="1">
      <c r="A52" s="41"/>
      <c r="B52" s="45" t="s">
        <v>336</v>
      </c>
      <c r="C52" s="70">
        <f>SUM(D52:O52)</f>
        <v>19657609</v>
      </c>
      <c r="D52" s="70">
        <f t="shared" ref="D52:O52" si="6">D9+D19+D31+D39+D50</f>
        <v>3776949</v>
      </c>
      <c r="E52" s="70">
        <f t="shared" si="6"/>
        <v>3534226</v>
      </c>
      <c r="F52" s="70">
        <f t="shared" si="6"/>
        <v>3535406</v>
      </c>
      <c r="G52" s="70">
        <f t="shared" si="6"/>
        <v>5031244</v>
      </c>
      <c r="H52" s="70">
        <f t="shared" si="6"/>
        <v>3779784</v>
      </c>
      <c r="I52" s="70">
        <f t="shared" si="6"/>
        <v>0</v>
      </c>
      <c r="J52" s="70">
        <f t="shared" si="6"/>
        <v>0</v>
      </c>
      <c r="K52" s="70">
        <f t="shared" si="6"/>
        <v>0</v>
      </c>
      <c r="L52" s="70">
        <f t="shared" si="6"/>
        <v>0</v>
      </c>
      <c r="M52" s="70">
        <f t="shared" si="6"/>
        <v>0</v>
      </c>
      <c r="N52" s="70">
        <f t="shared" si="6"/>
        <v>0</v>
      </c>
      <c r="O52" s="70">
        <f t="shared" si="6"/>
        <v>0</v>
      </c>
    </row>
    <row r="53" spans="1:15" ht="15" thickTop="1"/>
  </sheetData>
  <sortState xmlns:xlrd2="http://schemas.microsoft.com/office/spreadsheetml/2017/richdata2" ref="A2:O52">
    <sortCondition ref="A2:A52"/>
    <sortCondition ref="B2:B52"/>
  </sortState>
  <pageMargins left="0.19685039370078741" right="0.19685039370078741" top="0.74803149606299213" bottom="0.74803149606299213" header="0.31496062992125984" footer="0.31496062992125984"/>
  <pageSetup scale="93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E082-59EB-4061-AC50-DA8FBEB0C86F}">
  <sheetPr>
    <pageSetUpPr fitToPage="1"/>
  </sheetPr>
  <dimension ref="A1:O23"/>
  <sheetViews>
    <sheetView workbookViewId="0">
      <pane ySplit="1" topLeftCell="A14" activePane="bottomLeft" state="frozen"/>
      <selection pane="bottomLeft" activeCell="H17" sqref="H17"/>
    </sheetView>
  </sheetViews>
  <sheetFormatPr defaultColWidth="10.85546875" defaultRowHeight="14.45"/>
  <cols>
    <col min="1" max="1" width="9.5703125" customWidth="1"/>
    <col min="2" max="2" width="14.140625" customWidth="1"/>
    <col min="3" max="3" width="12.5703125" customWidth="1"/>
    <col min="4" max="4" width="12.42578125" customWidth="1"/>
    <col min="5" max="5" width="11.7109375" customWidth="1"/>
    <col min="6" max="6" width="12.28515625" customWidth="1"/>
    <col min="7" max="7" width="10.7109375" customWidth="1"/>
    <col min="8" max="8" width="10.140625" customWidth="1"/>
    <col min="9" max="15" width="8.85546875" customWidth="1"/>
  </cols>
  <sheetData>
    <row r="1" spans="1:15">
      <c r="A1" s="51">
        <v>1200</v>
      </c>
      <c r="B1" s="74" t="s">
        <v>323</v>
      </c>
      <c r="C1" s="73" t="s">
        <v>304</v>
      </c>
      <c r="D1" s="73" t="s">
        <v>305</v>
      </c>
      <c r="E1" s="73" t="s">
        <v>306</v>
      </c>
      <c r="F1" s="73" t="s">
        <v>307</v>
      </c>
      <c r="G1" s="73" t="s">
        <v>308</v>
      </c>
      <c r="H1" s="73" t="s">
        <v>309</v>
      </c>
      <c r="I1" s="73" t="s">
        <v>310</v>
      </c>
      <c r="J1" s="73" t="s">
        <v>311</v>
      </c>
      <c r="K1" s="73" t="s">
        <v>312</v>
      </c>
      <c r="L1" s="73" t="s">
        <v>313</v>
      </c>
      <c r="M1" s="73" t="s">
        <v>314</v>
      </c>
      <c r="N1" s="73" t="s">
        <v>315</v>
      </c>
      <c r="O1" s="73" t="s">
        <v>316</v>
      </c>
    </row>
    <row r="2" spans="1:15" ht="26.1">
      <c r="A2" s="9">
        <v>1200</v>
      </c>
      <c r="B2" s="3" t="s">
        <v>392</v>
      </c>
      <c r="C2" s="73"/>
      <c r="D2" s="73"/>
      <c r="E2" s="73"/>
      <c r="F2" s="73"/>
      <c r="G2" s="73"/>
      <c r="H2" s="6">
        <v>118272</v>
      </c>
      <c r="I2" s="73"/>
      <c r="J2" s="73"/>
      <c r="K2" s="73"/>
      <c r="L2" s="73"/>
      <c r="M2" s="73"/>
      <c r="N2" s="73"/>
      <c r="O2" s="73"/>
    </row>
    <row r="3" spans="1:15" ht="30" customHeight="1">
      <c r="A3" s="9">
        <v>1200</v>
      </c>
      <c r="B3" s="3" t="s">
        <v>337</v>
      </c>
      <c r="C3" s="6">
        <f t="shared" ref="C3:C14" si="0">SUM(D3:O3)</f>
        <v>6804707</v>
      </c>
      <c r="D3" s="6">
        <v>1361891</v>
      </c>
      <c r="E3" s="6">
        <v>1022929</v>
      </c>
      <c r="F3" s="6">
        <v>1275043</v>
      </c>
      <c r="G3" s="6">
        <v>1570739</v>
      </c>
      <c r="H3" s="6">
        <v>1574105</v>
      </c>
      <c r="I3" s="6"/>
      <c r="J3" s="6"/>
      <c r="K3" s="6"/>
      <c r="L3" s="6"/>
      <c r="M3" s="6"/>
      <c r="N3" s="6"/>
      <c r="O3" s="13"/>
    </row>
    <row r="4" spans="1:15" ht="30" customHeight="1">
      <c r="A4" s="9">
        <v>1200</v>
      </c>
      <c r="B4" s="3" t="s">
        <v>393</v>
      </c>
      <c r="C4" s="6">
        <f t="shared" si="0"/>
        <v>7731043</v>
      </c>
      <c r="D4" s="6">
        <v>1244827</v>
      </c>
      <c r="E4" s="6">
        <f>1055248+180000+88680</f>
        <v>1323928</v>
      </c>
      <c r="F4" s="7">
        <f>88680+184315+1275043+943202</f>
        <v>2491240</v>
      </c>
      <c r="G4" s="6">
        <v>1093297</v>
      </c>
      <c r="H4" s="6">
        <v>1577751</v>
      </c>
      <c r="I4" s="6"/>
      <c r="J4" s="6"/>
      <c r="K4" s="6"/>
      <c r="L4" s="6"/>
      <c r="M4" s="6"/>
      <c r="N4" s="6"/>
      <c r="O4" s="75"/>
    </row>
    <row r="5" spans="1:15" ht="30" customHeight="1">
      <c r="A5" s="9">
        <v>1200</v>
      </c>
      <c r="B5" s="3" t="s">
        <v>117</v>
      </c>
      <c r="C5" s="6">
        <f t="shared" si="0"/>
        <v>361571</v>
      </c>
      <c r="D5" s="6">
        <v>319888</v>
      </c>
      <c r="E5" s="6">
        <v>41683</v>
      </c>
      <c r="F5" s="6"/>
      <c r="G5" s="6"/>
      <c r="H5" s="6"/>
      <c r="I5" s="6"/>
      <c r="J5" s="6"/>
      <c r="K5" s="6"/>
      <c r="L5" s="6"/>
      <c r="M5" s="6"/>
      <c r="N5" s="6"/>
      <c r="O5" s="13"/>
    </row>
    <row r="6" spans="1:15" ht="30" customHeight="1">
      <c r="A6" s="9">
        <v>1200</v>
      </c>
      <c r="B6" s="3" t="s">
        <v>394</v>
      </c>
      <c r="C6" s="6">
        <f t="shared" si="0"/>
        <v>5370582</v>
      </c>
      <c r="D6" s="6">
        <v>1077903</v>
      </c>
      <c r="E6" s="6">
        <v>1474550</v>
      </c>
      <c r="F6" s="6">
        <v>1212470</v>
      </c>
      <c r="G6" s="6">
        <v>741595</v>
      </c>
      <c r="H6" s="6">
        <v>864064</v>
      </c>
      <c r="I6" s="6"/>
      <c r="J6" s="6"/>
      <c r="K6" s="6"/>
      <c r="L6" s="6"/>
      <c r="M6" s="6"/>
      <c r="N6" s="6"/>
      <c r="O6" s="13"/>
    </row>
    <row r="7" spans="1:15" ht="30" customHeight="1">
      <c r="A7" s="9">
        <v>1200</v>
      </c>
      <c r="B7" s="3" t="s">
        <v>395</v>
      </c>
      <c r="C7" s="6">
        <f t="shared" si="0"/>
        <v>380001</v>
      </c>
      <c r="D7" s="6">
        <v>380001</v>
      </c>
      <c r="E7" s="6"/>
      <c r="F7" s="6"/>
      <c r="G7" s="6"/>
      <c r="H7" s="6"/>
      <c r="I7" s="6"/>
      <c r="J7" s="6"/>
      <c r="K7" s="6"/>
      <c r="L7" s="6"/>
      <c r="M7" s="6"/>
      <c r="N7" s="6"/>
      <c r="O7" s="13"/>
    </row>
    <row r="8" spans="1:15" ht="35.450000000000003" customHeight="1">
      <c r="A8" s="9">
        <v>1200</v>
      </c>
      <c r="B8" s="3" t="s">
        <v>396</v>
      </c>
      <c r="C8" s="6"/>
      <c r="D8" s="6"/>
      <c r="E8" s="6"/>
      <c r="F8" s="6"/>
      <c r="G8" s="6">
        <v>397763</v>
      </c>
      <c r="H8" s="6"/>
      <c r="I8" s="6"/>
      <c r="J8" s="6"/>
      <c r="K8" s="6"/>
      <c r="L8" s="6"/>
      <c r="M8" s="6"/>
      <c r="N8" s="6"/>
      <c r="O8" s="13"/>
    </row>
    <row r="9" spans="1:15" ht="38.450000000000003">
      <c r="A9" s="9">
        <v>1200</v>
      </c>
      <c r="B9" s="3" t="s">
        <v>397</v>
      </c>
      <c r="C9" s="6">
        <f t="shared" si="0"/>
        <v>18361578</v>
      </c>
      <c r="D9" s="6">
        <v>3722190</v>
      </c>
      <c r="E9" s="6">
        <v>2729308</v>
      </c>
      <c r="F9" s="6">
        <v>4957980</v>
      </c>
      <c r="G9" s="6">
        <v>3337638</v>
      </c>
      <c r="H9" s="6">
        <v>3614462</v>
      </c>
      <c r="I9" s="6"/>
      <c r="J9" s="6"/>
      <c r="K9" s="6"/>
      <c r="L9" s="6"/>
      <c r="M9" s="6"/>
      <c r="N9" s="6"/>
      <c r="O9" s="13"/>
    </row>
    <row r="10" spans="1:15" ht="30" customHeight="1">
      <c r="A10" s="9">
        <v>1200</v>
      </c>
      <c r="B10" s="3" t="s">
        <v>130</v>
      </c>
      <c r="C10" s="6">
        <f t="shared" si="0"/>
        <v>654428</v>
      </c>
      <c r="D10" s="6">
        <v>388928</v>
      </c>
      <c r="E10" s="6"/>
      <c r="F10" s="6"/>
      <c r="G10" s="6">
        <v>265500</v>
      </c>
      <c r="H10" s="6"/>
      <c r="I10" s="6"/>
      <c r="J10" s="6"/>
      <c r="K10" s="6"/>
      <c r="L10" s="6"/>
      <c r="M10" s="6"/>
      <c r="N10" s="6"/>
      <c r="O10" s="13"/>
    </row>
    <row r="11" spans="1:15" ht="30" customHeight="1">
      <c r="A11" s="9">
        <v>1200</v>
      </c>
      <c r="B11" s="3" t="s">
        <v>140</v>
      </c>
      <c r="C11" s="6">
        <f t="shared" si="0"/>
        <v>2969753</v>
      </c>
      <c r="D11" s="6">
        <v>505155</v>
      </c>
      <c r="E11" s="6">
        <v>1057803</v>
      </c>
      <c r="F11" s="6"/>
      <c r="G11" s="6">
        <v>997483</v>
      </c>
      <c r="H11" s="6">
        <v>409312</v>
      </c>
      <c r="I11" s="6"/>
      <c r="J11" s="6"/>
      <c r="K11" s="6"/>
      <c r="L11" s="6"/>
      <c r="M11" s="6"/>
      <c r="N11" s="6"/>
      <c r="O11" s="13"/>
    </row>
    <row r="12" spans="1:15" ht="30" customHeight="1">
      <c r="A12" s="9">
        <v>1210</v>
      </c>
      <c r="B12" s="3" t="s">
        <v>398</v>
      </c>
      <c r="C12" s="6">
        <f t="shared" si="0"/>
        <v>3157602</v>
      </c>
      <c r="D12" s="6">
        <v>718137</v>
      </c>
      <c r="E12" s="6">
        <v>843967</v>
      </c>
      <c r="F12" s="6">
        <v>513999</v>
      </c>
      <c r="G12" s="6">
        <v>762394</v>
      </c>
      <c r="H12" s="6">
        <f>302657+16448</f>
        <v>319105</v>
      </c>
      <c r="I12" s="6"/>
      <c r="J12" s="6"/>
      <c r="K12" s="6"/>
      <c r="L12" s="6"/>
      <c r="M12" s="6"/>
      <c r="N12" s="6"/>
      <c r="O12" s="13"/>
    </row>
    <row r="13" spans="1:15" ht="30" customHeight="1">
      <c r="A13" s="9">
        <v>1210</v>
      </c>
      <c r="B13" s="3" t="s">
        <v>341</v>
      </c>
      <c r="C13" s="6">
        <f t="shared" si="0"/>
        <v>3163274</v>
      </c>
      <c r="D13" s="6">
        <v>712474</v>
      </c>
      <c r="E13" s="6">
        <v>741009</v>
      </c>
      <c r="F13" s="6"/>
      <c r="G13" s="6">
        <v>874601</v>
      </c>
      <c r="H13" s="6">
        <v>835190</v>
      </c>
      <c r="I13" s="6"/>
      <c r="J13" s="6"/>
      <c r="K13" s="6"/>
      <c r="L13" s="6"/>
      <c r="M13" s="6"/>
      <c r="N13" s="6"/>
      <c r="O13" s="13"/>
    </row>
    <row r="14" spans="1:15" ht="30" customHeight="1">
      <c r="A14" s="9">
        <v>1210</v>
      </c>
      <c r="B14" s="3" t="s">
        <v>134</v>
      </c>
      <c r="C14" s="6">
        <f t="shared" si="0"/>
        <v>3312598</v>
      </c>
      <c r="D14" s="6">
        <v>471555</v>
      </c>
      <c r="E14" s="6">
        <v>407755</v>
      </c>
      <c r="F14" s="6">
        <v>495476</v>
      </c>
      <c r="G14" s="6">
        <f>588595+741595</f>
        <v>1330190</v>
      </c>
      <c r="H14" s="6">
        <v>607622</v>
      </c>
      <c r="I14" s="6"/>
      <c r="J14" s="6"/>
      <c r="K14" s="3"/>
      <c r="L14" s="3"/>
      <c r="M14" s="3"/>
      <c r="N14" s="3"/>
      <c r="O14" s="1"/>
    </row>
    <row r="15" spans="1:15">
      <c r="A15" s="78"/>
      <c r="B15" s="78" t="s">
        <v>399</v>
      </c>
      <c r="C15" s="6">
        <f>SUM(D15:F15)</f>
        <v>31492089</v>
      </c>
      <c r="D15" s="79">
        <f>SUM(D3:D14)</f>
        <v>10902949</v>
      </c>
      <c r="E15" s="79">
        <f>SUM(E3:E14)</f>
        <v>9642932</v>
      </c>
      <c r="F15" s="79">
        <f>SUM(F3:F14)</f>
        <v>10946208</v>
      </c>
      <c r="G15" s="79">
        <f>SUM(G6:G14)</f>
        <v>8707164</v>
      </c>
      <c r="H15" s="79">
        <f t="shared" ref="H15:O15" si="1">SUM(H6:H14)</f>
        <v>6649755</v>
      </c>
      <c r="I15" s="79">
        <f t="shared" si="1"/>
        <v>0</v>
      </c>
      <c r="J15" s="79">
        <f t="shared" si="1"/>
        <v>0</v>
      </c>
      <c r="K15" s="79">
        <f t="shared" si="1"/>
        <v>0</v>
      </c>
      <c r="L15" s="79">
        <f t="shared" si="1"/>
        <v>0</v>
      </c>
      <c r="M15" s="79">
        <f t="shared" si="1"/>
        <v>0</v>
      </c>
      <c r="N15" s="79">
        <f t="shared" si="1"/>
        <v>0</v>
      </c>
      <c r="O15" s="79">
        <f t="shared" si="1"/>
        <v>0</v>
      </c>
    </row>
    <row r="16" spans="1:1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3"/>
      <c r="N16" s="3"/>
      <c r="O16" s="1"/>
    </row>
    <row r="17" spans="1:15" ht="30" customHeight="1">
      <c r="A17" s="3">
        <v>1290</v>
      </c>
      <c r="B17" s="3" t="s">
        <v>400</v>
      </c>
      <c r="C17" s="6">
        <f>SUM(D17:O17)</f>
        <v>28500470</v>
      </c>
      <c r="D17" s="101">
        <v>6448549</v>
      </c>
      <c r="E17" s="101">
        <v>10276050</v>
      </c>
      <c r="F17" s="101">
        <v>3313651</v>
      </c>
      <c r="G17" s="101">
        <v>3269100</v>
      </c>
      <c r="H17" s="6">
        <v>5193120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3">
        <v>0</v>
      </c>
      <c r="O17" s="1">
        <v>0</v>
      </c>
    </row>
    <row r="18" spans="1:15" ht="30" customHeight="1">
      <c r="A18" s="3"/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3"/>
      <c r="O18" s="1"/>
    </row>
    <row r="19" spans="1:15" ht="30" customHeight="1">
      <c r="A19" s="80"/>
      <c r="B19" s="81" t="s">
        <v>401</v>
      </c>
      <c r="C19" s="82">
        <f>SUM(D19:F19)</f>
        <v>51530339</v>
      </c>
      <c r="D19" s="82">
        <f t="shared" ref="D19" si="2">D15+D17</f>
        <v>17351498</v>
      </c>
      <c r="E19" s="82">
        <f>E15+E17</f>
        <v>19918982</v>
      </c>
      <c r="F19" s="82">
        <f>F15+F17</f>
        <v>14259859</v>
      </c>
      <c r="G19" s="82">
        <f t="shared" ref="G19:O19" si="3">G15+G17</f>
        <v>11976264</v>
      </c>
      <c r="H19" s="82">
        <f t="shared" si="3"/>
        <v>11842875</v>
      </c>
      <c r="I19" s="82">
        <f t="shared" si="3"/>
        <v>0</v>
      </c>
      <c r="J19" s="82">
        <f t="shared" si="3"/>
        <v>0</v>
      </c>
      <c r="K19" s="82">
        <f t="shared" si="3"/>
        <v>0</v>
      </c>
      <c r="L19" s="82">
        <f t="shared" si="3"/>
        <v>0</v>
      </c>
      <c r="M19" s="82">
        <f t="shared" si="3"/>
        <v>0</v>
      </c>
      <c r="N19" s="82">
        <f t="shared" si="3"/>
        <v>0</v>
      </c>
      <c r="O19" s="76">
        <f t="shared" si="3"/>
        <v>0</v>
      </c>
    </row>
    <row r="20" spans="1: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</sheetData>
  <sortState xmlns:xlrd2="http://schemas.microsoft.com/office/spreadsheetml/2017/richdata2" ref="A3:O20">
    <sortCondition ref="A3:A20"/>
    <sortCondition ref="B3:B20"/>
  </sortState>
  <printOptions gridLines="1"/>
  <pageMargins left="0.19685039370078741" right="0.19685039370078741" top="0.78740157480314965" bottom="0.47244094488188981" header="0.31496062992125984" footer="0.31496062992125984"/>
  <pageSetup scale="87" fitToHeight="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9313-8127-47D8-A79D-AB885A60EF71}">
  <sheetPr>
    <pageSetUpPr fitToPage="1"/>
  </sheetPr>
  <dimension ref="A1:O28"/>
  <sheetViews>
    <sheetView workbookViewId="0">
      <pane ySplit="1" topLeftCell="A5" activePane="bottomLeft" state="frozen"/>
      <selection pane="bottomLeft" activeCell="H22" sqref="H22"/>
    </sheetView>
  </sheetViews>
  <sheetFormatPr defaultColWidth="10.85546875" defaultRowHeight="14.45"/>
  <cols>
    <col min="1" max="1" width="8.85546875" customWidth="1"/>
    <col min="2" max="2" width="22.140625" customWidth="1"/>
    <col min="4" max="4" width="11.140625" customWidth="1"/>
    <col min="5" max="5" width="9.140625" customWidth="1"/>
    <col min="6" max="6" width="9.7109375" customWidth="1"/>
    <col min="7" max="7" width="8.5703125" customWidth="1"/>
    <col min="8" max="8" width="9.140625" customWidth="1"/>
    <col min="9" max="11" width="8.5703125" customWidth="1"/>
    <col min="12" max="12" width="9.140625" customWidth="1"/>
    <col min="13" max="13" width="9.42578125" customWidth="1"/>
    <col min="14" max="15" width="9.5703125" customWidth="1"/>
  </cols>
  <sheetData>
    <row r="1" spans="1:15">
      <c r="A1" s="10">
        <v>1300</v>
      </c>
      <c r="B1" s="11" t="s">
        <v>402</v>
      </c>
      <c r="C1" s="2" t="s">
        <v>304</v>
      </c>
      <c r="D1" s="2" t="s">
        <v>305</v>
      </c>
      <c r="E1" s="2" t="s">
        <v>306</v>
      </c>
      <c r="F1" s="2" t="s">
        <v>307</v>
      </c>
      <c r="G1" s="2" t="s">
        <v>308</v>
      </c>
      <c r="H1" s="2" t="s">
        <v>309</v>
      </c>
      <c r="I1" s="2" t="s">
        <v>310</v>
      </c>
      <c r="J1" s="2" t="s">
        <v>311</v>
      </c>
      <c r="K1" s="2" t="s">
        <v>312</v>
      </c>
      <c r="L1" s="2" t="s">
        <v>313</v>
      </c>
      <c r="M1" s="2" t="s">
        <v>314</v>
      </c>
      <c r="N1" s="2" t="s">
        <v>315</v>
      </c>
      <c r="O1" s="2" t="s">
        <v>316</v>
      </c>
    </row>
    <row r="2" spans="1:15">
      <c r="A2" s="5">
        <v>1310</v>
      </c>
      <c r="B2" s="3" t="s">
        <v>182</v>
      </c>
      <c r="C2" s="6">
        <f>SUM(D2:O2)</f>
        <v>1512004</v>
      </c>
      <c r="D2" s="6">
        <v>763004</v>
      </c>
      <c r="E2" s="6"/>
      <c r="F2" s="6"/>
      <c r="G2" s="6"/>
      <c r="H2" s="6">
        <v>749000</v>
      </c>
      <c r="I2" s="6"/>
      <c r="J2" s="6"/>
      <c r="K2" s="6"/>
      <c r="L2" s="21"/>
      <c r="M2" s="6"/>
      <c r="N2" s="6"/>
      <c r="O2" s="6"/>
    </row>
    <row r="3" spans="1:15">
      <c r="A3" s="5">
        <v>1310</v>
      </c>
      <c r="B3" s="3" t="s">
        <v>403</v>
      </c>
      <c r="C3" s="6">
        <f t="shared" ref="C3:C14" si="0">SUM(D3:O3)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6.1">
      <c r="A4" s="5">
        <v>1310</v>
      </c>
      <c r="B4" s="3" t="s">
        <v>404</v>
      </c>
      <c r="C4" s="6">
        <f t="shared" si="0"/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6.1">
      <c r="A5" s="5">
        <v>1310</v>
      </c>
      <c r="B5" s="3" t="s">
        <v>405</v>
      </c>
      <c r="C5" s="6">
        <f t="shared" si="0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>
      <c r="A6" s="5">
        <v>1310</v>
      </c>
      <c r="B6" s="3" t="s">
        <v>406</v>
      </c>
      <c r="C6" s="6">
        <f t="shared" si="0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>
      <c r="A7" s="5">
        <v>1310</v>
      </c>
      <c r="B7" s="3" t="s">
        <v>407</v>
      </c>
      <c r="C7" s="6">
        <f t="shared" si="0"/>
        <v>655042</v>
      </c>
      <c r="D7" s="21">
        <v>238638</v>
      </c>
      <c r="E7" s="6"/>
      <c r="F7" s="6"/>
      <c r="G7" s="6">
        <f>171600+160640</f>
        <v>332240</v>
      </c>
      <c r="H7" s="6">
        <v>84164</v>
      </c>
      <c r="I7" s="6"/>
      <c r="J7" s="6"/>
      <c r="K7" s="6"/>
      <c r="L7" s="6"/>
      <c r="M7" s="6"/>
      <c r="N7" s="6"/>
      <c r="O7" s="6"/>
    </row>
    <row r="8" spans="1:15">
      <c r="A8" s="5">
        <v>1310</v>
      </c>
      <c r="B8" s="1" t="s">
        <v>408</v>
      </c>
      <c r="C8" s="6">
        <f t="shared" si="0"/>
        <v>119800</v>
      </c>
      <c r="D8" s="6"/>
      <c r="E8" s="6">
        <v>119800</v>
      </c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>
      <c r="A9" s="5">
        <v>1310</v>
      </c>
      <c r="B9" s="3" t="s">
        <v>164</v>
      </c>
      <c r="C9" s="6">
        <f t="shared" si="0"/>
        <v>303375</v>
      </c>
      <c r="D9" s="6">
        <f>81991+74181</f>
        <v>156172</v>
      </c>
      <c r="E9" s="6">
        <v>147203</v>
      </c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>
      <c r="A10" s="5">
        <v>1310</v>
      </c>
      <c r="B10" s="3" t="s">
        <v>231</v>
      </c>
      <c r="C10" s="6">
        <v>0</v>
      </c>
      <c r="D10" s="6">
        <v>215000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>
      <c r="A11" s="5">
        <v>1310</v>
      </c>
      <c r="B11" s="3" t="s">
        <v>409</v>
      </c>
      <c r="C11" s="6">
        <f t="shared" si="0"/>
        <v>525700</v>
      </c>
      <c r="D11" s="6">
        <f>2999+3000+416500+37201</f>
        <v>459700</v>
      </c>
      <c r="E11" s="6"/>
      <c r="F11" s="6">
        <f>30000+36000</f>
        <v>66000</v>
      </c>
      <c r="G11" s="6"/>
      <c r="H11" s="6"/>
      <c r="I11" s="6"/>
      <c r="J11" s="6"/>
      <c r="K11" s="6"/>
      <c r="L11" s="6"/>
      <c r="M11" s="6"/>
      <c r="N11" s="6"/>
      <c r="O11" s="6"/>
    </row>
    <row r="12" spans="1:15">
      <c r="A12" s="5">
        <v>1310</v>
      </c>
      <c r="B12" s="3" t="s">
        <v>175</v>
      </c>
      <c r="C12" s="6">
        <f>SUM(D12:O12)</f>
        <v>2312719</v>
      </c>
      <c r="D12" s="6">
        <f>122200+174114+192703</f>
        <v>489017</v>
      </c>
      <c r="E12" s="6">
        <f>214702+206190+164804+125499</f>
        <v>711195</v>
      </c>
      <c r="F12" s="6">
        <f>157100+47399+34102</f>
        <v>238601</v>
      </c>
      <c r="G12" s="6">
        <f>130199+54299</f>
        <v>184498</v>
      </c>
      <c r="H12" s="6">
        <f>37602+127603+242601+281602</f>
        <v>689408</v>
      </c>
      <c r="I12" s="8"/>
      <c r="J12" s="6"/>
      <c r="K12" s="6"/>
      <c r="L12" s="21"/>
      <c r="M12" s="21"/>
      <c r="N12" s="21"/>
      <c r="O12" s="6"/>
    </row>
    <row r="13" spans="1:15">
      <c r="A13" s="5">
        <v>1310</v>
      </c>
      <c r="B13" s="3" t="s">
        <v>410</v>
      </c>
      <c r="C13" s="6">
        <f>SUM(D13:O13)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>
      <c r="A14" s="5">
        <v>1310</v>
      </c>
      <c r="B14" s="3" t="s">
        <v>411</v>
      </c>
      <c r="C14" s="6">
        <f t="shared" si="0"/>
        <v>136079</v>
      </c>
      <c r="D14" s="6">
        <f>29452+50872</f>
        <v>80324</v>
      </c>
      <c r="E14" s="6"/>
      <c r="F14" s="6">
        <v>55755</v>
      </c>
      <c r="G14" s="6"/>
      <c r="H14" s="6"/>
      <c r="I14" s="6"/>
      <c r="J14" s="6"/>
      <c r="K14" s="6"/>
      <c r="L14" s="6"/>
      <c r="M14" s="6"/>
      <c r="N14" s="6"/>
      <c r="O14" s="6"/>
    </row>
    <row r="15" spans="1:15">
      <c r="A15" s="5"/>
      <c r="B15" s="57" t="s">
        <v>342</v>
      </c>
      <c r="C15" s="58">
        <f>SUM(D15:O15)</f>
        <v>5779719</v>
      </c>
      <c r="D15" s="58">
        <f t="shared" ref="D15:O15" si="1">SUM(D2:D14)</f>
        <v>2401855</v>
      </c>
      <c r="E15" s="58">
        <f t="shared" si="1"/>
        <v>978198</v>
      </c>
      <c r="F15" s="58">
        <f t="shared" si="1"/>
        <v>360356</v>
      </c>
      <c r="G15" s="58">
        <f t="shared" si="1"/>
        <v>516738</v>
      </c>
      <c r="H15" s="58">
        <f t="shared" si="1"/>
        <v>1522572</v>
      </c>
      <c r="I15" s="58">
        <f t="shared" si="1"/>
        <v>0</v>
      </c>
      <c r="J15" s="58">
        <f t="shared" si="1"/>
        <v>0</v>
      </c>
      <c r="K15" s="58">
        <f t="shared" si="1"/>
        <v>0</v>
      </c>
      <c r="L15" s="58">
        <f t="shared" si="1"/>
        <v>0</v>
      </c>
      <c r="M15" s="58">
        <f t="shared" si="1"/>
        <v>0</v>
      </c>
      <c r="N15" s="58">
        <f t="shared" si="1"/>
        <v>0</v>
      </c>
      <c r="O15" s="58">
        <f t="shared" si="1"/>
        <v>0</v>
      </c>
    </row>
    <row r="16" spans="1:15">
      <c r="A16" s="5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>
      <c r="A17" s="5">
        <v>1320</v>
      </c>
      <c r="B17" s="3" t="s">
        <v>412</v>
      </c>
      <c r="C17" s="6">
        <f t="shared" ref="C17:C23" si="2">SUM(D17:O17)</f>
        <v>720457</v>
      </c>
      <c r="D17" s="6">
        <f>24650+171930+4401</f>
        <v>200981</v>
      </c>
      <c r="E17" s="6"/>
      <c r="F17" s="6">
        <f>99995+46990+23495+338000+10996</f>
        <v>519476</v>
      </c>
      <c r="G17" s="6"/>
      <c r="H17" s="6"/>
      <c r="I17" s="6"/>
      <c r="J17" s="21"/>
      <c r="K17" s="6"/>
      <c r="L17" s="6"/>
      <c r="M17" s="21"/>
      <c r="N17" s="21"/>
      <c r="O17" s="6"/>
    </row>
    <row r="18" spans="1:15">
      <c r="A18" s="5">
        <v>1310</v>
      </c>
      <c r="B18" s="3" t="s">
        <v>413</v>
      </c>
      <c r="C18" s="6">
        <f t="shared" si="2"/>
        <v>189000</v>
      </c>
      <c r="D18" s="6"/>
      <c r="E18" s="6"/>
      <c r="F18" s="6"/>
      <c r="G18" s="6">
        <v>189000</v>
      </c>
      <c r="H18" s="6"/>
      <c r="I18" s="6"/>
      <c r="J18" s="6"/>
      <c r="K18" s="6"/>
      <c r="L18" s="6"/>
      <c r="M18" s="6"/>
      <c r="N18" s="6"/>
      <c r="O18" s="6"/>
    </row>
    <row r="19" spans="1:15" ht="38.450000000000003">
      <c r="A19" s="5">
        <v>1320</v>
      </c>
      <c r="B19" s="3" t="s">
        <v>414</v>
      </c>
      <c r="C19" s="6">
        <f t="shared" si="2"/>
        <v>1244797</v>
      </c>
      <c r="D19" s="6">
        <f>406792+239701+79900+87191+41237</f>
        <v>854821</v>
      </c>
      <c r="E19" s="6"/>
      <c r="F19" s="6">
        <f>27676+44149+58767</f>
        <v>130592</v>
      </c>
      <c r="G19" s="6">
        <f>17536+66008</f>
        <v>83544</v>
      </c>
      <c r="H19" s="6">
        <f>86715+62821+26304</f>
        <v>175840</v>
      </c>
      <c r="I19" s="6"/>
      <c r="J19" s="6"/>
      <c r="K19" s="6"/>
      <c r="L19" s="6"/>
      <c r="M19" s="21"/>
      <c r="N19" s="21"/>
      <c r="O19" s="6"/>
    </row>
    <row r="20" spans="1:15">
      <c r="A20" s="5">
        <v>1310</v>
      </c>
      <c r="B20" s="3" t="s">
        <v>415</v>
      </c>
      <c r="C20" s="6">
        <f t="shared" si="2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>
      <c r="A21" s="5">
        <v>1310</v>
      </c>
      <c r="B21" s="3" t="s">
        <v>416</v>
      </c>
      <c r="C21" s="6">
        <f t="shared" si="2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>
      <c r="A22" s="5">
        <v>1320</v>
      </c>
      <c r="B22" s="3" t="s">
        <v>194</v>
      </c>
      <c r="C22" s="6">
        <f t="shared" si="2"/>
        <v>3077584</v>
      </c>
      <c r="D22" s="6">
        <f>61107+357488+143673+61107+40460+111735+13090+20230</f>
        <v>808890</v>
      </c>
      <c r="E22" s="6">
        <f>302879+121618+254130+73840+8568</f>
        <v>761035</v>
      </c>
      <c r="F22" s="6">
        <f>20230+93009+109678+113627+102876+101150+47576+31654</f>
        <v>619800</v>
      </c>
      <c r="G22" s="8"/>
      <c r="H22" s="6">
        <f>83550+169575+441383+193351</f>
        <v>887859</v>
      </c>
      <c r="I22" s="6"/>
      <c r="J22" s="6"/>
      <c r="K22" s="6"/>
      <c r="L22" s="6"/>
      <c r="M22" s="6"/>
      <c r="N22" s="6"/>
      <c r="O22" s="6"/>
    </row>
    <row r="23" spans="1:15">
      <c r="A23" s="5">
        <v>1320</v>
      </c>
      <c r="B23" s="3" t="s">
        <v>417</v>
      </c>
      <c r="C23" s="6">
        <f t="shared" si="2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>
      <c r="A24" s="5">
        <v>1120</v>
      </c>
      <c r="B24" s="3" t="s">
        <v>198</v>
      </c>
      <c r="C24" s="6">
        <f t="shared" ref="C24" si="3">SUM(D24:O24)</f>
        <v>112543</v>
      </c>
      <c r="D24" s="6"/>
      <c r="E24" s="6"/>
      <c r="F24" s="6">
        <v>112543</v>
      </c>
      <c r="G24" s="6"/>
      <c r="H24" s="6"/>
      <c r="I24" s="6"/>
      <c r="J24" s="6"/>
      <c r="K24" s="6"/>
      <c r="L24" s="6"/>
      <c r="M24" s="6"/>
      <c r="N24" s="6"/>
      <c r="O24" s="6"/>
    </row>
    <row r="25" spans="1:15">
      <c r="A25" s="14"/>
      <c r="B25" s="47"/>
      <c r="C25" s="27"/>
      <c r="D25" s="55"/>
      <c r="E25" s="56"/>
      <c r="F25" s="27"/>
      <c r="G25" s="27"/>
      <c r="H25" s="27"/>
      <c r="I25" s="56"/>
      <c r="J25" s="27"/>
      <c r="K25" s="27"/>
      <c r="L25" s="55"/>
      <c r="M25" s="55"/>
      <c r="N25" s="55"/>
      <c r="O25" s="27"/>
    </row>
    <row r="26" spans="1:15">
      <c r="A26" s="14"/>
      <c r="B26" s="59" t="s">
        <v>418</v>
      </c>
      <c r="C26" s="60">
        <f>SUM(D26:O27)</f>
        <v>5344381</v>
      </c>
      <c r="D26" s="60">
        <f t="shared" ref="D26:O26" si="4">SUM(D17:D25)</f>
        <v>1864692</v>
      </c>
      <c r="E26" s="60">
        <f t="shared" si="4"/>
        <v>761035</v>
      </c>
      <c r="F26" s="60">
        <f t="shared" si="4"/>
        <v>1382411</v>
      </c>
      <c r="G26" s="60">
        <f t="shared" si="4"/>
        <v>272544</v>
      </c>
      <c r="H26" s="60">
        <f t="shared" si="4"/>
        <v>1063699</v>
      </c>
      <c r="I26" s="60">
        <f t="shared" si="4"/>
        <v>0</v>
      </c>
      <c r="J26" s="60">
        <f t="shared" si="4"/>
        <v>0</v>
      </c>
      <c r="K26" s="60">
        <f t="shared" si="4"/>
        <v>0</v>
      </c>
      <c r="L26" s="60">
        <f t="shared" si="4"/>
        <v>0</v>
      </c>
      <c r="M26" s="60">
        <f t="shared" si="4"/>
        <v>0</v>
      </c>
      <c r="N26" s="60">
        <f t="shared" si="4"/>
        <v>0</v>
      </c>
      <c r="O26" s="60">
        <f t="shared" si="4"/>
        <v>0</v>
      </c>
    </row>
    <row r="28" spans="1:15">
      <c r="B28" s="77" t="s">
        <v>419</v>
      </c>
      <c r="C28" s="60">
        <f>SUM(D28:F28)</f>
        <v>7748547</v>
      </c>
      <c r="D28" s="60">
        <f t="shared" ref="D28:O28" si="5">D15+D26</f>
        <v>4266547</v>
      </c>
      <c r="E28" s="60">
        <f t="shared" si="5"/>
        <v>1739233</v>
      </c>
      <c r="F28" s="60">
        <f t="shared" si="5"/>
        <v>1742767</v>
      </c>
      <c r="G28" s="60">
        <f t="shared" si="5"/>
        <v>789282</v>
      </c>
      <c r="H28" s="60">
        <f t="shared" si="5"/>
        <v>2586271</v>
      </c>
      <c r="I28" s="60">
        <f t="shared" si="5"/>
        <v>0</v>
      </c>
      <c r="J28" s="60">
        <f t="shared" si="5"/>
        <v>0</v>
      </c>
      <c r="K28" s="60">
        <f t="shared" si="5"/>
        <v>0</v>
      </c>
      <c r="L28" s="60">
        <f t="shared" si="5"/>
        <v>0</v>
      </c>
      <c r="M28" s="60">
        <f t="shared" si="5"/>
        <v>0</v>
      </c>
      <c r="N28" s="60">
        <f t="shared" si="5"/>
        <v>0</v>
      </c>
      <c r="O28" s="60">
        <f t="shared" si="5"/>
        <v>0</v>
      </c>
    </row>
  </sheetData>
  <sortState xmlns:xlrd2="http://schemas.microsoft.com/office/spreadsheetml/2017/richdata2" ref="A2:O29">
    <sortCondition ref="A2:A29"/>
    <sortCondition ref="B2:B29"/>
  </sortState>
  <pageMargins left="0.70866141732283472" right="0.70866141732283472" top="0.74803149606299213" bottom="0.74803149606299213" header="0.31496062992125984" footer="0.31496062992125984"/>
  <pageSetup scale="79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1272A-C104-4726-80F7-0C2E9AF14B33}">
  <sheetPr>
    <pageSetUpPr fitToPage="1"/>
  </sheetPr>
  <dimension ref="A1:P16"/>
  <sheetViews>
    <sheetView workbookViewId="0">
      <pane ySplit="1" topLeftCell="A8" activePane="bottomLeft" state="frozen"/>
      <selection pane="bottomLeft" activeCell="H14" sqref="H14"/>
    </sheetView>
  </sheetViews>
  <sheetFormatPr defaultColWidth="11.42578125" defaultRowHeight="14.45"/>
  <cols>
    <col min="1" max="1" width="8.85546875" customWidth="1"/>
    <col min="2" max="2" width="21.85546875" customWidth="1"/>
    <col min="3" max="3" width="9.85546875" customWidth="1"/>
    <col min="4" max="5" width="9.42578125" customWidth="1"/>
    <col min="6" max="6" width="9.5703125" customWidth="1"/>
    <col min="7" max="15" width="8.85546875" customWidth="1"/>
  </cols>
  <sheetData>
    <row r="1" spans="1:16">
      <c r="A1" s="61">
        <v>1400</v>
      </c>
      <c r="B1" s="62" t="s">
        <v>420</v>
      </c>
      <c r="C1" s="63" t="s">
        <v>304</v>
      </c>
      <c r="D1" s="63" t="s">
        <v>305</v>
      </c>
      <c r="E1" s="63" t="s">
        <v>306</v>
      </c>
      <c r="F1" s="63" t="s">
        <v>307</v>
      </c>
      <c r="G1" s="63" t="s">
        <v>308</v>
      </c>
      <c r="H1" s="63" t="s">
        <v>309</v>
      </c>
      <c r="I1" s="63" t="s">
        <v>310</v>
      </c>
      <c r="J1" s="63" t="s">
        <v>311</v>
      </c>
      <c r="K1" s="63" t="s">
        <v>312</v>
      </c>
      <c r="L1" s="63" t="s">
        <v>313</v>
      </c>
      <c r="M1" s="63" t="s">
        <v>314</v>
      </c>
      <c r="N1" s="63" t="s">
        <v>315</v>
      </c>
      <c r="O1" s="63" t="s">
        <v>316</v>
      </c>
    </row>
    <row r="2" spans="1:16">
      <c r="A2" s="9">
        <v>1410</v>
      </c>
      <c r="B2" s="3" t="s">
        <v>421</v>
      </c>
      <c r="C2" s="6">
        <f t="shared" ref="C2:C14" si="0">SUM(D2:O2)</f>
        <v>3997500</v>
      </c>
      <c r="D2" s="6">
        <v>789000</v>
      </c>
      <c r="E2" s="6">
        <v>933000</v>
      </c>
      <c r="F2" s="6">
        <v>843500</v>
      </c>
      <c r="G2" s="6">
        <v>764500</v>
      </c>
      <c r="H2" s="6">
        <v>667500</v>
      </c>
      <c r="I2" s="6"/>
      <c r="J2" s="6"/>
      <c r="K2" s="6"/>
      <c r="L2" s="6"/>
      <c r="M2" s="6"/>
      <c r="N2" s="6"/>
      <c r="O2" s="6"/>
    </row>
    <row r="3" spans="1:16">
      <c r="A3" s="9">
        <v>1410</v>
      </c>
      <c r="B3" s="3" t="s">
        <v>422</v>
      </c>
      <c r="C3" s="6">
        <f t="shared" si="0"/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6">
      <c r="A4" s="9">
        <v>1410</v>
      </c>
      <c r="B4" s="3" t="s">
        <v>203</v>
      </c>
      <c r="C4" s="6">
        <f t="shared" si="0"/>
        <v>842480</v>
      </c>
      <c r="D4" s="6">
        <v>600000</v>
      </c>
      <c r="E4" s="6"/>
      <c r="F4" s="6">
        <v>242480</v>
      </c>
      <c r="G4" s="6"/>
      <c r="H4" s="6"/>
      <c r="I4" s="6"/>
      <c r="J4" s="6"/>
      <c r="K4" s="6"/>
      <c r="L4" s="6"/>
      <c r="M4" s="6"/>
      <c r="N4" s="6"/>
      <c r="O4" s="6"/>
    </row>
    <row r="5" spans="1:16" ht="26.1">
      <c r="A5" s="9">
        <v>1410</v>
      </c>
      <c r="B5" s="3" t="s">
        <v>423</v>
      </c>
      <c r="C5" s="6">
        <f t="shared" si="0"/>
        <v>1244940</v>
      </c>
      <c r="D5" s="6">
        <v>204880</v>
      </c>
      <c r="E5" s="6">
        <v>243950</v>
      </c>
      <c r="F5" s="6">
        <v>105910</v>
      </c>
      <c r="G5" s="6">
        <v>446250</v>
      </c>
      <c r="H5" s="6">
        <v>243950</v>
      </c>
      <c r="I5" s="6"/>
      <c r="J5" s="6"/>
      <c r="K5" s="6"/>
      <c r="L5" s="6"/>
      <c r="M5" s="6"/>
      <c r="N5" s="6"/>
      <c r="O5" s="6"/>
    </row>
    <row r="6" spans="1:16">
      <c r="A6" s="9">
        <v>1410</v>
      </c>
      <c r="B6" s="3" t="s">
        <v>424</v>
      </c>
      <c r="C6" s="6">
        <f t="shared" si="0"/>
        <v>95000</v>
      </c>
      <c r="D6" s="6">
        <v>95000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6" ht="38.450000000000003">
      <c r="A7" s="9">
        <v>1410</v>
      </c>
      <c r="B7" s="3" t="s">
        <v>425</v>
      </c>
      <c r="C7" s="6">
        <f t="shared" si="0"/>
        <v>887101</v>
      </c>
      <c r="D7" s="6"/>
      <c r="E7" s="6">
        <v>707100</v>
      </c>
      <c r="F7" s="6"/>
      <c r="G7" s="6">
        <v>180001</v>
      </c>
      <c r="H7" s="6"/>
      <c r="I7" s="6"/>
      <c r="J7" s="6"/>
      <c r="K7" s="6"/>
      <c r="L7" s="6"/>
      <c r="M7" s="6"/>
      <c r="N7" s="6"/>
      <c r="O7" s="6"/>
    </row>
    <row r="8" spans="1:16">
      <c r="A8" s="9">
        <v>1410</v>
      </c>
      <c r="B8" s="3" t="s">
        <v>212</v>
      </c>
      <c r="C8" s="6">
        <f t="shared" si="0"/>
        <v>220000</v>
      </c>
      <c r="D8" s="6">
        <v>110000</v>
      </c>
      <c r="E8" s="6"/>
      <c r="F8" s="6"/>
      <c r="G8" s="6">
        <v>110000</v>
      </c>
      <c r="H8" s="6"/>
      <c r="I8" s="6"/>
      <c r="J8" s="6"/>
      <c r="K8" s="6"/>
      <c r="L8" s="6"/>
      <c r="M8" s="6"/>
      <c r="N8" s="6"/>
      <c r="O8" s="6"/>
      <c r="P8" t="s">
        <v>426</v>
      </c>
    </row>
    <row r="9" spans="1:16">
      <c r="A9" s="9">
        <v>1410</v>
      </c>
      <c r="B9" s="3" t="s">
        <v>177</v>
      </c>
      <c r="C9" s="6">
        <f t="shared" si="0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6">
      <c r="A10" s="9"/>
      <c r="B10" s="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6">
      <c r="A11" s="83">
        <v>1410</v>
      </c>
      <c r="B11" s="80" t="s">
        <v>427</v>
      </c>
      <c r="C11" s="82">
        <f>SUM(D11:O11)</f>
        <v>7287021</v>
      </c>
      <c r="D11" s="82">
        <f t="shared" ref="D11:O11" si="1">SUM(D2:D10)</f>
        <v>1798880</v>
      </c>
      <c r="E11" s="82">
        <f t="shared" si="1"/>
        <v>1884050</v>
      </c>
      <c r="F11" s="82">
        <f t="shared" si="1"/>
        <v>1191890</v>
      </c>
      <c r="G11" s="82">
        <f t="shared" si="1"/>
        <v>1500751</v>
      </c>
      <c r="H11" s="82">
        <f t="shared" si="1"/>
        <v>911450</v>
      </c>
      <c r="I11" s="82">
        <f t="shared" si="1"/>
        <v>0</v>
      </c>
      <c r="J11" s="82">
        <f t="shared" si="1"/>
        <v>0</v>
      </c>
      <c r="K11" s="82">
        <f t="shared" si="1"/>
        <v>0</v>
      </c>
      <c r="L11" s="82">
        <f t="shared" si="1"/>
        <v>0</v>
      </c>
      <c r="M11" s="82">
        <f t="shared" si="1"/>
        <v>0</v>
      </c>
      <c r="N11" s="82">
        <f t="shared" si="1"/>
        <v>0</v>
      </c>
      <c r="O11" s="82">
        <f t="shared" si="1"/>
        <v>0</v>
      </c>
    </row>
    <row r="12" spans="1:16">
      <c r="A12" s="9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6">
      <c r="A13" s="9"/>
      <c r="B13" s="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6">
      <c r="A14" s="9">
        <v>1450</v>
      </c>
      <c r="B14" s="3" t="s">
        <v>216</v>
      </c>
      <c r="C14" s="6">
        <f t="shared" si="0"/>
        <v>6603600</v>
      </c>
      <c r="D14" s="6">
        <v>0</v>
      </c>
      <c r="E14" s="6">
        <v>2000000</v>
      </c>
      <c r="F14" s="6"/>
      <c r="G14" s="6">
        <v>1528000</v>
      </c>
      <c r="H14" s="6">
        <f>1453200+1622400</f>
        <v>3075600</v>
      </c>
      <c r="I14" s="6"/>
      <c r="J14" s="6"/>
      <c r="K14" s="6"/>
      <c r="L14" s="6"/>
      <c r="M14" s="6"/>
      <c r="N14" s="6"/>
      <c r="O14" s="6"/>
    </row>
    <row r="15" spans="1:16">
      <c r="A15" s="52"/>
      <c r="B15" s="47"/>
      <c r="C15" s="33"/>
      <c r="D15" s="6"/>
      <c r="E15" s="33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6">
      <c r="A16" s="85"/>
      <c r="B16" s="84" t="s">
        <v>428</v>
      </c>
      <c r="C16" s="82">
        <f t="shared" ref="C16:O16" si="2">SUM(C2:C14)</f>
        <v>21177642</v>
      </c>
      <c r="D16" s="82">
        <f t="shared" si="2"/>
        <v>3597760</v>
      </c>
      <c r="E16" s="82">
        <f t="shared" si="2"/>
        <v>5768100</v>
      </c>
      <c r="F16" s="82">
        <f t="shared" si="2"/>
        <v>2383780</v>
      </c>
      <c r="G16" s="82">
        <f t="shared" si="2"/>
        <v>4529502</v>
      </c>
      <c r="H16" s="82">
        <f t="shared" si="2"/>
        <v>4898500</v>
      </c>
      <c r="I16" s="82">
        <f t="shared" si="2"/>
        <v>0</v>
      </c>
      <c r="J16" s="82">
        <f t="shared" si="2"/>
        <v>0</v>
      </c>
      <c r="K16" s="82">
        <f t="shared" si="2"/>
        <v>0</v>
      </c>
      <c r="L16" s="82">
        <f t="shared" si="2"/>
        <v>0</v>
      </c>
      <c r="M16" s="82">
        <f t="shared" si="2"/>
        <v>0</v>
      </c>
      <c r="N16" s="82">
        <f t="shared" si="2"/>
        <v>0</v>
      </c>
      <c r="O16" s="82">
        <f t="shared" si="2"/>
        <v>0</v>
      </c>
    </row>
  </sheetData>
  <sortState xmlns:xlrd2="http://schemas.microsoft.com/office/spreadsheetml/2017/richdata2" ref="A2:O16">
    <sortCondition ref="A2:A16"/>
    <sortCondition ref="B2:B16"/>
  </sortState>
  <pageMargins left="0.39370078740157483" right="0.39370078740157483" top="0.39370078740157483" bottom="0.39370078740157483" header="0.31496062992125984" footer="0.31496062992125984"/>
  <pageSetup scale="81" orientation="landscape" horizontalDpi="0" verticalDpi="0" r:id="rId1"/>
  <ignoredErrors>
    <ignoredError sqref="C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8625-A8CC-4CBE-89C7-6B3EEB433E3E}">
  <sheetPr>
    <pageSetUpPr fitToPage="1"/>
  </sheetPr>
  <dimension ref="A1:O17"/>
  <sheetViews>
    <sheetView workbookViewId="0">
      <pane ySplit="1" topLeftCell="A5" activePane="bottomLeft" state="frozen"/>
      <selection pane="bottomLeft" activeCell="H14" sqref="H14"/>
    </sheetView>
  </sheetViews>
  <sheetFormatPr defaultColWidth="11.42578125" defaultRowHeight="14.45"/>
  <cols>
    <col min="1" max="1" width="6.42578125" customWidth="1"/>
    <col min="2" max="2" width="13.5703125" customWidth="1"/>
    <col min="6" max="6" width="13.42578125" bestFit="1" customWidth="1"/>
  </cols>
  <sheetData>
    <row r="1" spans="1:15">
      <c r="A1" s="51">
        <v>1500</v>
      </c>
      <c r="B1" s="11" t="s">
        <v>429</v>
      </c>
      <c r="C1" s="2" t="s">
        <v>304</v>
      </c>
      <c r="D1" s="2" t="s">
        <v>305</v>
      </c>
      <c r="E1" s="2" t="s">
        <v>306</v>
      </c>
      <c r="F1" s="2" t="s">
        <v>307</v>
      </c>
      <c r="G1" s="2" t="s">
        <v>308</v>
      </c>
      <c r="H1" s="2" t="s">
        <v>309</v>
      </c>
      <c r="I1" s="2" t="s">
        <v>310</v>
      </c>
      <c r="J1" s="2" t="s">
        <v>311</v>
      </c>
      <c r="K1" s="2" t="s">
        <v>312</v>
      </c>
      <c r="L1" s="2" t="s">
        <v>313</v>
      </c>
      <c r="M1" s="2" t="s">
        <v>314</v>
      </c>
      <c r="N1" s="2" t="s">
        <v>315</v>
      </c>
      <c r="O1" s="2" t="s">
        <v>316</v>
      </c>
    </row>
    <row r="2" spans="1:15" ht="38.450000000000003">
      <c r="A2" s="9">
        <v>1510</v>
      </c>
      <c r="B2" s="3" t="s">
        <v>430</v>
      </c>
      <c r="C2" s="6">
        <f t="shared" ref="C2:C10" si="0">SUM(D2:O2)</f>
        <v>2466905</v>
      </c>
      <c r="D2" s="6">
        <f>100000+390000</f>
        <v>490000</v>
      </c>
      <c r="E2" s="6">
        <f>100000+373000</f>
        <v>473000</v>
      </c>
      <c r="F2" s="6">
        <f>100000+400000</f>
        <v>500000</v>
      </c>
      <c r="G2" s="6">
        <f>65792+100000+400000</f>
        <v>565792</v>
      </c>
      <c r="H2" s="6">
        <f>100000+338113</f>
        <v>438113</v>
      </c>
      <c r="I2" s="6"/>
      <c r="J2" s="6"/>
      <c r="K2" s="6"/>
      <c r="L2" s="6"/>
      <c r="M2" s="6"/>
      <c r="N2" s="6"/>
      <c r="O2" s="6"/>
    </row>
    <row r="3" spans="1:15" ht="26.1">
      <c r="A3" s="9">
        <v>1510</v>
      </c>
      <c r="B3" s="3" t="s">
        <v>431</v>
      </c>
      <c r="C3" s="6">
        <f t="shared" si="0"/>
        <v>2019502</v>
      </c>
      <c r="D3" s="6">
        <f>100000+473000</f>
        <v>573000</v>
      </c>
      <c r="E3" s="6">
        <f>100000+30000+278251</f>
        <v>408251</v>
      </c>
      <c r="F3" s="7">
        <f>30000+E3</f>
        <v>438251</v>
      </c>
      <c r="G3" s="7">
        <v>600000</v>
      </c>
      <c r="H3" s="6"/>
      <c r="I3" s="6"/>
      <c r="J3" s="6"/>
      <c r="K3" s="6"/>
      <c r="L3" s="6"/>
      <c r="M3" s="6"/>
      <c r="N3" s="6"/>
      <c r="O3" s="6"/>
    </row>
    <row r="4" spans="1:15" ht="26.1">
      <c r="A4" s="9">
        <v>1510</v>
      </c>
      <c r="B4" s="3" t="s">
        <v>231</v>
      </c>
      <c r="C4" s="6">
        <f t="shared" si="0"/>
        <v>1582750</v>
      </c>
      <c r="D4" s="6">
        <v>100000</v>
      </c>
      <c r="E4" s="6">
        <f>100000+226250</f>
        <v>326250</v>
      </c>
      <c r="F4" s="6">
        <f>100000+226500</f>
        <v>326500</v>
      </c>
      <c r="G4" s="6">
        <f>100000+300000</f>
        <v>400000</v>
      </c>
      <c r="H4" s="6">
        <f>100000+330000</f>
        <v>430000</v>
      </c>
      <c r="I4" s="6"/>
      <c r="J4" s="6"/>
      <c r="K4" s="6"/>
      <c r="L4" s="6"/>
      <c r="M4" s="6"/>
      <c r="N4" s="6"/>
      <c r="O4" s="6"/>
    </row>
    <row r="5" spans="1:15" ht="26.1">
      <c r="A5" s="9">
        <v>1510</v>
      </c>
      <c r="B5" s="3" t="s">
        <v>432</v>
      </c>
      <c r="C5" s="6">
        <f t="shared" si="0"/>
        <v>934889</v>
      </c>
      <c r="D5" s="6">
        <f>100000+400000</f>
        <v>500000</v>
      </c>
      <c r="E5" s="6">
        <f>100000+233000</f>
        <v>333000</v>
      </c>
      <c r="F5" s="6">
        <v>101889</v>
      </c>
      <c r="G5" s="6"/>
      <c r="H5" s="6"/>
      <c r="I5" s="6"/>
      <c r="J5" s="6"/>
      <c r="K5" s="6"/>
      <c r="L5" s="6"/>
      <c r="M5" s="6"/>
      <c r="N5" s="6"/>
      <c r="O5" s="6"/>
    </row>
    <row r="6" spans="1:15" ht="26.1">
      <c r="A6" s="9">
        <v>1510</v>
      </c>
      <c r="B6" s="3" t="s">
        <v>229</v>
      </c>
      <c r="C6" s="6"/>
      <c r="D6" s="6"/>
      <c r="E6" s="6"/>
      <c r="F6" s="6"/>
      <c r="G6" s="6">
        <v>136000</v>
      </c>
      <c r="H6" s="6">
        <v>400000</v>
      </c>
      <c r="I6" s="6"/>
      <c r="J6" s="6"/>
      <c r="K6" s="6"/>
      <c r="L6" s="6"/>
      <c r="M6" s="6"/>
      <c r="N6" s="6"/>
      <c r="O6" s="6"/>
    </row>
    <row r="7" spans="1:15" ht="24.95" customHeight="1">
      <c r="A7" s="9">
        <v>1510</v>
      </c>
      <c r="B7" s="3" t="s">
        <v>237</v>
      </c>
      <c r="C7" s="6">
        <f t="shared" si="0"/>
        <v>1250000</v>
      </c>
      <c r="D7" s="6"/>
      <c r="E7" s="6"/>
      <c r="F7" s="6">
        <v>400000</v>
      </c>
      <c r="G7" s="6">
        <v>400000</v>
      </c>
      <c r="H7" s="6">
        <v>450000</v>
      </c>
      <c r="I7" s="6"/>
      <c r="J7" s="6"/>
      <c r="K7" s="6"/>
      <c r="L7" s="6"/>
      <c r="M7" s="6"/>
      <c r="N7" s="6"/>
      <c r="O7" s="6"/>
    </row>
    <row r="8" spans="1:15" ht="38.450000000000003">
      <c r="A8" s="9">
        <v>1510</v>
      </c>
      <c r="B8" s="3" t="s">
        <v>433</v>
      </c>
      <c r="C8" s="6">
        <f t="shared" si="0"/>
        <v>3900000</v>
      </c>
      <c r="D8" s="6">
        <f>100000+700000</f>
        <v>800000</v>
      </c>
      <c r="E8" s="6">
        <v>700000</v>
      </c>
      <c r="F8" s="6">
        <f>100000+600000+100000</f>
        <v>800000</v>
      </c>
      <c r="G8" s="6">
        <f>100000+700000</f>
        <v>800000</v>
      </c>
      <c r="H8" s="6">
        <f>100000+700000</f>
        <v>800000</v>
      </c>
      <c r="I8" s="6"/>
      <c r="J8" s="6"/>
      <c r="K8" s="6"/>
      <c r="L8" s="6"/>
      <c r="M8" s="6"/>
      <c r="N8" s="6"/>
      <c r="O8" s="6"/>
    </row>
    <row r="9" spans="1:15" ht="26.1">
      <c r="A9" s="9">
        <v>1510</v>
      </c>
      <c r="B9" s="3" t="s">
        <v>244</v>
      </c>
      <c r="C9" s="6">
        <f t="shared" si="0"/>
        <v>2141120</v>
      </c>
      <c r="D9" s="6">
        <f>100000+400000</f>
        <v>500000</v>
      </c>
      <c r="E9" s="6">
        <f>100000+400000</f>
        <v>500000</v>
      </c>
      <c r="F9" s="6">
        <f>100000+400000</f>
        <v>500000</v>
      </c>
      <c r="G9" s="6">
        <f>32896+100000+400000</f>
        <v>532896</v>
      </c>
      <c r="H9" s="6">
        <f>8224+100000</f>
        <v>108224</v>
      </c>
      <c r="I9" s="6"/>
      <c r="J9" s="6"/>
      <c r="K9" s="6"/>
      <c r="L9" s="6"/>
      <c r="M9" s="6"/>
      <c r="N9" s="6"/>
      <c r="O9" s="6"/>
    </row>
    <row r="10" spans="1:15" ht="26.1">
      <c r="A10" s="9">
        <v>1510</v>
      </c>
      <c r="B10" s="3" t="s">
        <v>434</v>
      </c>
      <c r="C10" s="6">
        <f t="shared" si="0"/>
        <v>150000</v>
      </c>
      <c r="D10" s="6"/>
      <c r="E10" s="6">
        <v>150000</v>
      </c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>
      <c r="A11" s="9"/>
      <c r="B11" s="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>
      <c r="A12" s="9">
        <v>1510</v>
      </c>
      <c r="B12" s="80" t="s">
        <v>342</v>
      </c>
      <c r="C12" s="82">
        <f>SUM(D12:O12)</f>
        <v>14981166</v>
      </c>
      <c r="D12" s="82">
        <f>SUM(D2:D11)</f>
        <v>2963000</v>
      </c>
      <c r="E12" s="82">
        <f>SUM(E2:E11)</f>
        <v>2890501</v>
      </c>
      <c r="F12" s="82">
        <f t="shared" ref="F12:O12" si="1">SUM(F2:F11)</f>
        <v>3066640</v>
      </c>
      <c r="G12" s="82">
        <f t="shared" si="1"/>
        <v>3434688</v>
      </c>
      <c r="H12" s="82">
        <f t="shared" si="1"/>
        <v>2626337</v>
      </c>
      <c r="I12" s="82">
        <f t="shared" si="1"/>
        <v>0</v>
      </c>
      <c r="J12" s="82">
        <f t="shared" si="1"/>
        <v>0</v>
      </c>
      <c r="K12" s="82">
        <f t="shared" si="1"/>
        <v>0</v>
      </c>
      <c r="L12" s="82">
        <f t="shared" si="1"/>
        <v>0</v>
      </c>
      <c r="M12" s="82">
        <f t="shared" si="1"/>
        <v>0</v>
      </c>
      <c r="N12" s="82">
        <f t="shared" si="1"/>
        <v>0</v>
      </c>
      <c r="O12" s="82">
        <f t="shared" si="1"/>
        <v>0</v>
      </c>
    </row>
    <row r="13" spans="1:15">
      <c r="A13" s="9"/>
      <c r="B13" s="80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spans="1:15">
      <c r="A14" s="9">
        <v>1550</v>
      </c>
      <c r="B14" s="3" t="s">
        <v>253</v>
      </c>
      <c r="C14" s="6">
        <f>SUM(D14:O14)</f>
        <v>5880250</v>
      </c>
      <c r="D14" s="6">
        <v>941687</v>
      </c>
      <c r="E14" s="6">
        <v>1138225</v>
      </c>
      <c r="F14" s="6">
        <v>1167524</v>
      </c>
      <c r="G14" s="6">
        <f>1123289+425614</f>
        <v>1548903</v>
      </c>
      <c r="H14" s="6">
        <v>1083911</v>
      </c>
      <c r="I14" s="6"/>
      <c r="J14" s="6"/>
      <c r="K14" s="6"/>
      <c r="L14" s="6"/>
      <c r="M14" s="6"/>
      <c r="N14" s="6"/>
      <c r="O14" s="6"/>
    </row>
    <row r="15" spans="1:15">
      <c r="A15" s="52"/>
      <c r="B15" s="47"/>
      <c r="C15" s="33"/>
      <c r="D15" s="33"/>
      <c r="E15" s="33"/>
      <c r="F15" s="33"/>
      <c r="G15" s="6"/>
      <c r="H15" s="6"/>
      <c r="I15" s="6"/>
      <c r="J15" s="6"/>
      <c r="K15" s="6"/>
      <c r="L15" s="6"/>
      <c r="M15" s="6"/>
      <c r="N15" s="6"/>
      <c r="O15" s="6"/>
    </row>
    <row r="16" spans="1:15">
      <c r="A16" s="52">
        <v>1599</v>
      </c>
      <c r="B16" s="84" t="s">
        <v>435</v>
      </c>
      <c r="C16" s="97">
        <f>SUM(D16:O17)</f>
        <v>23342191</v>
      </c>
      <c r="D16" s="97">
        <f>SUM(D8+D12)</f>
        <v>3763000</v>
      </c>
      <c r="E16" s="97">
        <f>E8+E12</f>
        <v>3590501</v>
      </c>
      <c r="F16" s="97">
        <f>F8+F12</f>
        <v>3866640</v>
      </c>
      <c r="G16" s="82">
        <f t="shared" ref="G16:O16" si="2">SUM(G1:G12)</f>
        <v>6869376</v>
      </c>
      <c r="H16" s="82">
        <f t="shared" si="2"/>
        <v>5252674</v>
      </c>
      <c r="I16" s="82">
        <f t="shared" si="2"/>
        <v>0</v>
      </c>
      <c r="J16" s="82">
        <f t="shared" si="2"/>
        <v>0</v>
      </c>
      <c r="K16" s="82">
        <f t="shared" si="2"/>
        <v>0</v>
      </c>
      <c r="L16" s="82">
        <f t="shared" si="2"/>
        <v>0</v>
      </c>
      <c r="M16" s="82">
        <f t="shared" si="2"/>
        <v>0</v>
      </c>
      <c r="N16" s="82">
        <f t="shared" si="2"/>
        <v>0</v>
      </c>
      <c r="O16" s="82">
        <f t="shared" si="2"/>
        <v>0</v>
      </c>
    </row>
    <row r="17" spans="1:15">
      <c r="A17" s="52"/>
      <c r="B17" s="4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</sheetData>
  <sortState xmlns:xlrd2="http://schemas.microsoft.com/office/spreadsheetml/2017/richdata2" ref="A2:O17">
    <sortCondition ref="A2:A17"/>
    <sortCondition ref="B2:B17"/>
  </sortState>
  <pageMargins left="0.7" right="0.7" top="0.75" bottom="0.75" header="0.3" footer="0.3"/>
  <pageSetup scale="75" fitToHeight="0" orientation="landscape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223E-48B5-4E20-B016-BDFF5F2906AB}">
  <dimension ref="A1:Q15"/>
  <sheetViews>
    <sheetView topLeftCell="C1" workbookViewId="0">
      <selection activeCell="N18" sqref="N18"/>
    </sheetView>
  </sheetViews>
  <sheetFormatPr defaultColWidth="11.42578125" defaultRowHeight="14.45"/>
  <cols>
    <col min="1" max="1" width="5.28515625" customWidth="1"/>
    <col min="2" max="4" width="10.5703125" customWidth="1"/>
    <col min="5" max="5" width="11" customWidth="1"/>
    <col min="6" max="6" width="11.140625" customWidth="1"/>
    <col min="7" max="7" width="8.85546875" customWidth="1"/>
    <col min="8" max="8" width="9" customWidth="1"/>
    <col min="9" max="9" width="8.7109375" customWidth="1"/>
    <col min="10" max="10" width="9" customWidth="1"/>
    <col min="11" max="17" width="7.5703125" customWidth="1"/>
  </cols>
  <sheetData>
    <row r="1" spans="1:17" ht="35.450000000000003">
      <c r="A1" s="64">
        <v>1600</v>
      </c>
      <c r="B1" s="65" t="s">
        <v>436</v>
      </c>
      <c r="C1" s="65" t="s">
        <v>334</v>
      </c>
      <c r="D1" s="65"/>
      <c r="E1" s="26" t="s">
        <v>304</v>
      </c>
      <c r="F1" s="26" t="s">
        <v>305</v>
      </c>
      <c r="G1" s="26" t="s">
        <v>306</v>
      </c>
      <c r="H1" s="26" t="s">
        <v>307</v>
      </c>
      <c r="I1" s="26" t="s">
        <v>308</v>
      </c>
      <c r="J1" s="26" t="s">
        <v>309</v>
      </c>
      <c r="K1" s="26" t="s">
        <v>310</v>
      </c>
      <c r="L1" s="26" t="s">
        <v>311</v>
      </c>
      <c r="M1" s="26" t="s">
        <v>312</v>
      </c>
      <c r="N1" s="26" t="s">
        <v>313</v>
      </c>
      <c r="O1" s="26" t="s">
        <v>314</v>
      </c>
      <c r="P1" s="26" t="s">
        <v>315</v>
      </c>
      <c r="Q1" s="26" t="s">
        <v>316</v>
      </c>
    </row>
    <row r="2" spans="1:17" ht="26.1">
      <c r="A2" s="5"/>
      <c r="B2" s="1"/>
      <c r="C2" s="3">
        <v>1610</v>
      </c>
      <c r="D2" s="3" t="s">
        <v>437</v>
      </c>
      <c r="E2" s="6">
        <f>SUM(F2:Q2)</f>
        <v>1820700</v>
      </c>
      <c r="F2" s="6"/>
      <c r="G2" s="6">
        <v>455175</v>
      </c>
      <c r="H2" s="6">
        <v>455175</v>
      </c>
      <c r="I2" s="6">
        <v>455175</v>
      </c>
      <c r="J2" s="6">
        <v>455175</v>
      </c>
      <c r="K2" s="6"/>
      <c r="L2" s="6"/>
      <c r="M2" s="6"/>
      <c r="N2" s="6"/>
      <c r="O2" s="6"/>
      <c r="P2" s="6"/>
      <c r="Q2" s="6"/>
    </row>
    <row r="3" spans="1:17">
      <c r="A3" s="5">
        <v>1610</v>
      </c>
      <c r="B3" s="1" t="s">
        <v>256</v>
      </c>
      <c r="C3" s="3">
        <v>1610</v>
      </c>
      <c r="D3" s="3" t="s">
        <v>256</v>
      </c>
      <c r="E3" s="6">
        <f>SUM(F3:Q3)</f>
        <v>345606</v>
      </c>
      <c r="F3" s="6">
        <f>171803+173803</f>
        <v>345606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ht="24">
      <c r="A4" s="24">
        <v>1610</v>
      </c>
      <c r="B4" s="25" t="s">
        <v>68</v>
      </c>
      <c r="C4" s="86"/>
      <c r="D4" s="8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>
      <c r="A5" s="66" t="s">
        <v>304</v>
      </c>
      <c r="B5" s="66"/>
      <c r="C5" s="53" t="s">
        <v>304</v>
      </c>
      <c r="D5" s="53"/>
      <c r="E5" s="6">
        <f>SUM(F5:Q5)</f>
        <v>2166306</v>
      </c>
      <c r="F5" s="6">
        <f t="shared" ref="F5:Q5" si="0">SUM(F2:F4)</f>
        <v>345606</v>
      </c>
      <c r="G5" s="69">
        <f t="shared" si="0"/>
        <v>455175</v>
      </c>
      <c r="H5" s="69">
        <f t="shared" si="0"/>
        <v>455175</v>
      </c>
      <c r="I5" s="69">
        <f t="shared" si="0"/>
        <v>455175</v>
      </c>
      <c r="J5" s="69">
        <f t="shared" si="0"/>
        <v>455175</v>
      </c>
      <c r="K5" s="69">
        <f t="shared" si="0"/>
        <v>0</v>
      </c>
      <c r="L5" s="69">
        <f t="shared" si="0"/>
        <v>0</v>
      </c>
      <c r="M5" s="69">
        <f t="shared" si="0"/>
        <v>0</v>
      </c>
      <c r="N5" s="69">
        <f t="shared" si="0"/>
        <v>0</v>
      </c>
      <c r="O5" s="69">
        <f t="shared" si="0"/>
        <v>0</v>
      </c>
      <c r="P5" s="69">
        <f t="shared" si="0"/>
        <v>0</v>
      </c>
      <c r="Q5" s="69">
        <f t="shared" si="0"/>
        <v>0</v>
      </c>
    </row>
    <row r="6" spans="1:17">
      <c r="A6" s="66"/>
      <c r="B6" s="66"/>
      <c r="C6" s="53"/>
      <c r="D6" s="5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66"/>
      <c r="B7" s="66"/>
      <c r="C7" s="53"/>
      <c r="D7" s="5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6"/>
      <c r="B8" s="66"/>
      <c r="C8" s="53"/>
      <c r="D8" s="5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24">
      <c r="A9" s="64">
        <v>1700</v>
      </c>
      <c r="B9" s="65" t="s">
        <v>438</v>
      </c>
      <c r="C9" s="12" t="s">
        <v>439</v>
      </c>
      <c r="D9" s="12"/>
      <c r="E9" s="87" t="s">
        <v>304</v>
      </c>
      <c r="F9" s="87" t="s">
        <v>305</v>
      </c>
      <c r="G9" s="87" t="s">
        <v>306</v>
      </c>
      <c r="H9" s="87" t="s">
        <v>307</v>
      </c>
      <c r="I9" s="87" t="s">
        <v>308</v>
      </c>
      <c r="J9" s="87" t="s">
        <v>309</v>
      </c>
      <c r="K9" s="87" t="s">
        <v>310</v>
      </c>
      <c r="L9" s="87" t="s">
        <v>311</v>
      </c>
      <c r="M9" s="87" t="s">
        <v>312</v>
      </c>
      <c r="N9" s="87" t="s">
        <v>313</v>
      </c>
      <c r="O9" s="87" t="s">
        <v>314</v>
      </c>
      <c r="P9" s="87" t="s">
        <v>315</v>
      </c>
      <c r="Q9" s="87" t="s">
        <v>316</v>
      </c>
    </row>
    <row r="10" spans="1:17">
      <c r="A10" s="5">
        <v>1710</v>
      </c>
      <c r="B10" s="1" t="s">
        <v>261</v>
      </c>
      <c r="C10" s="3">
        <v>1710</v>
      </c>
      <c r="D10" s="3" t="s">
        <v>261</v>
      </c>
      <c r="E10" s="6">
        <f>SUM(F10:Q10)</f>
        <v>12233347</v>
      </c>
      <c r="F10" s="6">
        <v>1900131</v>
      </c>
      <c r="G10" s="6">
        <v>1941347</v>
      </c>
      <c r="H10" s="6">
        <v>1986384</v>
      </c>
      <c r="I10" s="6">
        <v>1798487</v>
      </c>
      <c r="J10" s="6">
        <f>2083053+2523945</f>
        <v>4606998</v>
      </c>
      <c r="K10" s="6"/>
      <c r="L10" s="6"/>
      <c r="M10" s="6"/>
      <c r="N10" s="6"/>
      <c r="O10" s="6"/>
      <c r="P10" s="6"/>
      <c r="Q10" s="6"/>
    </row>
    <row r="11" spans="1:17">
      <c r="A11" s="24"/>
      <c r="B11" s="25"/>
      <c r="C11" s="86"/>
      <c r="D11" s="86" t="s">
        <v>440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>
      <c r="A12" s="67"/>
      <c r="B12" s="68"/>
      <c r="C12" s="88" t="s">
        <v>304</v>
      </c>
      <c r="D12" s="88"/>
      <c r="E12" s="89">
        <f>SUM(F12:Q12)</f>
        <v>12233347</v>
      </c>
      <c r="F12" s="89">
        <f t="shared" ref="F12:J12" si="1">SUM(F10:F11)</f>
        <v>1900131</v>
      </c>
      <c r="G12" s="89">
        <f t="shared" si="1"/>
        <v>1941347</v>
      </c>
      <c r="H12" s="89">
        <f t="shared" si="1"/>
        <v>1986384</v>
      </c>
      <c r="I12" s="89">
        <f t="shared" si="1"/>
        <v>1798487</v>
      </c>
      <c r="J12" s="89">
        <f t="shared" si="1"/>
        <v>4606998</v>
      </c>
      <c r="K12" s="89"/>
      <c r="L12" s="89"/>
      <c r="M12" s="89"/>
      <c r="N12" s="89"/>
      <c r="O12" s="89"/>
      <c r="P12" s="89"/>
      <c r="Q12" s="89"/>
    </row>
    <row r="13" spans="1:17">
      <c r="A13" t="s">
        <v>304</v>
      </c>
      <c r="C13" s="53"/>
      <c r="D13" s="5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C14" s="53"/>
      <c r="D14" s="5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C15" s="53"/>
      <c r="D15" s="5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</sheetData>
  <pageMargins left="0.39370078740157483" right="0.39370078740157483" top="0.74803149606299213" bottom="0.74803149606299213" header="0.31496062992125984" footer="0.31496062992125984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Raul Escobar</cp:lastModifiedBy>
  <cp:revision/>
  <dcterms:created xsi:type="dcterms:W3CDTF">2020-10-30T13:16:40Z</dcterms:created>
  <dcterms:modified xsi:type="dcterms:W3CDTF">2022-03-15T17:18:01Z</dcterms:modified>
  <cp:category/>
  <cp:contentStatus/>
</cp:coreProperties>
</file>