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66925"/>
  <mc:AlternateContent xmlns:mc="http://schemas.openxmlformats.org/markup-compatibility/2006">
    <mc:Choice Requires="x15">
      <x15ac:absPath xmlns:x15ac="http://schemas.microsoft.com/office/spreadsheetml/2010/11/ac" url="C:\Macair\PM\Hartron\"/>
    </mc:Choice>
  </mc:AlternateContent>
  <xr:revisionPtr revIDLastSave="0" documentId="13_ncr:1_{D967EBA0-075B-491E-BA8F-D8F9BF6C8DA8}" xr6:coauthVersionLast="47" xr6:coauthVersionMax="47" xr10:uidLastSave="{00000000-0000-0000-0000-000000000000}"/>
  <bookViews>
    <workbookView xWindow="24" yWindow="744" windowWidth="23016" windowHeight="12216" tabRatio="830" xr2:uid="{00000000-000D-0000-FFFF-FFFF00000000}"/>
  </bookViews>
  <sheets>
    <sheet name="BISHT JI" sheetId="31" r:id="rId1"/>
    <sheet name="ULB" sheetId="30" r:id="rId2"/>
    <sheet name="GMDA VM(01)" sheetId="29" r:id="rId3"/>
    <sheet name="GMDA City Bus -2" sheetId="28" r:id="rId4"/>
    <sheet name="Revenue" sheetId="27" r:id="rId5"/>
    <sheet name="GMDA IT" sheetId="26" r:id="rId6"/>
    <sheet name="HArtron-Bisht" sheetId="21" r:id="rId7"/>
    <sheet name="GMDA GIS" sheetId="25" r:id="rId8"/>
    <sheet name="GMDA City Bus" sheetId="24" r:id="rId9"/>
    <sheet name="HSIDC" sheetId="23" r:id="rId10"/>
    <sheet name="TCP" sheetId="22" r:id="rId11"/>
    <sheet name="Hartron Orders" sheetId="20" r:id="rId12"/>
    <sheet name="Tech Edu" sheetId="18" r:id="rId13"/>
    <sheet name="Hartron-Prashant" sheetId="17" r:id="rId14"/>
    <sheet name="Dhanush" sheetId="14" r:id="rId15"/>
    <sheet name="Hartron FamilyID" sheetId="8" r:id="rId16"/>
    <sheet name="Hartron DVBHL" sheetId="7" r:id="rId17"/>
    <sheet name="Hartron Internal" sheetId="9" r:id="rId18"/>
    <sheet name="Hartron E-Office" sheetId="11" r:id="rId19"/>
    <sheet name="Hartron HSCC" sheetId="6" r:id="rId20"/>
    <sheet name="Costing" sheetId="5" r:id="rId21"/>
    <sheet name="CHI" sheetId="1" r:id="rId22"/>
    <sheet name="Sheet2" sheetId="2" r:id="rId23"/>
    <sheet name="Sheet3" sheetId="3" r:id="rId24"/>
    <sheet name="Jaipur Cost" sheetId="4" r:id="rId25"/>
    <sheet name="Railtel-Requirement" sheetId="10" r:id="rId26"/>
    <sheet name="Sheet1" sheetId="12" r:id="rId27"/>
    <sheet name="RateCard" sheetId="19" r:id="rId28"/>
    <sheet name="Railtel-SRIT" sheetId="13" r:id="rId29"/>
    <sheet name="SRIT-RAILTEL PO" sheetId="15" r:id="rId30"/>
  </sheets>
  <definedNames>
    <definedName name="page22" localSheetId="23">Sheet3!$A$309</definedName>
    <definedName name="page26" localSheetId="24">'Jaipur Cost'!$C$44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31" l="1"/>
  <c r="F35" i="31"/>
  <c r="F23" i="31"/>
  <c r="E9" i="31"/>
  <c r="F9" i="31" s="1"/>
  <c r="H35" i="9"/>
  <c r="G35" i="9"/>
  <c r="G26" i="8"/>
  <c r="E15" i="31"/>
  <c r="F15" i="31" s="1"/>
  <c r="E14" i="31"/>
  <c r="F14" i="31" s="1"/>
  <c r="E13" i="31"/>
  <c r="F13" i="31" s="1"/>
  <c r="G21" i="31"/>
  <c r="J80" i="31"/>
  <c r="K80" i="31"/>
  <c r="L80" i="31"/>
  <c r="M80" i="31"/>
  <c r="I80" i="31"/>
  <c r="E125" i="31"/>
  <c r="F125" i="31" s="1"/>
  <c r="H125" i="31" s="1"/>
  <c r="E124" i="31"/>
  <c r="F124" i="31" s="1"/>
  <c r="H124" i="31" s="1"/>
  <c r="H73" i="31"/>
  <c r="P60" i="31"/>
  <c r="P59" i="31"/>
  <c r="P58" i="31"/>
  <c r="P49" i="31"/>
  <c r="P48" i="31"/>
  <c r="P47" i="31"/>
  <c r="P46" i="31"/>
  <c r="P45" i="31"/>
  <c r="P44" i="31"/>
  <c r="P43" i="31"/>
  <c r="P42" i="31"/>
  <c r="J34" i="31"/>
  <c r="J16" i="31" s="1"/>
  <c r="E32" i="31"/>
  <c r="F32" i="31" s="1"/>
  <c r="E31" i="31"/>
  <c r="F31" i="31" s="1"/>
  <c r="E29" i="31"/>
  <c r="F29" i="31" s="1"/>
  <c r="E28" i="31"/>
  <c r="F28" i="31" s="1"/>
  <c r="E26" i="31"/>
  <c r="F26" i="31" s="1"/>
  <c r="J25" i="31"/>
  <c r="E19" i="31"/>
  <c r="F19" i="31" s="1"/>
  <c r="K18" i="31"/>
  <c r="E18" i="31"/>
  <c r="F18" i="31" s="1"/>
  <c r="K17" i="31"/>
  <c r="E17" i="31"/>
  <c r="F17" i="31" s="1"/>
  <c r="K16" i="31"/>
  <c r="E11" i="31"/>
  <c r="F11" i="31" s="1"/>
  <c r="E10" i="31"/>
  <c r="F10" i="31" s="1"/>
  <c r="E7" i="31"/>
  <c r="F7" i="31" s="1"/>
  <c r="E6" i="31"/>
  <c r="F6" i="31" s="1"/>
  <c r="E5" i="31"/>
  <c r="F5" i="31" s="1"/>
  <c r="F31" i="30"/>
  <c r="F18" i="30"/>
  <c r="E9" i="30"/>
  <c r="F9" i="30" s="1"/>
  <c r="E17" i="30"/>
  <c r="F17" i="30" s="1"/>
  <c r="E118" i="30"/>
  <c r="F118" i="30" s="1"/>
  <c r="H118" i="30" s="1"/>
  <c r="E117" i="30"/>
  <c r="F117" i="30" s="1"/>
  <c r="H117" i="30" s="1"/>
  <c r="H66" i="30"/>
  <c r="P53" i="30"/>
  <c r="P52" i="30"/>
  <c r="P51" i="30"/>
  <c r="P55" i="30" s="1"/>
  <c r="P42" i="30"/>
  <c r="P41" i="30"/>
  <c r="P40" i="30"/>
  <c r="P39" i="30"/>
  <c r="P38" i="30"/>
  <c r="P37" i="30"/>
  <c r="P36" i="30"/>
  <c r="P35" i="30"/>
  <c r="J27" i="30"/>
  <c r="J12" i="30" s="1"/>
  <c r="E25" i="30"/>
  <c r="F25" i="30" s="1"/>
  <c r="E24" i="30"/>
  <c r="F24" i="30" s="1"/>
  <c r="E23" i="30"/>
  <c r="F23" i="30" s="1"/>
  <c r="E22" i="30"/>
  <c r="F22" i="30" s="1"/>
  <c r="E21" i="30"/>
  <c r="F21" i="30" s="1"/>
  <c r="J20" i="30"/>
  <c r="E15" i="30"/>
  <c r="F15" i="30" s="1"/>
  <c r="K14" i="30"/>
  <c r="E14" i="30"/>
  <c r="F14" i="30" s="1"/>
  <c r="K13" i="30"/>
  <c r="E13" i="30"/>
  <c r="F13" i="30" s="1"/>
  <c r="K12" i="30"/>
  <c r="E11" i="30"/>
  <c r="F11" i="30" s="1"/>
  <c r="E10" i="30"/>
  <c r="F10" i="30" s="1"/>
  <c r="E7" i="30"/>
  <c r="F7" i="30" s="1"/>
  <c r="E6" i="30"/>
  <c r="F6" i="30" s="1"/>
  <c r="E5" i="30"/>
  <c r="F5" i="30" s="1"/>
  <c r="C31" i="25"/>
  <c r="C29" i="25"/>
  <c r="F26" i="25"/>
  <c r="E23" i="25"/>
  <c r="F23" i="25" s="1"/>
  <c r="E22" i="25"/>
  <c r="F22" i="25" s="1"/>
  <c r="E21" i="25"/>
  <c r="F21" i="25" s="1"/>
  <c r="E17" i="25"/>
  <c r="F17" i="25" s="1"/>
  <c r="E19" i="25"/>
  <c r="F19" i="25" s="1"/>
  <c r="E18" i="25"/>
  <c r="F18" i="25" s="1"/>
  <c r="E25" i="25"/>
  <c r="F25" i="25" s="1"/>
  <c r="E15" i="25"/>
  <c r="F15" i="25" s="1"/>
  <c r="E14" i="25"/>
  <c r="F14" i="25" s="1"/>
  <c r="E13" i="25"/>
  <c r="F13" i="25" s="1"/>
  <c r="F9" i="29"/>
  <c r="H57" i="29"/>
  <c r="P46" i="29"/>
  <c r="P44" i="29"/>
  <c r="P43" i="29"/>
  <c r="P42" i="29"/>
  <c r="P33" i="29"/>
  <c r="P32" i="29"/>
  <c r="P31" i="29"/>
  <c r="P30" i="29"/>
  <c r="P29" i="29"/>
  <c r="P28" i="29"/>
  <c r="P27" i="29"/>
  <c r="P26" i="29"/>
  <c r="J18" i="29"/>
  <c r="E16" i="29"/>
  <c r="F16" i="29" s="1"/>
  <c r="E15" i="29"/>
  <c r="F15" i="29" s="1"/>
  <c r="E14" i="29"/>
  <c r="F14" i="29" s="1"/>
  <c r="E13" i="29"/>
  <c r="F13" i="29" s="1"/>
  <c r="E12" i="29"/>
  <c r="F12" i="29" s="1"/>
  <c r="J11" i="29"/>
  <c r="E7" i="29"/>
  <c r="F7" i="29" s="1"/>
  <c r="E6" i="29"/>
  <c r="F6" i="29" s="1"/>
  <c r="E5" i="29"/>
  <c r="F5" i="29" s="1"/>
  <c r="F30" i="28"/>
  <c r="F34" i="28" s="1"/>
  <c r="F29" i="28"/>
  <c r="E25" i="28"/>
  <c r="F25" i="28" s="1"/>
  <c r="E13" i="28"/>
  <c r="F13" i="28" s="1"/>
  <c r="E5" i="28"/>
  <c r="F5" i="28" s="1"/>
  <c r="J27" i="28"/>
  <c r="J12" i="28" s="1"/>
  <c r="E24" i="28"/>
  <c r="F24" i="28" s="1"/>
  <c r="E23" i="28"/>
  <c r="F23" i="28" s="1"/>
  <c r="E22" i="28"/>
  <c r="F22" i="28" s="1"/>
  <c r="E21" i="28"/>
  <c r="F21" i="28" s="1"/>
  <c r="E20" i="28"/>
  <c r="F20" i="28" s="1"/>
  <c r="J19" i="28"/>
  <c r="E15" i="28"/>
  <c r="F15" i="28" s="1"/>
  <c r="K14" i="28"/>
  <c r="E14" i="28"/>
  <c r="F14" i="28" s="1"/>
  <c r="K13" i="28"/>
  <c r="K12" i="28"/>
  <c r="E11" i="28"/>
  <c r="F11" i="28" s="1"/>
  <c r="E10" i="28"/>
  <c r="F10" i="28" s="1"/>
  <c r="E9" i="28"/>
  <c r="F9" i="28" s="1"/>
  <c r="E7" i="28"/>
  <c r="F7" i="28" s="1"/>
  <c r="E6" i="28"/>
  <c r="F6" i="28" s="1"/>
  <c r="E20" i="27"/>
  <c r="F20" i="27" s="1"/>
  <c r="G5" i="27"/>
  <c r="E5" i="27"/>
  <c r="F5" i="27" s="1"/>
  <c r="C10" i="27"/>
  <c r="E113" i="27"/>
  <c r="F113" i="27" s="1"/>
  <c r="H113" i="27" s="1"/>
  <c r="E112" i="27"/>
  <c r="F112" i="27" s="1"/>
  <c r="H112" i="27" s="1"/>
  <c r="H62" i="27"/>
  <c r="P49" i="27"/>
  <c r="P48" i="27"/>
  <c r="P47" i="27"/>
  <c r="P38" i="27"/>
  <c r="P37" i="27"/>
  <c r="P36" i="27"/>
  <c r="P35" i="27"/>
  <c r="P34" i="27"/>
  <c r="P33" i="27"/>
  <c r="P32" i="27"/>
  <c r="P31" i="27"/>
  <c r="J23" i="27"/>
  <c r="J8" i="27" s="1"/>
  <c r="E21" i="27"/>
  <c r="F21" i="27" s="1"/>
  <c r="E19" i="27"/>
  <c r="F19" i="27" s="1"/>
  <c r="E18" i="27"/>
  <c r="F18" i="27" s="1"/>
  <c r="E17" i="27"/>
  <c r="F17" i="27" s="1"/>
  <c r="E16" i="27"/>
  <c r="F16" i="27" s="1"/>
  <c r="J15" i="27"/>
  <c r="E11" i="27"/>
  <c r="F11" i="27" s="1"/>
  <c r="K10" i="27"/>
  <c r="E10" i="27"/>
  <c r="F10" i="27" s="1"/>
  <c r="K9" i="27"/>
  <c r="E9" i="27"/>
  <c r="F9" i="27" s="1"/>
  <c r="K8" i="27"/>
  <c r="E7" i="27"/>
  <c r="F7" i="27" s="1"/>
  <c r="E6" i="27"/>
  <c r="F6" i="27" s="1"/>
  <c r="E7" i="26"/>
  <c r="F7" i="26" s="1"/>
  <c r="E6" i="26"/>
  <c r="F6" i="26" s="1"/>
  <c r="E5" i="26"/>
  <c r="F5" i="26" s="1"/>
  <c r="F4" i="26" s="1"/>
  <c r="E117" i="26"/>
  <c r="F117" i="26" s="1"/>
  <c r="H117" i="26" s="1"/>
  <c r="E116" i="26"/>
  <c r="F116" i="26" s="1"/>
  <c r="H116" i="26" s="1"/>
  <c r="H65" i="26"/>
  <c r="P52" i="26"/>
  <c r="P51" i="26"/>
  <c r="P54" i="26" s="1"/>
  <c r="P50" i="26"/>
  <c r="P41" i="26"/>
  <c r="P40" i="26"/>
  <c r="P39" i="26"/>
  <c r="P38" i="26"/>
  <c r="P37" i="26"/>
  <c r="P36" i="26"/>
  <c r="P35" i="26"/>
  <c r="P34" i="26"/>
  <c r="P43" i="26" s="1"/>
  <c r="J26" i="26"/>
  <c r="J12" i="26" s="1"/>
  <c r="E24" i="26"/>
  <c r="F24" i="26" s="1"/>
  <c r="E23" i="26"/>
  <c r="F23" i="26" s="1"/>
  <c r="E22" i="26"/>
  <c r="F22" i="26" s="1"/>
  <c r="E21" i="26"/>
  <c r="F21" i="26" s="1"/>
  <c r="E20" i="26"/>
  <c r="F20" i="26" s="1"/>
  <c r="J19" i="26"/>
  <c r="E15" i="26"/>
  <c r="F15" i="26" s="1"/>
  <c r="K14" i="26"/>
  <c r="E14" i="26"/>
  <c r="F14" i="26" s="1"/>
  <c r="K13" i="26"/>
  <c r="E13" i="26"/>
  <c r="F13" i="26" s="1"/>
  <c r="F12" i="26" s="1"/>
  <c r="K12" i="26"/>
  <c r="E11" i="26"/>
  <c r="F11" i="26" s="1"/>
  <c r="E10" i="26"/>
  <c r="F10" i="26" s="1"/>
  <c r="F9" i="26"/>
  <c r="E9" i="26"/>
  <c r="E116" i="24"/>
  <c r="F116" i="24" s="1"/>
  <c r="H116" i="24" s="1"/>
  <c r="E117" i="24"/>
  <c r="F117" i="24" s="1"/>
  <c r="H117" i="24" s="1"/>
  <c r="F27" i="24"/>
  <c r="E9" i="25"/>
  <c r="F9" i="25" s="1"/>
  <c r="E11" i="25"/>
  <c r="F11" i="25" s="1"/>
  <c r="E10" i="25"/>
  <c r="F10" i="25" s="1"/>
  <c r="E5" i="25"/>
  <c r="F5" i="25" s="1"/>
  <c r="E33" i="25"/>
  <c r="F33" i="25" s="1"/>
  <c r="E32" i="25"/>
  <c r="F32" i="25" s="1"/>
  <c r="E31" i="25"/>
  <c r="F31" i="25" s="1"/>
  <c r="E30" i="25"/>
  <c r="F30" i="25" s="1"/>
  <c r="E29" i="25"/>
  <c r="F29" i="25" s="1"/>
  <c r="E7" i="25"/>
  <c r="F7" i="25" s="1"/>
  <c r="E6" i="25"/>
  <c r="F6" i="25" s="1"/>
  <c r="E5" i="24"/>
  <c r="F5" i="24" s="1"/>
  <c r="H65" i="24"/>
  <c r="P52" i="24"/>
  <c r="P51" i="24"/>
  <c r="P50" i="24"/>
  <c r="P54" i="24" s="1"/>
  <c r="P41" i="24"/>
  <c r="P40" i="24"/>
  <c r="P39" i="24"/>
  <c r="P38" i="24"/>
  <c r="P37" i="24"/>
  <c r="P36" i="24"/>
  <c r="P35" i="24"/>
  <c r="P34" i="24"/>
  <c r="J26" i="24"/>
  <c r="J12" i="24" s="1"/>
  <c r="E24" i="24"/>
  <c r="F24" i="24" s="1"/>
  <c r="E23" i="24"/>
  <c r="F23" i="24" s="1"/>
  <c r="E22" i="24"/>
  <c r="F22" i="24" s="1"/>
  <c r="E21" i="24"/>
  <c r="F21" i="24" s="1"/>
  <c r="E20" i="24"/>
  <c r="F20" i="24" s="1"/>
  <c r="J19" i="24"/>
  <c r="E15" i="24"/>
  <c r="F15" i="24" s="1"/>
  <c r="K14" i="24"/>
  <c r="E14" i="24"/>
  <c r="F14" i="24" s="1"/>
  <c r="K13" i="24"/>
  <c r="E13" i="24"/>
  <c r="F13" i="24" s="1"/>
  <c r="K12" i="24"/>
  <c r="E11" i="24"/>
  <c r="F11" i="24" s="1"/>
  <c r="E10" i="24"/>
  <c r="F10" i="24" s="1"/>
  <c r="E9" i="24"/>
  <c r="F9" i="24" s="1"/>
  <c r="E7" i="24"/>
  <c r="F7" i="24" s="1"/>
  <c r="E6" i="24"/>
  <c r="F6" i="24" s="1"/>
  <c r="F34" i="23"/>
  <c r="F33" i="23"/>
  <c r="F31" i="23"/>
  <c r="O56" i="23"/>
  <c r="O55" i="23"/>
  <c r="O54" i="23"/>
  <c r="O45" i="23"/>
  <c r="O44" i="23"/>
  <c r="O43" i="23"/>
  <c r="O42" i="23"/>
  <c r="O41" i="23"/>
  <c r="O40" i="23"/>
  <c r="O39" i="23"/>
  <c r="O38" i="23"/>
  <c r="I30" i="23"/>
  <c r="I12" i="23" s="1"/>
  <c r="I16" i="23" s="1"/>
  <c r="E28" i="23"/>
  <c r="F28" i="23" s="1"/>
  <c r="E27" i="23"/>
  <c r="F27" i="23" s="1"/>
  <c r="E26" i="23"/>
  <c r="F26" i="23" s="1"/>
  <c r="E25" i="23"/>
  <c r="F25" i="23" s="1"/>
  <c r="F24" i="23"/>
  <c r="E24" i="23"/>
  <c r="I23" i="23"/>
  <c r="E19" i="23"/>
  <c r="F19" i="23" s="1"/>
  <c r="E18" i="23"/>
  <c r="F18" i="23" s="1"/>
  <c r="E17" i="23"/>
  <c r="F17" i="23" s="1"/>
  <c r="E15" i="23"/>
  <c r="F15" i="23" s="1"/>
  <c r="J14" i="23"/>
  <c r="E14" i="23"/>
  <c r="F14" i="23" s="1"/>
  <c r="J13" i="23"/>
  <c r="E13" i="23"/>
  <c r="F13" i="23" s="1"/>
  <c r="J12" i="23"/>
  <c r="E11" i="23"/>
  <c r="F11" i="23" s="1"/>
  <c r="E10" i="23"/>
  <c r="F10" i="23" s="1"/>
  <c r="E9" i="23"/>
  <c r="F9" i="23" s="1"/>
  <c r="E7" i="23"/>
  <c r="F7" i="23" s="1"/>
  <c r="E6" i="23"/>
  <c r="F6" i="23" s="1"/>
  <c r="E5" i="23"/>
  <c r="F5" i="23" s="1"/>
  <c r="O60" i="22"/>
  <c r="O57" i="22"/>
  <c r="O58" i="22"/>
  <c r="O56" i="22"/>
  <c r="O41" i="22"/>
  <c r="O42" i="22"/>
  <c r="O43" i="22"/>
  <c r="O44" i="22"/>
  <c r="O45" i="22"/>
  <c r="O46" i="22"/>
  <c r="O47" i="22"/>
  <c r="O49" i="22" s="1"/>
  <c r="O40" i="22"/>
  <c r="E26" i="22"/>
  <c r="F26" i="22" s="1"/>
  <c r="I32" i="22"/>
  <c r="E30" i="22"/>
  <c r="F30" i="22" s="1"/>
  <c r="E29" i="22"/>
  <c r="F29" i="22" s="1"/>
  <c r="E28" i="22"/>
  <c r="F28" i="22" s="1"/>
  <c r="E27" i="22"/>
  <c r="F27" i="22" s="1"/>
  <c r="E25" i="22"/>
  <c r="F25" i="22" s="1"/>
  <c r="E24" i="22"/>
  <c r="F24" i="22" s="1"/>
  <c r="I23" i="22"/>
  <c r="E19" i="22"/>
  <c r="F19" i="22" s="1"/>
  <c r="E18" i="22"/>
  <c r="F18" i="22" s="1"/>
  <c r="E17" i="22"/>
  <c r="F17" i="22" s="1"/>
  <c r="E15" i="22"/>
  <c r="F15" i="22" s="1"/>
  <c r="J14" i="22"/>
  <c r="E14" i="22"/>
  <c r="F14" i="22" s="1"/>
  <c r="J13" i="22"/>
  <c r="E13" i="22"/>
  <c r="F13" i="22" s="1"/>
  <c r="F12" i="22" s="1"/>
  <c r="J12" i="22"/>
  <c r="I12" i="22"/>
  <c r="I16" i="22" s="1"/>
  <c r="E11" i="22"/>
  <c r="F11" i="22" s="1"/>
  <c r="E10" i="22"/>
  <c r="F10" i="22" s="1"/>
  <c r="E9" i="22"/>
  <c r="F9" i="22" s="1"/>
  <c r="E7" i="22"/>
  <c r="F7" i="22" s="1"/>
  <c r="E6" i="22"/>
  <c r="F6" i="22" s="1"/>
  <c r="E5" i="22"/>
  <c r="F5" i="22" s="1"/>
  <c r="F38" i="21"/>
  <c r="F36" i="21"/>
  <c r="F26" i="21"/>
  <c r="E26" i="21"/>
  <c r="E9" i="21"/>
  <c r="F9" i="21" s="1"/>
  <c r="I31" i="21"/>
  <c r="I12" i="21" s="1"/>
  <c r="I16" i="21" s="1"/>
  <c r="E29" i="21"/>
  <c r="F29" i="21" s="1"/>
  <c r="E28" i="21"/>
  <c r="F28" i="21" s="1"/>
  <c r="E27" i="21"/>
  <c r="F27" i="21" s="1"/>
  <c r="I23" i="21"/>
  <c r="E19" i="21"/>
  <c r="F19" i="21" s="1"/>
  <c r="E18" i="21"/>
  <c r="F18" i="21" s="1"/>
  <c r="E17" i="21"/>
  <c r="F17" i="21" s="1"/>
  <c r="E15" i="21"/>
  <c r="F15" i="21" s="1"/>
  <c r="J14" i="21"/>
  <c r="E14" i="21"/>
  <c r="F14" i="21" s="1"/>
  <c r="J13" i="21"/>
  <c r="E13" i="21"/>
  <c r="F13" i="21" s="1"/>
  <c r="J12" i="21"/>
  <c r="E11" i="21"/>
  <c r="F11" i="21" s="1"/>
  <c r="E10" i="21"/>
  <c r="F10" i="21" s="1"/>
  <c r="E7" i="21"/>
  <c r="F7" i="21" s="1"/>
  <c r="E6" i="21"/>
  <c r="F6" i="21" s="1"/>
  <c r="E5" i="21"/>
  <c r="F5" i="21" s="1"/>
  <c r="F23" i="19"/>
  <c r="F24" i="19"/>
  <c r="F25" i="19"/>
  <c r="F26" i="19"/>
  <c r="F27" i="19"/>
  <c r="F28" i="19"/>
  <c r="F29" i="19"/>
  <c r="F22" i="19"/>
  <c r="F9" i="19"/>
  <c r="F8" i="19"/>
  <c r="F7" i="19"/>
  <c r="F4" i="19"/>
  <c r="F5" i="19"/>
  <c r="F6" i="19"/>
  <c r="F3" i="19"/>
  <c r="F12" i="31" l="1"/>
  <c r="N80" i="31"/>
  <c r="F4" i="31"/>
  <c r="P62" i="31"/>
  <c r="P51" i="31"/>
  <c r="F16" i="31"/>
  <c r="F8" i="31"/>
  <c r="P44" i="30"/>
  <c r="F28" i="30"/>
  <c r="F4" i="30"/>
  <c r="F12" i="30"/>
  <c r="F8" i="30"/>
  <c r="F20" i="25"/>
  <c r="F16" i="25"/>
  <c r="F12" i="25"/>
  <c r="P35" i="29"/>
  <c r="F4" i="29"/>
  <c r="F19" i="29"/>
  <c r="F12" i="28"/>
  <c r="F8" i="28"/>
  <c r="F4" i="28"/>
  <c r="F24" i="27"/>
  <c r="P40" i="27"/>
  <c r="P51" i="27"/>
  <c r="F4" i="27"/>
  <c r="F8" i="27"/>
  <c r="F13" i="27" s="1"/>
  <c r="F27" i="26"/>
  <c r="F8" i="26"/>
  <c r="F17" i="26" s="1"/>
  <c r="F8" i="25"/>
  <c r="F4" i="25"/>
  <c r="F36" i="25"/>
  <c r="F4" i="24"/>
  <c r="P43" i="24"/>
  <c r="F8" i="24"/>
  <c r="F12" i="24"/>
  <c r="F17" i="24" s="1"/>
  <c r="F28" i="24" s="1"/>
  <c r="F12" i="23"/>
  <c r="O58" i="23"/>
  <c r="F8" i="23"/>
  <c r="F16" i="23"/>
  <c r="F21" i="23" s="1"/>
  <c r="O47" i="23"/>
  <c r="F4" i="23"/>
  <c r="J16" i="23"/>
  <c r="J16" i="22"/>
  <c r="F16" i="22"/>
  <c r="F4" i="22"/>
  <c r="F33" i="22"/>
  <c r="F8" i="22"/>
  <c r="J16" i="21"/>
  <c r="F16" i="21"/>
  <c r="F8" i="21"/>
  <c r="F4" i="21"/>
  <c r="E24" i="21"/>
  <c r="F24" i="21" s="1"/>
  <c r="F12" i="21"/>
  <c r="E25" i="21"/>
  <c r="F25" i="21" s="1"/>
  <c r="G55" i="18"/>
  <c r="H55" i="18" s="1"/>
  <c r="I55" i="18" s="1"/>
  <c r="M56" i="18"/>
  <c r="H59" i="18"/>
  <c r="I59" i="18" s="1"/>
  <c r="G56" i="18"/>
  <c r="H56" i="18" s="1"/>
  <c r="I56" i="18" s="1"/>
  <c r="G29" i="18"/>
  <c r="F36" i="31" l="1"/>
  <c r="F38" i="31" s="1"/>
  <c r="F29" i="30"/>
  <c r="F34" i="30" s="1"/>
  <c r="F20" i="29"/>
  <c r="F22" i="29" s="1"/>
  <c r="F25" i="29" s="1"/>
  <c r="F30" i="24"/>
  <c r="F17" i="28"/>
  <c r="F25" i="27"/>
  <c r="F28" i="26"/>
  <c r="F30" i="26" s="1"/>
  <c r="F33" i="26" s="1"/>
  <c r="F32" i="23"/>
  <c r="F37" i="23"/>
  <c r="F21" i="22"/>
  <c r="F34" i="22" s="1"/>
  <c r="F35" i="22" s="1"/>
  <c r="F36" i="22" s="1"/>
  <c r="F39" i="22" s="1"/>
  <c r="F21" i="21"/>
  <c r="F32" i="21"/>
  <c r="H58" i="18"/>
  <c r="I58" i="18" s="1"/>
  <c r="F37" i="18"/>
  <c r="F38" i="18" s="1"/>
  <c r="H38" i="18" s="1"/>
  <c r="I38" i="18" s="1"/>
  <c r="F35" i="18"/>
  <c r="F36" i="18" s="1"/>
  <c r="H36" i="18" s="1"/>
  <c r="I36" i="18" s="1"/>
  <c r="H29" i="18"/>
  <c r="I29" i="18" s="1"/>
  <c r="G30" i="18"/>
  <c r="H30" i="18" s="1"/>
  <c r="I30" i="18" s="1"/>
  <c r="C15" i="18"/>
  <c r="E15" i="18" s="1"/>
  <c r="F15" i="18" s="1"/>
  <c r="E19" i="18"/>
  <c r="F19" i="18" s="1"/>
  <c r="E18" i="18"/>
  <c r="F18" i="18" s="1"/>
  <c r="E17" i="18"/>
  <c r="F17" i="18" s="1"/>
  <c r="E11" i="18"/>
  <c r="F11" i="18" s="1"/>
  <c r="E10" i="18"/>
  <c r="F10" i="18" s="1"/>
  <c r="E9" i="18"/>
  <c r="F9" i="18" s="1"/>
  <c r="E8" i="18"/>
  <c r="F8" i="18" s="1"/>
  <c r="E6" i="18"/>
  <c r="F6" i="18" s="1"/>
  <c r="E5" i="18"/>
  <c r="F5" i="18" s="1"/>
  <c r="E4" i="18"/>
  <c r="F4" i="18" s="1"/>
  <c r="J13" i="17"/>
  <c r="I30" i="17"/>
  <c r="E28" i="17"/>
  <c r="F28" i="17" s="1"/>
  <c r="E27" i="17"/>
  <c r="F27" i="17" s="1"/>
  <c r="C24" i="17"/>
  <c r="E24" i="17" s="1"/>
  <c r="F24" i="17" s="1"/>
  <c r="I23" i="17"/>
  <c r="E20" i="17"/>
  <c r="F20" i="17" s="1"/>
  <c r="E19" i="17"/>
  <c r="F19" i="17" s="1"/>
  <c r="E18" i="17"/>
  <c r="F18" i="17" s="1"/>
  <c r="E17" i="17"/>
  <c r="F17" i="17" s="1"/>
  <c r="E15" i="17"/>
  <c r="F15" i="17" s="1"/>
  <c r="J14" i="17"/>
  <c r="E14" i="17"/>
  <c r="F14" i="17" s="1"/>
  <c r="E13" i="17"/>
  <c r="F13" i="17" s="1"/>
  <c r="I12" i="17"/>
  <c r="I16" i="17" s="1"/>
  <c r="E11" i="17"/>
  <c r="F11" i="17" s="1"/>
  <c r="E10" i="17"/>
  <c r="F10" i="17" s="1"/>
  <c r="E9" i="17"/>
  <c r="F9" i="17" s="1"/>
  <c r="E7" i="17"/>
  <c r="F7" i="17" s="1"/>
  <c r="E6" i="17"/>
  <c r="F6" i="17" s="1"/>
  <c r="E5" i="17"/>
  <c r="F5" i="17" s="1"/>
  <c r="F26" i="27" l="1"/>
  <c r="F27" i="27" s="1"/>
  <c r="F37" i="25"/>
  <c r="F39" i="25" s="1"/>
  <c r="F42" i="25" s="1"/>
  <c r="F33" i="24"/>
  <c r="F33" i="21"/>
  <c r="F16" i="17"/>
  <c r="I32" i="18"/>
  <c r="H37" i="18"/>
  <c r="I37" i="18" s="1"/>
  <c r="H35" i="18"/>
  <c r="I35" i="18" s="1"/>
  <c r="I40" i="18" s="1"/>
  <c r="F3" i="18"/>
  <c r="C16" i="18"/>
  <c r="E16" i="18" s="1"/>
  <c r="F16" i="18" s="1"/>
  <c r="F21" i="18" s="1"/>
  <c r="F7" i="18"/>
  <c r="F12" i="17"/>
  <c r="C25" i="17"/>
  <c r="C26" i="17" s="1"/>
  <c r="E26" i="17" s="1"/>
  <c r="F26" i="17" s="1"/>
  <c r="F4" i="17"/>
  <c r="F8" i="17"/>
  <c r="E25" i="17"/>
  <c r="F25" i="17" s="1"/>
  <c r="F31" i="17" s="1"/>
  <c r="H13" i="15"/>
  <c r="H12" i="15"/>
  <c r="H11" i="15"/>
  <c r="H10" i="15"/>
  <c r="H9" i="15"/>
  <c r="H8" i="15"/>
  <c r="I15" i="15"/>
  <c r="J15" i="15"/>
  <c r="G15" i="15"/>
  <c r="F34" i="21" l="1"/>
  <c r="F35" i="21" s="1"/>
  <c r="H14" i="15"/>
  <c r="I41" i="18"/>
  <c r="F12" i="18"/>
  <c r="F22" i="18" s="1"/>
  <c r="F21" i="17"/>
  <c r="F32" i="17" s="1"/>
  <c r="M35" i="13"/>
  <c r="R25" i="13" s="1"/>
  <c r="R26" i="13"/>
  <c r="S25" i="13" l="1"/>
  <c r="I42" i="18"/>
  <c r="I43" i="18"/>
  <c r="I47" i="18" s="1"/>
  <c r="F23" i="18"/>
  <c r="F24" i="18" s="1"/>
  <c r="J12" i="17"/>
  <c r="J16" i="17" s="1"/>
  <c r="F33" i="17"/>
  <c r="F34" i="17" s="1"/>
  <c r="P34" i="13"/>
  <c r="I48" i="18" l="1"/>
  <c r="I50" i="18" s="1"/>
  <c r="O24" i="13"/>
  <c r="O25" i="13"/>
  <c r="P25" i="13" s="1"/>
  <c r="P18" i="13"/>
  <c r="R18" i="13" s="1"/>
  <c r="P19" i="13"/>
  <c r="Q19" i="13" s="1"/>
  <c r="P20" i="13"/>
  <c r="Q20" i="13" s="1"/>
  <c r="P21" i="13"/>
  <c r="Q21" i="13" s="1"/>
  <c r="P17" i="13"/>
  <c r="R17" i="13" s="1"/>
  <c r="M21" i="13"/>
  <c r="M22" i="13"/>
  <c r="M23" i="13"/>
  <c r="M24" i="13"/>
  <c r="M25" i="13"/>
  <c r="M26" i="13"/>
  <c r="M27" i="13"/>
  <c r="M28" i="13"/>
  <c r="M29" i="13"/>
  <c r="M19" i="13"/>
  <c r="H20" i="13"/>
  <c r="M20" i="13" s="1"/>
  <c r="J29" i="13"/>
  <c r="K29" i="13" s="1"/>
  <c r="L29" i="13" s="1"/>
  <c r="J22" i="13"/>
  <c r="K22" i="13" s="1"/>
  <c r="L22" i="13" s="1"/>
  <c r="J23" i="13"/>
  <c r="K23" i="13" s="1"/>
  <c r="L23" i="13" s="1"/>
  <c r="J26" i="13"/>
  <c r="K26" i="13" s="1"/>
  <c r="L26" i="13" s="1"/>
  <c r="J19" i="13"/>
  <c r="K19" i="13" s="1"/>
  <c r="L19" i="13" s="1"/>
  <c r="H49" i="9"/>
  <c r="H50" i="9" s="1"/>
  <c r="H51" i="9" s="1"/>
  <c r="I58" i="9"/>
  <c r="I56" i="9"/>
  <c r="Q18" i="13" l="1"/>
  <c r="R21" i="13"/>
  <c r="R19" i="13"/>
  <c r="R20" i="13"/>
  <c r="Q17" i="13"/>
  <c r="I31" i="13"/>
  <c r="I33" i="13" s="1"/>
  <c r="J20" i="13"/>
  <c r="K20" i="13" s="1"/>
  <c r="L20" i="13" s="1"/>
  <c r="L32" i="13" s="1"/>
  <c r="O32" i="13" s="1"/>
  <c r="P32" i="13" s="1"/>
  <c r="O26" i="13"/>
  <c r="P26" i="13" s="1"/>
  <c r="D4" i="14"/>
  <c r="D8" i="14" s="1"/>
  <c r="E8" i="14" s="1"/>
  <c r="F8" i="14" s="1"/>
  <c r="E4" i="14"/>
  <c r="F4" i="14" s="1"/>
  <c r="D5" i="14"/>
  <c r="E5" i="14" s="1"/>
  <c r="F5" i="14" s="1"/>
  <c r="D6" i="14"/>
  <c r="E6" i="14" s="1"/>
  <c r="F6" i="14" s="1"/>
  <c r="B8" i="14"/>
  <c r="B12" i="14" s="1"/>
  <c r="B16" i="14" s="1"/>
  <c r="B20" i="14" s="1"/>
  <c r="B24" i="14" s="1"/>
  <c r="B28" i="14" s="1"/>
  <c r="B32" i="14" s="1"/>
  <c r="B36" i="14" s="1"/>
  <c r="B40" i="14" s="1"/>
  <c r="D9" i="14"/>
  <c r="D13" i="14" s="1"/>
  <c r="D10" i="14"/>
  <c r="E10" i="14" s="1"/>
  <c r="F10" i="14" s="1"/>
  <c r="D14" i="14"/>
  <c r="E14" i="14" s="1"/>
  <c r="F14" i="14" s="1"/>
  <c r="D18" i="14"/>
  <c r="E18" i="14" s="1"/>
  <c r="F18" i="14" s="1"/>
  <c r="D22" i="14"/>
  <c r="E22" i="14" s="1"/>
  <c r="F22" i="14" s="1"/>
  <c r="D26" i="14"/>
  <c r="E26" i="14" s="1"/>
  <c r="F26" i="14" s="1"/>
  <c r="D30" i="14"/>
  <c r="E30" i="14" s="1"/>
  <c r="F30" i="14" s="1"/>
  <c r="D34" i="14"/>
  <c r="E34" i="14" s="1"/>
  <c r="F34" i="14" s="1"/>
  <c r="D38" i="14"/>
  <c r="E38" i="14" s="1"/>
  <c r="F38" i="14" s="1"/>
  <c r="D42" i="14"/>
  <c r="E42" i="14" s="1"/>
  <c r="F42" i="14" s="1"/>
  <c r="D43" i="14"/>
  <c r="E43" i="14"/>
  <c r="F43" i="14" s="1"/>
  <c r="C44" i="14"/>
  <c r="D44" i="14"/>
  <c r="C45" i="14"/>
  <c r="E45" i="14" s="1"/>
  <c r="F45" i="14" s="1"/>
  <c r="F49" i="14"/>
  <c r="I53" i="14"/>
  <c r="E9" i="14" l="1"/>
  <c r="F9" i="14" s="1"/>
  <c r="E44" i="14"/>
  <c r="F44" i="14" s="1"/>
  <c r="D17" i="14"/>
  <c r="E13" i="14"/>
  <c r="F13" i="14" s="1"/>
  <c r="D12" i="14"/>
  <c r="E17" i="14" l="1"/>
  <c r="F17" i="14" s="1"/>
  <c r="D21" i="14"/>
  <c r="E12" i="14"/>
  <c r="F12" i="14" s="1"/>
  <c r="D16" i="14"/>
  <c r="G8" i="13"/>
  <c r="G9" i="13"/>
  <c r="E16" i="14" l="1"/>
  <c r="F16" i="14" s="1"/>
  <c r="D20" i="14"/>
  <c r="D25" i="14"/>
  <c r="E21" i="14"/>
  <c r="F21" i="14" s="1"/>
  <c r="N18" i="12"/>
  <c r="N19" i="12" s="1"/>
  <c r="L15" i="12"/>
  <c r="O18" i="12" l="1"/>
  <c r="E25" i="14"/>
  <c r="F25" i="14" s="1"/>
  <c r="D29" i="14"/>
  <c r="E20" i="14"/>
  <c r="F20" i="14" s="1"/>
  <c r="D24" i="14"/>
  <c r="I27" i="12"/>
  <c r="I28" i="12" s="1"/>
  <c r="I118" i="11"/>
  <c r="J101" i="11" s="1"/>
  <c r="J102" i="11" s="1"/>
  <c r="I29" i="12" l="1"/>
  <c r="I30" i="12"/>
  <c r="I34" i="12" s="1"/>
  <c r="J103" i="11"/>
  <c r="J105" i="11" s="1"/>
  <c r="J106" i="11" s="1"/>
  <c r="E24" i="14"/>
  <c r="F24" i="14" s="1"/>
  <c r="D28" i="14"/>
  <c r="D33" i="14"/>
  <c r="E29" i="14"/>
  <c r="F29" i="14" s="1"/>
  <c r="D9" i="11"/>
  <c r="E9" i="11" s="1"/>
  <c r="F9" i="11" s="1"/>
  <c r="D5" i="11"/>
  <c r="B5" i="11"/>
  <c r="B9" i="11" s="1"/>
  <c r="E109" i="11"/>
  <c r="F109" i="11" s="1"/>
  <c r="C107" i="11"/>
  <c r="E107" i="11" s="1"/>
  <c r="F107" i="11" s="1"/>
  <c r="C105" i="11"/>
  <c r="E105" i="11" s="1"/>
  <c r="F105" i="11" s="1"/>
  <c r="E101" i="11"/>
  <c r="F101" i="11" s="1"/>
  <c r="E100" i="11"/>
  <c r="F100" i="11" s="1"/>
  <c r="E99" i="11"/>
  <c r="F99" i="11" s="1"/>
  <c r="E98" i="11"/>
  <c r="F98" i="11" s="1"/>
  <c r="E96" i="11"/>
  <c r="F96" i="11" s="1"/>
  <c r="E95" i="11"/>
  <c r="F95" i="11" s="1"/>
  <c r="E94" i="11"/>
  <c r="F94" i="11" s="1"/>
  <c r="E92" i="11"/>
  <c r="F92" i="11" s="1"/>
  <c r="E91" i="11"/>
  <c r="F91" i="11" s="1"/>
  <c r="E90" i="11"/>
  <c r="F90" i="11" s="1"/>
  <c r="E88" i="11"/>
  <c r="F88" i="11" s="1"/>
  <c r="E87" i="11"/>
  <c r="F87" i="11" s="1"/>
  <c r="E86" i="11"/>
  <c r="F86" i="11" s="1"/>
  <c r="E84" i="11"/>
  <c r="F84" i="11" s="1"/>
  <c r="E83" i="11"/>
  <c r="F83" i="11" s="1"/>
  <c r="E82" i="11"/>
  <c r="F82" i="11" s="1"/>
  <c r="E72" i="11"/>
  <c r="F72" i="11" s="1"/>
  <c r="E71" i="11"/>
  <c r="F71" i="11" s="1"/>
  <c r="E70" i="11"/>
  <c r="F70" i="11" s="1"/>
  <c r="C68" i="11"/>
  <c r="C69" i="11" s="1"/>
  <c r="E69" i="11" s="1"/>
  <c r="F69" i="11" s="1"/>
  <c r="E64" i="11"/>
  <c r="F64" i="11" s="1"/>
  <c r="E63" i="11"/>
  <c r="F63" i="11" s="1"/>
  <c r="E62" i="11"/>
  <c r="F62" i="11" s="1"/>
  <c r="E61" i="11"/>
  <c r="F61" i="11" s="1"/>
  <c r="E59" i="11"/>
  <c r="F59" i="11" s="1"/>
  <c r="E58" i="11"/>
  <c r="F58" i="11" s="1"/>
  <c r="E57" i="11"/>
  <c r="F57" i="11" s="1"/>
  <c r="E55" i="11"/>
  <c r="F55" i="11" s="1"/>
  <c r="E54" i="11"/>
  <c r="F54" i="11" s="1"/>
  <c r="E53" i="11"/>
  <c r="F53" i="11" s="1"/>
  <c r="E51" i="11"/>
  <c r="F51" i="11" s="1"/>
  <c r="E50" i="11"/>
  <c r="F50" i="11" s="1"/>
  <c r="E49" i="11"/>
  <c r="F49" i="11" s="1"/>
  <c r="I40" i="11"/>
  <c r="F40" i="11"/>
  <c r="F39" i="11"/>
  <c r="F38" i="11"/>
  <c r="I30" i="11"/>
  <c r="I12" i="11" s="1"/>
  <c r="I16" i="11" s="1"/>
  <c r="E28" i="11"/>
  <c r="F28" i="11" s="1"/>
  <c r="E27" i="11"/>
  <c r="F27" i="11" s="1"/>
  <c r="C24" i="11"/>
  <c r="C25" i="11" s="1"/>
  <c r="E25" i="11" s="1"/>
  <c r="F25" i="11" s="1"/>
  <c r="I23" i="11"/>
  <c r="E20" i="11"/>
  <c r="F20" i="11" s="1"/>
  <c r="E19" i="11"/>
  <c r="F19" i="11" s="1"/>
  <c r="E18" i="11"/>
  <c r="F18" i="11" s="1"/>
  <c r="E17" i="11"/>
  <c r="F17" i="11" s="1"/>
  <c r="E15" i="11"/>
  <c r="F15" i="11" s="1"/>
  <c r="E14" i="11"/>
  <c r="F14" i="11" s="1"/>
  <c r="E13" i="11"/>
  <c r="F13" i="11" s="1"/>
  <c r="E11" i="11"/>
  <c r="F11" i="11" s="1"/>
  <c r="E10" i="11"/>
  <c r="F10" i="11" s="1"/>
  <c r="E7" i="11"/>
  <c r="F7" i="11" s="1"/>
  <c r="E6" i="11"/>
  <c r="F6" i="11" s="1"/>
  <c r="E5" i="11"/>
  <c r="F5" i="11" s="1"/>
  <c r="E68" i="11" l="1"/>
  <c r="F68" i="11" s="1"/>
  <c r="F97" i="11"/>
  <c r="F41" i="11"/>
  <c r="I39" i="11" s="1"/>
  <c r="F89" i="11"/>
  <c r="F93" i="11"/>
  <c r="F16" i="11"/>
  <c r="F12" i="11"/>
  <c r="F60" i="11"/>
  <c r="F56" i="11"/>
  <c r="I38" i="12"/>
  <c r="I40" i="12" s="1"/>
  <c r="I36" i="12"/>
  <c r="J34" i="12"/>
  <c r="K34" i="12" s="1"/>
  <c r="E28" i="14"/>
  <c r="F28" i="14" s="1"/>
  <c r="D32" i="14"/>
  <c r="E33" i="14"/>
  <c r="F33" i="14" s="1"/>
  <c r="D37" i="14"/>
  <c r="F85" i="11"/>
  <c r="F8" i="11"/>
  <c r="E24" i="11"/>
  <c r="F24" i="11" s="1"/>
  <c r="F48" i="11"/>
  <c r="F4" i="11"/>
  <c r="F52" i="11"/>
  <c r="F81" i="11"/>
  <c r="F74" i="11"/>
  <c r="C26" i="11"/>
  <c r="E26" i="11" s="1"/>
  <c r="F26" i="11" s="1"/>
  <c r="C106" i="11"/>
  <c r="C107" i="6"/>
  <c r="E107" i="6" s="1"/>
  <c r="F107" i="6" s="1"/>
  <c r="C105" i="6"/>
  <c r="C106" i="6" s="1"/>
  <c r="E106" i="6" s="1"/>
  <c r="F106" i="6" s="1"/>
  <c r="E88" i="6"/>
  <c r="F88" i="6" s="1"/>
  <c r="E87" i="6"/>
  <c r="F87" i="6" s="1"/>
  <c r="E86" i="6"/>
  <c r="F86" i="6" s="1"/>
  <c r="E109" i="6"/>
  <c r="F109" i="6" s="1"/>
  <c r="E101" i="6"/>
  <c r="F101" i="6" s="1"/>
  <c r="E100" i="6"/>
  <c r="F100" i="6" s="1"/>
  <c r="E99" i="6"/>
  <c r="F99" i="6" s="1"/>
  <c r="E98" i="6"/>
  <c r="F98" i="6" s="1"/>
  <c r="E96" i="6"/>
  <c r="F96" i="6" s="1"/>
  <c r="E95" i="6"/>
  <c r="F95" i="6" s="1"/>
  <c r="E94" i="6"/>
  <c r="F94" i="6" s="1"/>
  <c r="E92" i="6"/>
  <c r="F92" i="6" s="1"/>
  <c r="E91" i="6"/>
  <c r="F91" i="6" s="1"/>
  <c r="E90" i="6"/>
  <c r="F90" i="6" s="1"/>
  <c r="E84" i="6"/>
  <c r="F84" i="6" s="1"/>
  <c r="E83" i="6"/>
  <c r="F83" i="6" s="1"/>
  <c r="E82" i="6"/>
  <c r="F82" i="6" s="1"/>
  <c r="G31" i="4"/>
  <c r="G32" i="4"/>
  <c r="F89" i="6" l="1"/>
  <c r="F65" i="11"/>
  <c r="C108" i="6"/>
  <c r="E108" i="6" s="1"/>
  <c r="F108" i="6" s="1"/>
  <c r="G33" i="4"/>
  <c r="F102" i="11"/>
  <c r="E32" i="14"/>
  <c r="F32" i="14" s="1"/>
  <c r="D36" i="14"/>
  <c r="D41" i="14"/>
  <c r="E41" i="14" s="1"/>
  <c r="F41" i="14" s="1"/>
  <c r="E37" i="14"/>
  <c r="F37" i="14" s="1"/>
  <c r="F31" i="11"/>
  <c r="F21" i="11"/>
  <c r="C108" i="11"/>
  <c r="E108" i="11" s="1"/>
  <c r="F108" i="11" s="1"/>
  <c r="E106" i="11"/>
  <c r="F106" i="11" s="1"/>
  <c r="F75" i="11"/>
  <c r="F85" i="6"/>
  <c r="F97" i="6"/>
  <c r="F93" i="6"/>
  <c r="F81" i="6"/>
  <c r="E105" i="6"/>
  <c r="F105" i="6" s="1"/>
  <c r="F111" i="6" s="1"/>
  <c r="G34" i="4"/>
  <c r="F102" i="6" l="1"/>
  <c r="F32" i="11"/>
  <c r="F33" i="11" s="1"/>
  <c r="F34" i="11" s="1"/>
  <c r="E36" i="14"/>
  <c r="F36" i="14" s="1"/>
  <c r="D40" i="14"/>
  <c r="E40" i="14" s="1"/>
  <c r="F40" i="14" s="1"/>
  <c r="D38" i="11"/>
  <c r="C38" i="11"/>
  <c r="C41" i="11" s="1"/>
  <c r="F111" i="11"/>
  <c r="F112" i="11" s="1"/>
  <c r="F76" i="11"/>
  <c r="F77" i="11" s="1"/>
  <c r="E38" i="11" s="1"/>
  <c r="F112" i="6"/>
  <c r="F113" i="6" s="1"/>
  <c r="F114" i="6" s="1"/>
  <c r="I40" i="6"/>
  <c r="F40" i="6"/>
  <c r="F39" i="6"/>
  <c r="F38" i="6"/>
  <c r="E72" i="6"/>
  <c r="F72" i="6" s="1"/>
  <c r="E71" i="6"/>
  <c r="F71" i="6" s="1"/>
  <c r="E70" i="6"/>
  <c r="F70" i="6" s="1"/>
  <c r="C68" i="6"/>
  <c r="C69" i="6" s="1"/>
  <c r="E69" i="6" s="1"/>
  <c r="F69" i="6" s="1"/>
  <c r="E64" i="6"/>
  <c r="F64" i="6" s="1"/>
  <c r="E63" i="6"/>
  <c r="F63" i="6" s="1"/>
  <c r="E62" i="6"/>
  <c r="F62" i="6" s="1"/>
  <c r="E61" i="6"/>
  <c r="F61" i="6" s="1"/>
  <c r="E59" i="6"/>
  <c r="F59" i="6" s="1"/>
  <c r="E58" i="6"/>
  <c r="F58" i="6" s="1"/>
  <c r="E57" i="6"/>
  <c r="F57" i="6" s="1"/>
  <c r="E55" i="6"/>
  <c r="F55" i="6" s="1"/>
  <c r="E54" i="6"/>
  <c r="F54" i="6" s="1"/>
  <c r="E53" i="6"/>
  <c r="F53" i="6" s="1"/>
  <c r="E51" i="6"/>
  <c r="F51" i="6" s="1"/>
  <c r="E50" i="6"/>
  <c r="F50" i="6" s="1"/>
  <c r="E49" i="6"/>
  <c r="F49" i="6" s="1"/>
  <c r="E51" i="9"/>
  <c r="F51" i="9" s="1"/>
  <c r="E50" i="9"/>
  <c r="F50" i="9" s="1"/>
  <c r="E49" i="9"/>
  <c r="F49" i="9" s="1"/>
  <c r="C47" i="9"/>
  <c r="C48" i="9" s="1"/>
  <c r="E48" i="9" s="1"/>
  <c r="F48" i="9" s="1"/>
  <c r="E43" i="9"/>
  <c r="F43" i="9" s="1"/>
  <c r="E42" i="9"/>
  <c r="F42" i="9" s="1"/>
  <c r="E41" i="9"/>
  <c r="F41" i="9" s="1"/>
  <c r="E40" i="9"/>
  <c r="F40" i="9" s="1"/>
  <c r="F39" i="9" s="1"/>
  <c r="E38" i="9"/>
  <c r="F38" i="9" s="1"/>
  <c r="E37" i="9"/>
  <c r="F37" i="9" s="1"/>
  <c r="E36" i="9"/>
  <c r="F36" i="9" s="1"/>
  <c r="E34" i="9"/>
  <c r="F34" i="9" s="1"/>
  <c r="E33" i="9"/>
  <c r="F33" i="9" s="1"/>
  <c r="F32" i="9"/>
  <c r="E32" i="9"/>
  <c r="E37" i="8"/>
  <c r="E36" i="8"/>
  <c r="F36" i="8" s="1"/>
  <c r="E35" i="8"/>
  <c r="F35" i="8" s="1"/>
  <c r="C33" i="8"/>
  <c r="E33" i="8" s="1"/>
  <c r="F33" i="8" s="1"/>
  <c r="E29" i="8"/>
  <c r="F29" i="8" s="1"/>
  <c r="E28" i="8"/>
  <c r="F28" i="8" s="1"/>
  <c r="E27" i="8"/>
  <c r="F27" i="8" s="1"/>
  <c r="F46" i="14" l="1"/>
  <c r="F50" i="14" s="1"/>
  <c r="F51" i="14" s="1"/>
  <c r="F35" i="9"/>
  <c r="F31" i="9"/>
  <c r="C34" i="8"/>
  <c r="E34" i="8" s="1"/>
  <c r="F34" i="8" s="1"/>
  <c r="F38" i="8" s="1"/>
  <c r="F113" i="11"/>
  <c r="F114" i="11" s="1"/>
  <c r="J12" i="11"/>
  <c r="C42" i="11"/>
  <c r="C43" i="11" s="1"/>
  <c r="F60" i="6"/>
  <c r="F41" i="6"/>
  <c r="I39" i="6" s="1"/>
  <c r="F56" i="6"/>
  <c r="F52" i="6"/>
  <c r="F48" i="6"/>
  <c r="E68" i="6"/>
  <c r="F68" i="6" s="1"/>
  <c r="F74" i="6" s="1"/>
  <c r="F44" i="9"/>
  <c r="E47" i="9"/>
  <c r="F47" i="9" s="1"/>
  <c r="F53" i="9" s="1"/>
  <c r="F26" i="8"/>
  <c r="F30" i="8" s="1"/>
  <c r="F54" i="9" l="1"/>
  <c r="F65" i="6"/>
  <c r="F75" i="6" s="1"/>
  <c r="F76" i="6" s="1"/>
  <c r="F77" i="6" s="1"/>
  <c r="E38" i="6" s="1"/>
  <c r="J12" i="6" s="1"/>
  <c r="F39" i="8"/>
  <c r="F55" i="9"/>
  <c r="F56" i="9" s="1"/>
  <c r="F40" i="8"/>
  <c r="E39" i="6" l="1"/>
  <c r="J13" i="6" s="1"/>
  <c r="E39" i="11"/>
  <c r="F41" i="8"/>
  <c r="E40" i="6" l="1"/>
  <c r="J14" i="6" s="1"/>
  <c r="E40" i="11"/>
  <c r="J14" i="11" s="1"/>
  <c r="J13" i="11"/>
  <c r="I23" i="6"/>
  <c r="E22" i="7"/>
  <c r="E20" i="6"/>
  <c r="F20" i="6" s="1"/>
  <c r="E21" i="9"/>
  <c r="F21" i="9" s="1"/>
  <c r="C16" i="9"/>
  <c r="C19" i="9" s="1"/>
  <c r="E12" i="9"/>
  <c r="F12" i="9" s="1"/>
  <c r="I31" i="9"/>
  <c r="E20" i="9"/>
  <c r="F20" i="9" s="1"/>
  <c r="E11" i="9"/>
  <c r="F11" i="9" s="1"/>
  <c r="E10" i="9"/>
  <c r="F10" i="9" s="1"/>
  <c r="E9" i="9"/>
  <c r="F9" i="9" s="1"/>
  <c r="E7" i="9"/>
  <c r="F7" i="9" s="1"/>
  <c r="E6" i="9"/>
  <c r="F6" i="9" s="1"/>
  <c r="E5" i="9"/>
  <c r="F5" i="9" s="1"/>
  <c r="I30" i="6"/>
  <c r="I12" i="6" s="1"/>
  <c r="I16" i="6" s="1"/>
  <c r="E41" i="6" l="1"/>
  <c r="E41" i="11"/>
  <c r="J16" i="11"/>
  <c r="C17" i="9"/>
  <c r="E17" i="9" s="1"/>
  <c r="F17" i="9" s="1"/>
  <c r="I38" i="11"/>
  <c r="I44" i="11" s="1"/>
  <c r="I46" i="11" s="1"/>
  <c r="F42" i="11"/>
  <c r="E19" i="9"/>
  <c r="F19" i="9" s="1"/>
  <c r="E18" i="9"/>
  <c r="F18" i="9" s="1"/>
  <c r="F4" i="9"/>
  <c r="F8" i="9"/>
  <c r="F13" i="9" s="1"/>
  <c r="E16" i="9"/>
  <c r="F16" i="9" s="1"/>
  <c r="C13" i="8"/>
  <c r="E13" i="8" s="1"/>
  <c r="F13" i="8" s="1"/>
  <c r="C11" i="8"/>
  <c r="E11" i="8" s="1"/>
  <c r="F11" i="8" s="1"/>
  <c r="E12" i="7"/>
  <c r="F12" i="7" s="1"/>
  <c r="E14" i="8"/>
  <c r="F14" i="8" s="1"/>
  <c r="E7" i="8"/>
  <c r="F7" i="8" s="1"/>
  <c r="E6" i="8"/>
  <c r="F6" i="8" s="1"/>
  <c r="E5" i="8"/>
  <c r="F5" i="8" s="1"/>
  <c r="E20" i="7"/>
  <c r="F20" i="7" s="1"/>
  <c r="E27" i="6"/>
  <c r="F27" i="6" s="1"/>
  <c r="E28" i="6"/>
  <c r="F28" i="6" s="1"/>
  <c r="C19" i="7"/>
  <c r="E19" i="7" s="1"/>
  <c r="F19" i="7" s="1"/>
  <c r="E18" i="7"/>
  <c r="E21" i="7"/>
  <c r="F21" i="7" s="1"/>
  <c r="C16" i="7"/>
  <c r="E16" i="7" s="1"/>
  <c r="E11" i="7"/>
  <c r="F11" i="7" s="1"/>
  <c r="E10" i="7"/>
  <c r="F10" i="7" s="1"/>
  <c r="E9" i="7"/>
  <c r="F9" i="7" s="1"/>
  <c r="E7" i="7"/>
  <c r="F7" i="7" s="1"/>
  <c r="E6" i="7"/>
  <c r="F6" i="7" s="1"/>
  <c r="E5" i="7"/>
  <c r="F5" i="7" s="1"/>
  <c r="C24" i="6"/>
  <c r="C25" i="6" s="1"/>
  <c r="E19" i="6"/>
  <c r="F19" i="6" s="1"/>
  <c r="E18" i="6"/>
  <c r="F18" i="6" s="1"/>
  <c r="E17" i="6"/>
  <c r="F17" i="6" s="1"/>
  <c r="E15" i="6"/>
  <c r="F15" i="6" s="1"/>
  <c r="E14" i="6"/>
  <c r="E13" i="6"/>
  <c r="F13" i="6" s="1"/>
  <c r="E11" i="6"/>
  <c r="F11" i="6" s="1"/>
  <c r="E10" i="6"/>
  <c r="E9" i="6"/>
  <c r="F9" i="6" s="1"/>
  <c r="E7" i="6"/>
  <c r="F7" i="6" s="1"/>
  <c r="E6" i="6"/>
  <c r="F6" i="6" s="1"/>
  <c r="E5" i="6"/>
  <c r="F5" i="6" s="1"/>
  <c r="F42" i="6" l="1"/>
  <c r="I38" i="6"/>
  <c r="I44" i="6" s="1"/>
  <c r="I46" i="6" s="1"/>
  <c r="E24" i="6"/>
  <c r="F16" i="7"/>
  <c r="C26" i="6"/>
  <c r="E26" i="6" s="1"/>
  <c r="E25" i="6"/>
  <c r="F23" i="9"/>
  <c r="F24" i="9" s="1"/>
  <c r="F4" i="8"/>
  <c r="F8" i="8" s="1"/>
  <c r="C12" i="8"/>
  <c r="E12" i="8" s="1"/>
  <c r="F12" i="8" s="1"/>
  <c r="F16" i="8" s="1"/>
  <c r="F4" i="7"/>
  <c r="C17" i="7"/>
  <c r="E17" i="7" s="1"/>
  <c r="F8" i="7"/>
  <c r="F16" i="6"/>
  <c r="F4" i="6"/>
  <c r="F14" i="6"/>
  <c r="F12" i="6" s="1"/>
  <c r="F10" i="6"/>
  <c r="F8" i="6" s="1"/>
  <c r="F41" i="5"/>
  <c r="G29" i="5"/>
  <c r="G30" i="5"/>
  <c r="G31" i="5"/>
  <c r="G32" i="5"/>
  <c r="G33" i="5"/>
  <c r="G5" i="5"/>
  <c r="G6" i="5"/>
  <c r="G7" i="5"/>
  <c r="G8" i="5"/>
  <c r="G9" i="5"/>
  <c r="G10" i="5"/>
  <c r="G11" i="5"/>
  <c r="G12" i="5"/>
  <c r="G13" i="5"/>
  <c r="G14" i="5"/>
  <c r="G15" i="5"/>
  <c r="G16" i="5"/>
  <c r="G17" i="5"/>
  <c r="G18" i="5"/>
  <c r="G19" i="5"/>
  <c r="G20" i="5"/>
  <c r="G21" i="5"/>
  <c r="G22" i="5"/>
  <c r="G23" i="5"/>
  <c r="G24" i="5"/>
  <c r="G25" i="5"/>
  <c r="G26" i="5"/>
  <c r="G27" i="5"/>
  <c r="G28" i="5"/>
  <c r="G4" i="5"/>
  <c r="C37" i="5"/>
  <c r="C38" i="5" s="1"/>
  <c r="C36" i="5"/>
  <c r="F36" i="5" s="1"/>
  <c r="M4" i="5"/>
  <c r="M5" i="5"/>
  <c r="M6" i="5"/>
  <c r="C39" i="5" l="1"/>
  <c r="F39" i="5" s="1"/>
  <c r="F22" i="5"/>
  <c r="F13" i="7"/>
  <c r="F21" i="6"/>
  <c r="F25" i="9"/>
  <c r="F26" i="9" s="1"/>
  <c r="F17" i="8"/>
  <c r="F17" i="7"/>
  <c r="F18" i="7"/>
  <c r="F26" i="6"/>
  <c r="C40" i="5"/>
  <c r="F40" i="5" s="1"/>
  <c r="F38" i="5"/>
  <c r="F12" i="5"/>
  <c r="F8" i="5"/>
  <c r="F33" i="5"/>
  <c r="F29" i="5"/>
  <c r="F25" i="5"/>
  <c r="F21" i="5"/>
  <c r="F37" i="5"/>
  <c r="F4" i="5"/>
  <c r="F15" i="5"/>
  <c r="F11" i="5"/>
  <c r="F7" i="5"/>
  <c r="F32" i="5"/>
  <c r="F28" i="5"/>
  <c r="F24" i="5"/>
  <c r="F20" i="5"/>
  <c r="F16" i="5"/>
  <c r="F18" i="5"/>
  <c r="F14" i="5"/>
  <c r="F10" i="5"/>
  <c r="F6" i="5"/>
  <c r="F31" i="5"/>
  <c r="F27" i="5"/>
  <c r="F23" i="5"/>
  <c r="F19" i="5"/>
  <c r="F17" i="5"/>
  <c r="F13" i="5"/>
  <c r="F9" i="5"/>
  <c r="F5" i="5"/>
  <c r="F30" i="5"/>
  <c r="F26" i="5"/>
  <c r="I20" i="4"/>
  <c r="K20" i="4" s="1"/>
  <c r="I19" i="4"/>
  <c r="K19" i="4" s="1"/>
  <c r="I18" i="4"/>
  <c r="K18" i="4" s="1"/>
  <c r="I17" i="4"/>
  <c r="K17" i="4" s="1"/>
  <c r="I16" i="4"/>
  <c r="K16" i="4" s="1"/>
  <c r="I10" i="4"/>
  <c r="K10" i="4" s="1"/>
  <c r="I8" i="4"/>
  <c r="K8" i="4" s="1"/>
  <c r="I9" i="4"/>
  <c r="K9" i="4" s="1"/>
  <c r="I6" i="4"/>
  <c r="K6" i="4" s="1"/>
  <c r="I7" i="4"/>
  <c r="K7" i="4" s="1"/>
  <c r="I5" i="4"/>
  <c r="K5" i="4" s="1"/>
  <c r="F44" i="5" l="1"/>
  <c r="F45" i="5" s="1"/>
  <c r="D39" i="11"/>
  <c r="D39" i="6"/>
  <c r="K12" i="4"/>
  <c r="F18" i="8"/>
  <c r="F19" i="8" s="1"/>
  <c r="F23" i="7"/>
  <c r="F24" i="7" s="1"/>
  <c r="F24" i="6"/>
  <c r="F25" i="6"/>
  <c r="K22" i="4"/>
  <c r="D40" i="11" l="1"/>
  <c r="D41" i="11" s="1"/>
  <c r="D42" i="11" s="1"/>
  <c r="D43" i="11" s="1"/>
  <c r="D40" i="6"/>
  <c r="F1" i="5"/>
  <c r="K24" i="4"/>
  <c r="F25" i="7"/>
  <c r="F26" i="7" s="1"/>
  <c r="F20" i="8" s="1"/>
  <c r="F31" i="6"/>
  <c r="F32" i="6" s="1"/>
  <c r="F33" i="6" s="1"/>
  <c r="F34" i="6" s="1"/>
  <c r="C38" i="6" l="1"/>
  <c r="C41" i="6" s="1"/>
  <c r="C42" i="6" s="1"/>
  <c r="C43" i="6" s="1"/>
  <c r="D38" i="6"/>
  <c r="D41" i="6" s="1"/>
  <c r="D42" i="6" s="1"/>
  <c r="D43" i="6" s="1"/>
  <c r="F21" i="8"/>
  <c r="F22" i="8" s="1"/>
  <c r="J16" i="6"/>
  <c r="F28" i="28" l="1"/>
</calcChain>
</file>

<file path=xl/sharedStrings.xml><?xml version="1.0" encoding="utf-8"?>
<sst xmlns="http://schemas.openxmlformats.org/spreadsheetml/2006/main" count="2079" uniqueCount="614">
  <si>
    <t>VM Name</t>
  </si>
  <si>
    <t>MYSQL Primary Cluster Server1</t>
  </si>
  <si>
    <t>MYSQL Primary Cluster Server2</t>
  </si>
  <si>
    <t>MYSQL Secondary Cluster Server4</t>
  </si>
  <si>
    <t>MYSQL Primary Cluster Server3</t>
  </si>
  <si>
    <t>MYSQL Secondary Cluster Server5</t>
  </si>
  <si>
    <t>MYSQL Secondary Cluster Server6</t>
  </si>
  <si>
    <t>Mysql Cluster H16_64 9</t>
  </si>
  <si>
    <t>Monitoring</t>
  </si>
  <si>
    <t>Mysql Cluster H16_64 4</t>
  </si>
  <si>
    <t>Mysql Cluster H16_64 5</t>
  </si>
  <si>
    <t>Mysql Cluster H16_64 6</t>
  </si>
  <si>
    <t>Mysql Cluster H16_64 7</t>
  </si>
  <si>
    <t>Mysql Cluster H16_64 8</t>
  </si>
  <si>
    <t>Mysql Cluster H16_64 10</t>
  </si>
  <si>
    <t>Mysql Cluster H16_64 12</t>
  </si>
  <si>
    <t>Nginx Rever Proxy</t>
  </si>
  <si>
    <t>Docker SWARM Node 1</t>
  </si>
  <si>
    <t>Staging Docker SWARM Manager</t>
  </si>
  <si>
    <t>Elastic</t>
  </si>
  <si>
    <t>Docker SWARM Manager 1</t>
  </si>
  <si>
    <t>File Mounting Server1</t>
  </si>
  <si>
    <t>Docker SWARM Node4</t>
  </si>
  <si>
    <t>Stagging</t>
  </si>
  <si>
    <t>Docker SWARM Node2</t>
  </si>
  <si>
    <t>Docker SWARM Node3</t>
  </si>
  <si>
    <t>Docker SWARM</t>
  </si>
  <si>
    <t>Docker SWARM Manager 2</t>
  </si>
  <si>
    <t>Staging Docker SWARM Node</t>
  </si>
  <si>
    <t>Elastic 2</t>
  </si>
  <si>
    <t>Elastic 3</t>
  </si>
  <si>
    <t>Docker SWARM Node5</t>
  </si>
  <si>
    <t>VM Qty</t>
  </si>
  <si>
    <t>Cores</t>
  </si>
  <si>
    <t>Memory</t>
  </si>
  <si>
    <t>Storage</t>
  </si>
  <si>
    <t>Private IP</t>
  </si>
  <si>
    <t>SSH IP</t>
  </si>
  <si>
    <t>10.0.1.61</t>
  </si>
  <si>
    <t>10.0.1.62</t>
  </si>
  <si>
    <t>10.0.1.63</t>
  </si>
  <si>
    <t>10.0.1.64</t>
  </si>
  <si>
    <t>10.0.1.65</t>
  </si>
  <si>
    <t>10.0.1.66</t>
  </si>
  <si>
    <t>10.0.1.67</t>
  </si>
  <si>
    <t>10.0.1.68</t>
  </si>
  <si>
    <t>10.0.1.69</t>
  </si>
  <si>
    <t>10.0.1.70</t>
  </si>
  <si>
    <t>10.0.1.71</t>
  </si>
  <si>
    <t>10.0.1.72</t>
  </si>
  <si>
    <t>10.0.1.73</t>
  </si>
  <si>
    <t>10.0.1.74</t>
  </si>
  <si>
    <t>10.0.1.76</t>
  </si>
  <si>
    <t>10.0.1.77</t>
  </si>
  <si>
    <t>10.0.1.78</t>
  </si>
  <si>
    <t>10.0.1.5</t>
  </si>
  <si>
    <t>File Mounting Server2</t>
  </si>
  <si>
    <t>MaxScale Primary</t>
  </si>
  <si>
    <t>MaxScale Secondary</t>
  </si>
  <si>
    <t>NCD_Test1</t>
  </si>
  <si>
    <t>Virtual Servers</t>
  </si>
  <si>
    <t>VM4-CHI191219</t>
  </si>
  <si>
    <t>CPU</t>
  </si>
  <si>
    <t>RAM</t>
  </si>
  <si>
    <t>OS</t>
  </si>
  <si>
    <t>VM3-CHI191219</t>
  </si>
  <si>
    <t>VM2-CHI191220</t>
  </si>
  <si>
    <t>VM1-CHI191221</t>
  </si>
  <si>
    <t>Reporting- Server</t>
  </si>
  <si>
    <t>Web-Server</t>
  </si>
  <si>
    <t>DB-Server</t>
  </si>
  <si>
    <t>ICT-Server</t>
  </si>
  <si>
    <t>CHI-VM6-21022018</t>
  </si>
  <si>
    <t>CHI-VM5-21022019</t>
  </si>
  <si>
    <t>CHI-VM4-21022020</t>
  </si>
  <si>
    <t>CHI-VM3-21022021</t>
  </si>
  <si>
    <t>CHI-VM2-21022022</t>
  </si>
  <si>
    <t>CHI-VM1-21022023</t>
  </si>
  <si>
    <t>CENTOS</t>
  </si>
  <si>
    <t>UBUNTU</t>
  </si>
  <si>
    <t>kms.nhp.gov.on-new</t>
  </si>
  <si>
    <t>10.48.101.13</t>
  </si>
  <si>
    <t>10.48.101.12</t>
  </si>
  <si>
    <t>10.48.101.15</t>
  </si>
  <si>
    <t>10.48.101.11</t>
  </si>
  <si>
    <t>Centos 7.2x64</t>
  </si>
  <si>
    <t>CentOS6.6x64</t>
  </si>
  <si>
    <t>CentOS7.6x64</t>
  </si>
  <si>
    <t>CentOS6.8x64</t>
  </si>
  <si>
    <t>VM-14102019</t>
  </si>
  <si>
    <t>NHP1</t>
  </si>
  <si>
    <t>NHP-NEW</t>
  </si>
  <si>
    <t>10.48.6.13</t>
  </si>
  <si>
    <t>NHP-DB-SERVER</t>
  </si>
  <si>
    <t>PMSMA/SUMAN</t>
  </si>
  <si>
    <t>VAIEMS</t>
  </si>
  <si>
    <t>10-48-21-11</t>
  </si>
  <si>
    <t>NHP-WEB</t>
  </si>
  <si>
    <t>MYHEALTHRECORD</t>
  </si>
  <si>
    <t>WEB</t>
  </si>
  <si>
    <t>CHI STAGING SERVER</t>
  </si>
  <si>
    <t>LAQSHYA, IMI2-OLD</t>
  </si>
  <si>
    <t>MYSQL</t>
  </si>
  <si>
    <t>NHP NEW SITE</t>
  </si>
  <si>
    <t>NIN, CD</t>
  </si>
  <si>
    <t>NHP DB SERVER</t>
  </si>
  <si>
    <t>WEB SERVER:PMSMA,HUMDO,SUMAN</t>
  </si>
  <si>
    <t>WEB SERVER:SAFE-VAC</t>
  </si>
  <si>
    <t>WEBSERVERBUDGET-DASHBOARD,NPHCE</t>
  </si>
  <si>
    <t>NHP LIVE SITE DOT-NET BASED,CMS</t>
  </si>
  <si>
    <t>WEB SERVER:MY HEALTH RECORD</t>
  </si>
  <si>
    <t>Software Installed</t>
  </si>
  <si>
    <t>DB-MASTER</t>
  </si>
  <si>
    <t>DB-SLAVE</t>
  </si>
  <si>
    <t>BACKUP+STAGING</t>
  </si>
  <si>
    <t>MYSQL REPORTING SERV</t>
  </si>
  <si>
    <t>IMI2.0 FRONT END</t>
  </si>
  <si>
    <t>MARIADB</t>
  </si>
  <si>
    <t>KMS.NHP.GOV.IN</t>
  </si>
  <si>
    <t>PHONEME</t>
  </si>
  <si>
    <t>SMS GATEWAY MERA ASPSTAL</t>
  </si>
  <si>
    <t>S.No.</t>
  </si>
  <si>
    <t>S. No.</t>
  </si>
  <si>
    <t>Prequalification Criteria</t>
  </si>
  <si>
    <t>Proof Required</t>
  </si>
  <si>
    <t>Overall Turnover</t>
  </si>
  <si>
    <t>Audited financial statements</t>
  </si>
  <si>
    <t>Bidder should have an average annual turnover greater than INR. 50 Crores from the IT Business and operations (System Integration Services, Software Development Services, Hardware supply, installation, commissioning, and facilities management services) during the last three financial years (i.e. 2018-19, 2017-18, 2016-17), with positive net worth and profitability.</t>
  </si>
  <si>
    <t>(reflecting overall turnover)/  annual report</t>
  </si>
  <si>
    <t>containing financial statement for the last</t>
  </si>
  <si>
    <t>three financial years</t>
  </si>
  <si>
    <t>A certificate duly certified by the statutory</t>
  </si>
  <si>
    <t>auditor/CA of the bidder clearly mentioning</t>
  </si>
  <si>
    <t>the average annual turnover of the bidder</t>
  </si>
  <si>
    <t>from Software services.</t>
  </si>
  <si>
    <t>As per Annexure-1, Form – 4 enclosed</t>
  </si>
  <si>
    <t>Turnover from Health IT System Implementation</t>
  </si>
  <si>
    <t>The bidder should also</t>
  </si>
  <si>
    <t>have a minimum INR 10 crore turnover from</t>
  </si>
  <si>
    <t xml:space="preserve">  IT Systems  business  (Only</t>
  </si>
  <si>
    <t>Five financial years</t>
  </si>
  <si>
    <t>Software Components) in the last five financial</t>
  </si>
  <si>
    <r>
      <t>years  ending  31</t>
    </r>
    <r>
      <rPr>
        <vertAlign val="superscript"/>
        <sz val="13.5"/>
        <color theme="1"/>
        <rFont val="Calibri"/>
        <family val="2"/>
        <scheme val="minor"/>
      </rPr>
      <t>st</t>
    </r>
    <r>
      <rPr>
        <sz val="11"/>
        <color theme="1"/>
        <rFont val="Calibri"/>
        <family val="2"/>
        <scheme val="minor"/>
      </rPr>
      <t xml:space="preserve">  March  2019  (as  per  the</t>
    </r>
  </si>
  <si>
    <t>auditor/CA of the bidder</t>
  </si>
  <si>
    <t>clearly mentioning</t>
  </si>
  <si>
    <t>published Income Statement).</t>
  </si>
  <si>
    <t>supported by work order/client certificate</t>
  </si>
  <si>
    <t>Note: In case turnover in foreign currency, the</t>
  </si>
  <si>
    <t>value should be shown in INR as per the</t>
  </si>
  <si>
    <t>conversion rate prevailing at that time.</t>
  </si>
  <si>
    <t>Health System Experience</t>
  </si>
  <si>
    <t>Work order + Completion Certificates from the</t>
  </si>
  <si>
    <t>Bidder should have undertaken and delivered atleast 3 healthcare software projects worth more than 10 Cr in the last five years for State Government Health Depts or Central Govt in India which involves smooth and seamless transitioning from the existing healthcare software development contractor including but not limited to taking charge of the Healthcare application software along with its operating system and database, technology transfer from the existing contractor, managing the end to end system, re-engineering/upgrading the technology, adding features-functionalities as well as O&amp;M of the project.</t>
  </si>
  <si>
    <t>client  +  Phase  completion  certificate  (For</t>
  </si>
  <si>
    <t>ongoing projects) from the client.</t>
  </si>
  <si>
    <t>In  case  of  phased  completion,  design,</t>
  </si>
  <si>
    <t>development, integration, deployment and one</t>
  </si>
  <si>
    <t>year  post  deployment  should  be  completed</t>
  </si>
  <si>
    <t>which should include  integration and exchange</t>
  </si>
  <si>
    <t>of at least two different EHR/HIS system.</t>
  </si>
  <si>
    <t>As per Annexure-1, Form - 5 enclosed</t>
  </si>
  <si>
    <r>
      <t xml:space="preserve">Bidder should </t>
    </r>
    <r>
      <rPr>
        <sz val="10"/>
        <color rgb="FF000000"/>
        <rFont val="Calibri"/>
        <family val="2"/>
        <scheme val="minor"/>
      </rPr>
      <t>have</t>
    </r>
    <r>
      <rPr>
        <sz val="10"/>
        <color theme="1"/>
        <rFont val="Calibri"/>
        <family val="2"/>
        <scheme val="minor"/>
      </rPr>
      <t xml:space="preserve"> implemented/managed /Health IT System including hardware and software at least for three Government Health sector projects each involving centralized software being used by more than 100 hospitals for each of the three projects.  </t>
    </r>
  </si>
  <si>
    <t>client,  +  Phase  completion  certificate  (For</t>
  </si>
  <si>
    <t>ongoing projects) from the client. The total cost</t>
  </si>
  <si>
    <t>of the each project separately.</t>
  </si>
  <si>
    <t>Designation</t>
  </si>
  <si>
    <t>Qualification</t>
  </si>
  <si>
    <t>Total  Cost</t>
  </si>
  <si>
    <t>Prof. Exp.in Years</t>
  </si>
  <si>
    <t>Man Month cost</t>
  </si>
  <si>
    <t>Yearly Cost</t>
  </si>
  <si>
    <t>Tax %</t>
  </si>
  <si>
    <t>Sr. No</t>
  </si>
  <si>
    <t>Project Manager</t>
  </si>
  <si>
    <t>MBA/BTECH</t>
  </si>
  <si>
    <t>20+</t>
  </si>
  <si>
    <t>Software Architect</t>
  </si>
  <si>
    <t>Network Architect</t>
  </si>
  <si>
    <t>BTECH/MCA</t>
  </si>
  <si>
    <t>12+</t>
  </si>
  <si>
    <t>Nos</t>
  </si>
  <si>
    <t>15+</t>
  </si>
  <si>
    <t>Business Analyst</t>
  </si>
  <si>
    <t>5+</t>
  </si>
  <si>
    <t>Project Co-ordinator</t>
  </si>
  <si>
    <t>Software Team Lead</t>
  </si>
  <si>
    <t>10+</t>
  </si>
  <si>
    <t>Application Developers</t>
  </si>
  <si>
    <t>SeniorApplication Developers</t>
  </si>
  <si>
    <t>Storage Systems Architect</t>
  </si>
  <si>
    <t>Software Support Engineer</t>
  </si>
  <si>
    <t>Network Support Engineer</t>
  </si>
  <si>
    <t>4+</t>
  </si>
  <si>
    <t>Annual Cost</t>
  </si>
  <si>
    <t>vcpu</t>
  </si>
  <si>
    <t>SSD SCSI Storage(100 GB)</t>
  </si>
  <si>
    <t>PAAS Monitoring &amp; Management</t>
  </si>
  <si>
    <t>System &amp; Network Support</t>
  </si>
  <si>
    <t xml:space="preserve">Host based Backup </t>
  </si>
  <si>
    <t>Storage Based Backup</t>
  </si>
  <si>
    <t>Firewall and Security Management</t>
  </si>
  <si>
    <t xml:space="preserve">PAAS Management and Monitoring </t>
  </si>
  <si>
    <t>Host Based Backup System</t>
  </si>
  <si>
    <t>Enterprise Backup Management(User Data)</t>
  </si>
  <si>
    <t>Security and Antivirus Management</t>
  </si>
  <si>
    <t xml:space="preserve">System &amp; Network Support </t>
  </si>
  <si>
    <t>vCPU</t>
  </si>
  <si>
    <t>Manage Services</t>
  </si>
  <si>
    <t>Dedicated 30 Mbps bandwidth</t>
  </si>
  <si>
    <t xml:space="preserve">SSL Certificates yearly </t>
  </si>
  <si>
    <t>SSL Certificates</t>
  </si>
  <si>
    <t>Total Yearly Charges(Without GST)</t>
  </si>
  <si>
    <t>Total Yearly Charges(With GST @ 18%)</t>
  </si>
  <si>
    <t>1 vCPU 1 GB 40 GB Storage</t>
  </si>
  <si>
    <t>2 vCPU 2 GB 60 GB Storage</t>
  </si>
  <si>
    <t>4 vCPU 4 GB 120 GB Storage</t>
  </si>
  <si>
    <t>6 vCPU 6 GB 180 GB Storage</t>
  </si>
  <si>
    <t>8 vCPU 8 GB 240 GB Storage</t>
  </si>
  <si>
    <t>16 vCPU 16 GB 480 GB Storage</t>
  </si>
  <si>
    <t>1 GB RAM</t>
  </si>
  <si>
    <t>1 vCPU</t>
  </si>
  <si>
    <t>50 GB Block</t>
  </si>
  <si>
    <r>
      <rPr>
        <b/>
        <sz val="10"/>
        <color rgb="FF3E3E48"/>
        <rFont val="Arial"/>
        <family val="2"/>
      </rPr>
      <t xml:space="preserve">Sr. </t>
    </r>
    <r>
      <rPr>
        <b/>
        <sz val="10"/>
        <color rgb="FF3E3C48"/>
        <rFont val="Arial"/>
        <family val="2"/>
      </rPr>
      <t>no.</t>
    </r>
  </si>
  <si>
    <r>
      <rPr>
        <b/>
        <sz val="8"/>
        <color rgb="FF2E2E34"/>
        <rFont val="Arial"/>
        <family val="2"/>
      </rPr>
      <t>Item/Specification</t>
    </r>
  </si>
  <si>
    <r>
      <rPr>
        <b/>
        <sz val="8"/>
        <color rgb="FF343442"/>
        <rFont val="Arial"/>
        <family val="2"/>
      </rPr>
      <t>Qty.</t>
    </r>
  </si>
  <si>
    <r>
      <rPr>
        <b/>
        <sz val="8"/>
        <color rgb="FF383842"/>
        <rFont val="Arial"/>
        <family val="2"/>
      </rPr>
      <t>Unit M</t>
    </r>
    <r>
      <rPr>
        <b/>
        <sz val="8"/>
        <color rgb="FF3E3E48"/>
        <rFont val="Arial"/>
        <family val="2"/>
      </rPr>
      <t>onthly P</t>
    </r>
    <r>
      <rPr>
        <b/>
        <sz val="8"/>
        <color rgb="FF363641"/>
        <rFont val="Arial"/>
        <family val="2"/>
      </rPr>
      <t xml:space="preserve">rice
</t>
    </r>
    <r>
      <rPr>
        <b/>
        <sz val="8"/>
        <color rgb="FF47474F"/>
        <rFont val="Arial"/>
        <family val="2"/>
      </rPr>
      <t>(INR)</t>
    </r>
  </si>
  <si>
    <r>
      <rPr>
        <b/>
        <sz val="8"/>
        <color rgb="FF23252A"/>
        <rFont val="Arial"/>
        <family val="2"/>
      </rPr>
      <t>Total M</t>
    </r>
    <r>
      <rPr>
        <b/>
        <sz val="8"/>
        <color rgb="FF34343A"/>
        <rFont val="Arial"/>
        <family val="2"/>
      </rPr>
      <t>onthly P</t>
    </r>
    <r>
      <rPr>
        <b/>
        <sz val="8"/>
        <color rgb="FF2E2E34"/>
        <rFont val="Arial"/>
        <family val="2"/>
      </rPr>
      <t xml:space="preserve">rice
</t>
    </r>
    <r>
      <rPr>
        <b/>
        <sz val="8"/>
        <color rgb="FF25232A"/>
        <rFont val="Arial"/>
        <family val="2"/>
      </rPr>
      <t>(INR)</t>
    </r>
  </si>
  <si>
    <r>
      <rPr>
        <b/>
        <sz val="8"/>
        <color rgb="FF222228"/>
        <rFont val="Arial"/>
        <family val="2"/>
      </rPr>
      <t xml:space="preserve">Total </t>
    </r>
    <r>
      <rPr>
        <b/>
        <sz val="8"/>
        <color rgb="FF07080C"/>
        <rFont val="Arial"/>
        <family val="2"/>
      </rPr>
      <t xml:space="preserve">Annual </t>
    </r>
    <r>
      <rPr>
        <b/>
        <sz val="8"/>
        <color rgb="FF282A2C"/>
        <rFont val="Arial"/>
        <family val="2"/>
      </rPr>
      <t>Price(INR)</t>
    </r>
  </si>
  <si>
    <t>Front End Web server 4vCPU 16 GB RAM 200 GB</t>
  </si>
  <si>
    <t>4 vCPU 4GB RAM 120 GB HDD</t>
  </si>
  <si>
    <r>
      <rPr>
        <sz val="8"/>
        <color rgb="FF1F2020"/>
        <rFont val="Arial"/>
        <family val="2"/>
      </rPr>
      <t>RAM (per GB)</t>
    </r>
  </si>
  <si>
    <t>Server storage (per 50 GB)</t>
  </si>
  <si>
    <t xml:space="preserve">Server storage (per 50 GB) </t>
  </si>
  <si>
    <t>Elastic Search 8vCPU 32 GB RAM 200 GB</t>
  </si>
  <si>
    <t>8 vCPU 8GB RAM 240 GB HDD</t>
  </si>
  <si>
    <t>MySQL Cluster 16vCPU 64 GB RAM 200 GB</t>
  </si>
  <si>
    <t>16 vCPU 16GB RAM 480 GB HDD</t>
  </si>
  <si>
    <t>Antivirus</t>
  </si>
  <si>
    <t>OS Managemnt</t>
  </si>
  <si>
    <t>Enterprise Backup (Files/Folders/DB)</t>
  </si>
  <si>
    <t>Total (A)</t>
  </si>
  <si>
    <t>Management Services</t>
  </si>
  <si>
    <t>Total (B)</t>
  </si>
  <si>
    <t xml:space="preserve">Storage Management </t>
  </si>
  <si>
    <t>Database Management</t>
  </si>
  <si>
    <t>Virtualisation Management</t>
  </si>
  <si>
    <t>Total Annual Recurring Cost(A + B)</t>
  </si>
  <si>
    <t>Discount(25%)</t>
  </si>
  <si>
    <t>Final Cost</t>
  </si>
  <si>
    <t>Application Server 8vCPU 32 GB RAM 200 GB</t>
  </si>
  <si>
    <t>DVBHL Hartron</t>
  </si>
  <si>
    <t>Front End Web server 4vCPU 16 GB RAM 500 GB</t>
  </si>
  <si>
    <t>Additions SCCI Storage (per 50 GB)</t>
  </si>
  <si>
    <t xml:space="preserve">Front End Web server 4vCPU 32 GB RAM 1 TB </t>
  </si>
  <si>
    <t>FamilyID Hartron</t>
  </si>
  <si>
    <t>HSHRC Phase I</t>
  </si>
  <si>
    <t>HSHRC Phase II</t>
  </si>
  <si>
    <t>HSHRC Phase III</t>
  </si>
  <si>
    <t>Internal Hartron</t>
  </si>
  <si>
    <t>Front End Web server 4vCPU 16 GB RAM 350 GB</t>
  </si>
  <si>
    <t>Additions Server Storage (per 50 GB)</t>
  </si>
  <si>
    <t>Internet Bandwidth (30 Mbps)</t>
  </si>
  <si>
    <t>Internet Bandwidth 30 Mbps</t>
  </si>
  <si>
    <t>HSRC 22 VM</t>
  </si>
  <si>
    <t>Hartron Internal</t>
  </si>
  <si>
    <t>Internal 23 VM</t>
  </si>
  <si>
    <t>Family ID 10</t>
  </si>
  <si>
    <t>OS Managemnt(Unbuntu/Centos)</t>
  </si>
  <si>
    <t>HSHRC Hartron</t>
  </si>
  <si>
    <t>Taxes @ 18%</t>
  </si>
  <si>
    <t>Total Cost (INR)</t>
  </si>
  <si>
    <t>Hartron Requirements</t>
  </si>
  <si>
    <t>No of Instances</t>
  </si>
  <si>
    <t>Family-ID-VM-1</t>
  </si>
  <si>
    <t>Hartron Internal -VM1</t>
  </si>
  <si>
    <t>Hartron-Internal - VM2</t>
  </si>
  <si>
    <t>HSHRC -Web Server- VM1</t>
  </si>
  <si>
    <t>HSHRC- Application Server</t>
  </si>
  <si>
    <t>HSHRC - Elastic Server-Server</t>
  </si>
  <si>
    <t>HSHRC - Database Server</t>
  </si>
  <si>
    <t>Primary Internet Bandwidth (34 Mbps)</t>
  </si>
  <si>
    <t>Secondary Internet Bandwidth (10 Mbps)</t>
  </si>
  <si>
    <t>HSHRC Additional Storage</t>
  </si>
  <si>
    <t>Internal Additional Storage</t>
  </si>
  <si>
    <t>Family ID</t>
  </si>
  <si>
    <t>Group Name</t>
  </si>
  <si>
    <t>HSHRC</t>
  </si>
  <si>
    <t xml:space="preserve">Backup Management </t>
  </si>
  <si>
    <t>Backup Management</t>
  </si>
  <si>
    <t>OS Managemnt (Unbuntu/Centos)</t>
  </si>
  <si>
    <t>Database Server 8vCPU 32 GB RAM 300 GB</t>
  </si>
  <si>
    <t>Application Server 8vCPU 32 GB RAM 300 GB</t>
  </si>
  <si>
    <t>Internet Bandwidth (45 Mbps)</t>
  </si>
  <si>
    <t>Proposal Value to Hartron</t>
  </si>
  <si>
    <t>Bandwidth Cost(-)</t>
  </si>
  <si>
    <t>Hosting Cost(-)</t>
  </si>
  <si>
    <t>Seating Cost(-)</t>
  </si>
  <si>
    <t>Firewall 200 Mbps(-)</t>
  </si>
  <si>
    <t>Net to SRIT</t>
  </si>
  <si>
    <t>Net to Outsource</t>
  </si>
  <si>
    <t>% margin</t>
  </si>
  <si>
    <t>PBG Value</t>
  </si>
  <si>
    <t>SRIT Margin</t>
  </si>
  <si>
    <t>Net to PHONEME</t>
  </si>
  <si>
    <t>BSNL</t>
  </si>
  <si>
    <t>Railtel</t>
  </si>
  <si>
    <t>Sejal Agarwal</t>
  </si>
  <si>
    <t xml:space="preserve">    S.No.</t>
  </si>
  <si>
    <t>Description</t>
  </si>
  <si>
    <t>Unit</t>
  </si>
  <si>
    <t>Unit Rate(Yearly)</t>
  </si>
  <si>
    <t>Total</t>
  </si>
  <si>
    <t>Maintenance and Support (Yearly)</t>
  </si>
  <si>
    <t>ASR Port Licenses</t>
  </si>
  <si>
    <t xml:space="preserve">Basic Platform  Hosting </t>
  </si>
  <si>
    <t>Speech Analyst service</t>
  </si>
  <si>
    <t xml:space="preserve">This includes the PRI charges for catering to 100 Channels </t>
  </si>
  <si>
    <t>The Call Charges will be as per actuals @1.2 Rs per minute pulse</t>
  </si>
  <si>
    <t xml:space="preserve"> 4vCPU 16 GB RAM 300 GB (10 Machines)</t>
  </si>
  <si>
    <t xml:space="preserve"> 4vCPU 32 GB RAM 300 GB (7 Machines)</t>
  </si>
  <si>
    <t>MySQL Cluster 16vCPU 128 GB RAM 200 GB</t>
  </si>
  <si>
    <t>Database Server(32 vCPU,96 GB RAM 500 GB)</t>
  </si>
  <si>
    <t>Replication Server(16 vCPU,48 GB RAM 500 GB)</t>
  </si>
  <si>
    <t>Application Server 16vCPU 32 GB RAM 200 GB</t>
  </si>
  <si>
    <t>S.</t>
  </si>
  <si>
    <t>Server</t>
  </si>
  <si>
    <t>Core</t>
  </si>
  <si>
    <t>No.</t>
  </si>
  <si>
    <t>(GB)</t>
  </si>
  <si>
    <t>Database Server</t>
  </si>
  <si>
    <t>Streaming Replication Server</t>
  </si>
  <si>
    <t>FTP Server</t>
  </si>
  <si>
    <t>Web Server</t>
  </si>
  <si>
    <t>Application Server</t>
  </si>
  <si>
    <t>Application Backup Servr</t>
  </si>
  <si>
    <t>CRL</t>
  </si>
  <si>
    <t>App Bk</t>
  </si>
  <si>
    <t>Logs</t>
  </si>
  <si>
    <t>Logs Bk</t>
  </si>
  <si>
    <t>Antivirus (CentOS)</t>
  </si>
  <si>
    <t>OS Management (CentOS)</t>
  </si>
  <si>
    <t>SSL Certificate</t>
  </si>
  <si>
    <t>Annual Recurring Cost (A + B)</t>
  </si>
  <si>
    <t>Discount (25%)</t>
  </si>
  <si>
    <t>Discounted Annual Recurring Cost ( C )</t>
  </si>
  <si>
    <t>Internet Lease Line (600 Mbps) ( D )</t>
  </si>
  <si>
    <t>Cost of Hosting of 01 nos eOffice Instance for 01 Year ( E = C + D )</t>
  </si>
  <si>
    <t>Internet Lease Line (45 Mbps) ( D )</t>
  </si>
  <si>
    <t>Cost of Hosting of 01 nos eOffice Instance for 03 Year ( E x 3 )</t>
  </si>
  <si>
    <t>Cost of Hosting of 01 nos eOffice Instance for 04th Year ( E )</t>
  </si>
  <si>
    <t>Cost of Hosting of 01 nos eOffice Instance for 05th Year ( E )</t>
  </si>
  <si>
    <t>Item Specifications</t>
  </si>
  <si>
    <t>QTY</t>
  </si>
  <si>
    <t>Unit Monthly Price</t>
  </si>
  <si>
    <t>Total Monthly Price</t>
  </si>
  <si>
    <t>Total Annual Charges(INR)</t>
  </si>
  <si>
    <t>HP DL380G7</t>
  </si>
  <si>
    <t>Dell PowerEdge 820</t>
  </si>
  <si>
    <t>Dell PowerEdge R230</t>
  </si>
  <si>
    <t>HP DL 360 G5</t>
  </si>
  <si>
    <t>SGH424K2F1</t>
  </si>
  <si>
    <t xml:space="preserve">DL320 GEN 8/ 1220V3/4GB/500GB/ 3yrs </t>
  </si>
  <si>
    <t>Max capacity</t>
  </si>
  <si>
    <t>SATA</t>
  </si>
  <si>
    <t>SSD</t>
  </si>
  <si>
    <t>Total SATA</t>
  </si>
  <si>
    <t>Total SSD</t>
  </si>
  <si>
    <t>Dell PowerEdge 630</t>
  </si>
  <si>
    <t>Prxomos Enter</t>
  </si>
  <si>
    <t>Virtualisor</t>
  </si>
  <si>
    <t>Techno infotech</t>
  </si>
  <si>
    <t>Reducing my pain</t>
  </si>
  <si>
    <t xml:space="preserve">Total in Words :- Two Crores Twenty Five Lacs Seventy Thousand Eight Hundred and Forty Four Only </t>
  </si>
  <si>
    <t>Total with taxes @18%</t>
  </si>
  <si>
    <t>A+B</t>
  </si>
  <si>
    <t>Total (A+B+C)                    without Taxes</t>
  </si>
  <si>
    <t>Dedicated 54 GBPS Bandwidth</t>
  </si>
  <si>
    <t>Internet Bandwidth</t>
  </si>
  <si>
    <t>Host Based Backup System(per TB)</t>
  </si>
  <si>
    <t>OS &amp; Network Support (per machine)</t>
  </si>
  <si>
    <t>Storage on SCCI Storage Unit(per 100 GB)</t>
  </si>
  <si>
    <t xml:space="preserve"> RAM (per GB)</t>
  </si>
  <si>
    <t>4vCPU , 8 GB RAM , 500 GB</t>
  </si>
  <si>
    <t>8vCPU , 16 GB RAM , 1024 GB</t>
  </si>
  <si>
    <t>6vCPU , 16 GB RAM , 520 GB</t>
  </si>
  <si>
    <t>6vCPU , 28 GB RAM , 500 GB</t>
  </si>
  <si>
    <t xml:space="preserve"> 8vCPU , 32 GB RAM , 1000 GB</t>
  </si>
  <si>
    <t>8vCPU , 32 GB RAM , 500 GB</t>
  </si>
  <si>
    <t>16vCPU,32 GB,500 GB</t>
  </si>
  <si>
    <t>16vCPU,32 GB,1100 GB</t>
  </si>
  <si>
    <t>16vCPU,32 GB,1000 GB</t>
  </si>
  <si>
    <t>CPU Intel x Architecture (per vCPU)</t>
  </si>
  <si>
    <t xml:space="preserve">16vCPU,64 GB,1000 GB </t>
  </si>
  <si>
    <t>Hosting IAAS/PAAS services</t>
  </si>
  <si>
    <r>
      <t xml:space="preserve">Total </t>
    </r>
    <r>
      <rPr>
        <b/>
        <sz val="10"/>
        <color rgb="FF07080C"/>
        <rFont val="Arial"/>
        <family val="2"/>
      </rPr>
      <t xml:space="preserve">Annual </t>
    </r>
    <r>
      <rPr>
        <b/>
        <sz val="10"/>
        <color rgb="FF282A2D"/>
        <rFont val="Arial"/>
        <family val="2"/>
      </rPr>
      <t>Price(INR)</t>
    </r>
  </si>
  <si>
    <r>
      <t>Total M</t>
    </r>
    <r>
      <rPr>
        <b/>
        <sz val="10"/>
        <color rgb="FF34343B"/>
        <rFont val="Arial"/>
        <family val="2"/>
      </rPr>
      <t>onthly P</t>
    </r>
    <r>
      <rPr>
        <b/>
        <sz val="10"/>
        <color rgb="FF2F2F34"/>
        <rFont val="Arial"/>
        <family val="2"/>
      </rPr>
      <t xml:space="preserve">rice </t>
    </r>
    <r>
      <rPr>
        <b/>
        <sz val="10"/>
        <color rgb="FF26242A"/>
        <rFont val="Arial"/>
        <family val="2"/>
      </rPr>
      <t>(INR)</t>
    </r>
  </si>
  <si>
    <r>
      <t>Unit M</t>
    </r>
    <r>
      <rPr>
        <b/>
        <sz val="10"/>
        <color rgb="FF3F3F49"/>
        <rFont val="Arial"/>
        <family val="2"/>
      </rPr>
      <t>onthly P</t>
    </r>
    <r>
      <rPr>
        <b/>
        <sz val="10"/>
        <color rgb="FF363641"/>
        <rFont val="Arial"/>
        <family val="2"/>
      </rPr>
      <t xml:space="preserve">rice </t>
    </r>
    <r>
      <rPr>
        <b/>
        <sz val="10"/>
        <color rgb="FF48484F"/>
        <rFont val="Arial"/>
        <family val="2"/>
      </rPr>
      <t>(INR)</t>
    </r>
  </si>
  <si>
    <t>Qty.</t>
  </si>
  <si>
    <t>Item/Specification</t>
  </si>
  <si>
    <r>
      <t xml:space="preserve">Sr. </t>
    </r>
    <r>
      <rPr>
        <b/>
        <sz val="10"/>
        <color rgb="FF3F3D49"/>
        <rFont val="Arial"/>
        <family val="2"/>
      </rPr>
      <t>no.</t>
    </r>
  </si>
  <si>
    <t>Service</t>
  </si>
  <si>
    <t>HSN</t>
  </si>
  <si>
    <t>Code</t>
  </si>
  <si>
    <t>Per Unit Per Month Charges</t>
  </si>
  <si>
    <t>(B)</t>
  </si>
  <si>
    <t>( C ) = All Taxes</t>
  </si>
  <si>
    <t>/ Levies / Charges on (B)</t>
  </si>
  <si>
    <t>Total Per Unit Per Month Charges</t>
  </si>
  <si>
    <t>(D = B+C)</t>
  </si>
  <si>
    <t>Total Charges Per Month (E = D*A)</t>
  </si>
  <si>
    <t>%</t>
  </si>
  <si>
    <t>Amount</t>
  </si>
  <si>
    <t>Base Virtual Machine (VM) Configurations</t>
  </si>
  <si>
    <t>Additional Resources over Base VM</t>
  </si>
  <si>
    <t>Per Additional 01 GB RAM over Base VM</t>
  </si>
  <si>
    <t>Per Additional Storage in blocksof 50 GB eachover</t>
  </si>
  <si>
    <t>Base VM</t>
  </si>
  <si>
    <t>Licenses as a Service (Latest Release)</t>
  </si>
  <si>
    <t>Anti-Virusfor</t>
  </si>
  <si>
    <t>VirtualServers</t>
  </si>
  <si>
    <t>Platform Services</t>
  </si>
  <si>
    <t>Hosted Backup - Enterprise (File/Folders/System with application &amp; Databases)</t>
  </si>
  <si>
    <t>Per 500 GB</t>
  </si>
  <si>
    <t>Grand Total Charges (in ₹)</t>
  </si>
  <si>
    <t>Base VM of 04 vCPU 04 GBRAM 120 GB Storage</t>
  </si>
  <si>
    <t>Base VM of 08 vCPU 08 GBRAM with 240GB Storage</t>
  </si>
  <si>
    <t>Quantity (A)</t>
  </si>
  <si>
    <t>Sl.</t>
  </si>
  <si>
    <t>Particulars</t>
  </si>
  <si>
    <t>Quarterly Billing (SRIT to RailTel)</t>
  </si>
  <si>
    <t>Taxes</t>
  </si>
  <si>
    <t>Invoice</t>
  </si>
  <si>
    <t>Base VM of 04 vCPU 04 GB RAM 120 GB Storage</t>
  </si>
  <si>
    <t>Base VM of 08 vCPU 08 GB RAM 240 GB Storage</t>
  </si>
  <si>
    <t>Per Additional Storage in blocks of 50 GB each over Base VM</t>
  </si>
  <si>
    <t>Anti-Virus for Virtual Servers</t>
  </si>
  <si>
    <t>Application Server 8vCPU 64 GB RAM 100 GB WIN</t>
  </si>
  <si>
    <t>Application server 4vCPU 16 GB RAM 100 GB</t>
  </si>
  <si>
    <t>DB Server 8vCPU 64 GB RAM 1000 GB</t>
  </si>
  <si>
    <t>Prashant Hartron</t>
  </si>
  <si>
    <t>Internet Bandwidth (250 Mbps)</t>
  </si>
  <si>
    <t xml:space="preserve">Web /Application Server </t>
  </si>
  <si>
    <t>RAM(GB)</t>
  </si>
  <si>
    <t>Storage(GB)</t>
  </si>
  <si>
    <t>Unit Monthly</t>
  </si>
  <si>
    <t xml:space="preserve">Total &lt;onhtly </t>
  </si>
  <si>
    <t>Total ARC</t>
  </si>
  <si>
    <t xml:space="preserve">Total monhtly </t>
  </si>
  <si>
    <t>Antivirus(WIN)</t>
  </si>
  <si>
    <t>OS Management(RHEL/WIN)</t>
  </si>
  <si>
    <t>MS-SSQL Licenses Standard</t>
  </si>
  <si>
    <t>DB Management</t>
  </si>
  <si>
    <t>Total ( A +B)</t>
  </si>
  <si>
    <t>Bandwidth Charges (250 Mbps)</t>
  </si>
  <si>
    <t>A</t>
  </si>
  <si>
    <t>Infrasturcture Services</t>
  </si>
  <si>
    <t>B</t>
  </si>
  <si>
    <t>Total( A + B)</t>
  </si>
  <si>
    <t>Final  Costing including Taxes</t>
  </si>
  <si>
    <t>C</t>
  </si>
  <si>
    <t>Net Amount( A + B)</t>
  </si>
  <si>
    <t>DMS Server</t>
  </si>
  <si>
    <t>Table of Contents</t>
  </si>
  <si>
    <t>Additional Storage (10 TB) (Object Storage) 499@50GB</t>
  </si>
  <si>
    <t>OS Management</t>
  </si>
  <si>
    <t>Type of Service</t>
  </si>
  <si>
    <t>IAAS</t>
  </si>
  <si>
    <t>Base VM of 08 vCPU 08 GBRAM 240 GB Storage</t>
  </si>
  <si>
    <t>Base VM of 16 vCPU 16 GBRAM 480 GB Storage</t>
  </si>
  <si>
    <t>Base VM of 06 vCPU 06 GBRAM 180 GB Storage</t>
  </si>
  <si>
    <t xml:space="preserve">Normal Machine </t>
  </si>
  <si>
    <t>Unit Monthly(INR)</t>
  </si>
  <si>
    <t>Fault Tolerance</t>
  </si>
  <si>
    <t>01 vCPU</t>
  </si>
  <si>
    <t>01 GB RAM</t>
  </si>
  <si>
    <t>Storage Minimum blocks of 50 GB each (SATA)</t>
  </si>
  <si>
    <t>IAAS-Spares</t>
  </si>
  <si>
    <t xml:space="preserve">Additional Network Segment </t>
  </si>
  <si>
    <t xml:space="preserve">Additonal LIVe IP </t>
  </si>
  <si>
    <t>NA</t>
  </si>
  <si>
    <t>IAAS-Network</t>
  </si>
  <si>
    <t>Dedicated CPU Intel x Architecture (per CPU Core)</t>
  </si>
  <si>
    <t>RAM (per GB)</t>
  </si>
  <si>
    <t>Server storage - SAS (per 100 GB)</t>
  </si>
  <si>
    <t>Server storage - SSD (per 100 GB)</t>
  </si>
  <si>
    <t>HIGH IOPS Machines</t>
  </si>
  <si>
    <t>Railtel Rev Share(%)</t>
  </si>
  <si>
    <t>Max Discount(%)</t>
  </si>
  <si>
    <t>Antivirus (per VM)</t>
  </si>
  <si>
    <t>OS Managemnt(Unbuntu/Centos) per VM</t>
  </si>
  <si>
    <t>Enterprise Backup (Files/Folders/DB) per VM</t>
  </si>
  <si>
    <t>Backup Management per VM</t>
  </si>
  <si>
    <t>Database Management per VM</t>
  </si>
  <si>
    <t>Mgmt Services</t>
  </si>
  <si>
    <t>VPS Host Services per VM</t>
  </si>
  <si>
    <t>VPS Memory and Host Protection per VM</t>
  </si>
  <si>
    <t>VPS Enterprise Protection services per VM</t>
  </si>
  <si>
    <t>Security Services</t>
  </si>
  <si>
    <t>Big Data Application Service(per 8 vCPU 16 GB RAM 1 TB)</t>
  </si>
  <si>
    <t>Elastic Search Software Service (per 4 vCPU 16 GB RAM 500 GB Storage)</t>
  </si>
  <si>
    <t>Docker Cluster services  4vCPU/8GB/100GB</t>
  </si>
  <si>
    <t>Perconna Cluster Services 4vCPU/8GB/100GB</t>
  </si>
  <si>
    <t>REDIS Cluster Service  2vCPU/4GB/50GB</t>
  </si>
  <si>
    <t>NodeJS Cluster Service  2vCPU/4GB/50GB</t>
  </si>
  <si>
    <t>Cassandra Cluster Service  8vCPU/16GB/500GB</t>
  </si>
  <si>
    <t>PAAS</t>
  </si>
  <si>
    <t>Remote Replication Services(Host Replication/VM)</t>
  </si>
  <si>
    <t>Remote Replication Services(Block Level Replication/10GB)</t>
  </si>
  <si>
    <t>E-Office 2</t>
  </si>
  <si>
    <t>*</t>
  </si>
  <si>
    <t xml:space="preserve">This value is the project value excluding GST </t>
  </si>
  <si>
    <t>PO from Hartron</t>
  </si>
  <si>
    <t>Value(Lakhs)*</t>
  </si>
  <si>
    <t>Total Payout</t>
  </si>
  <si>
    <t>20x4</t>
  </si>
  <si>
    <t>Water Supply</t>
  </si>
  <si>
    <t>Post Payment at each Quarer</t>
  </si>
  <si>
    <t>10x3</t>
  </si>
  <si>
    <t>Health Solution</t>
  </si>
  <si>
    <t>20,10</t>
  </si>
  <si>
    <t>Cyber security</t>
  </si>
  <si>
    <t>10,10</t>
  </si>
  <si>
    <t>election Mnrega etc</t>
  </si>
  <si>
    <t>above 50 Cr</t>
  </si>
  <si>
    <t>Data server 16vCPU(8 cores) 64 GB RAM 512 GB</t>
  </si>
  <si>
    <t>Application Server16vCPU(8 cores) 64 GB RAM 256 GB</t>
  </si>
  <si>
    <t>Hartron</t>
  </si>
  <si>
    <t>Backup Server 16vCPU(8 cores) 32 GB RAM 256 GB</t>
  </si>
  <si>
    <t>Dachboard Server 16vCPU(8 cores) 32 GB RAM 256 GB</t>
  </si>
  <si>
    <t>Dedicated 100 Mbps bandwidth</t>
  </si>
  <si>
    <t>Windows OS 2012 Standard License cost (per vCPU)</t>
  </si>
  <si>
    <t>Bandwidth Cost (10* 100 Mbpbs)</t>
  </si>
  <si>
    <t>Web server 8vCPU 32 GB RAM 512 GB</t>
  </si>
  <si>
    <t>Application Server 8vCPU 64 GB RAM 512 GB</t>
  </si>
  <si>
    <t>DB Server 16vCPU 64 GB RAM 2 TB</t>
  </si>
  <si>
    <t>Scruitiby Engine 4vCPU 16 GB RAM 512 GB</t>
  </si>
  <si>
    <t>Discount(30%)</t>
  </si>
  <si>
    <t>Bandwidth Cost (50Mbpbs)</t>
  </si>
  <si>
    <t>MS SQL server License</t>
  </si>
  <si>
    <t>Webserver</t>
  </si>
  <si>
    <t>DB Server</t>
  </si>
  <si>
    <t xml:space="preserve">P02502-B21
HPE DL380 Gen10 Intel 2xXeon-Gold 6230 (2.1GHz/Dual core/125W/32GB/280x3 GB SSD) LAN 10Gx4 </t>
  </si>
  <si>
    <t>P02502-B21
HPE DL380 Gen10 Intel Xeon-Gold 6230 (2.1GHz/Quad core/125W/64GB/280x3 GB SSD)  LAN 10 G x 4</t>
  </si>
  <si>
    <t xml:space="preserve">SAN Storage </t>
  </si>
  <si>
    <t xml:space="preserve">NetAPP AFF-A320 20 TB NVME Usable  </t>
  </si>
  <si>
    <t>SAN Switches</t>
  </si>
  <si>
    <t>32 GB x 24 Port</t>
  </si>
  <si>
    <t>P02502-B21
HPE DL380 Gen10 Intel 2xXeon-Gold 6230 (2.1GHz/Quad core/125W/128GB/480x3 GB SSD)  32 GB x 2 HBA CARD</t>
  </si>
  <si>
    <t>FG-200 DL</t>
  </si>
  <si>
    <t>Hardware plus 3 Year 8x5 FortiCare and FortiGuard Unified (UTM) Protection</t>
  </si>
  <si>
    <t>Yearly Support Team</t>
  </si>
  <si>
    <t>Network Administrator</t>
  </si>
  <si>
    <t>Database Administrator</t>
  </si>
  <si>
    <t>Yearly cost</t>
  </si>
  <si>
    <t>Windows Server License</t>
  </si>
  <si>
    <t>Support persons</t>
  </si>
  <si>
    <t>S.NO</t>
  </si>
  <si>
    <t>Items</t>
  </si>
  <si>
    <t>Unit Cost</t>
  </si>
  <si>
    <t>Total Cost</t>
  </si>
  <si>
    <t>Enterpise SQL Licenses per 2 Core</t>
  </si>
  <si>
    <t>Dedicated 10 Mbps bandwidth</t>
  </si>
  <si>
    <t>1080Px</t>
  </si>
  <si>
    <t>1 Feed</t>
  </si>
  <si>
    <t xml:space="preserve">Core </t>
  </si>
  <si>
    <t>250MB -- 15 min</t>
  </si>
  <si>
    <t>1.5 Mbps/sec</t>
  </si>
  <si>
    <t>AD server 4vCPU 8 GB RAM 300 GB</t>
  </si>
  <si>
    <t>Test Server 8vCPU 32 GB RAM 500 GB</t>
  </si>
  <si>
    <t>GMDA City Bus Service</t>
  </si>
  <si>
    <t>Unit Price</t>
  </si>
  <si>
    <t>GST%</t>
  </si>
  <si>
    <t>GST  Amount</t>
  </si>
  <si>
    <t>Grand Total</t>
  </si>
  <si>
    <t>Delivery :- Within 2-3 weeks after your confirmation.</t>
  </si>
  <si>
    <t>Quote Validity :- 7 Days.</t>
  </si>
  <si>
    <t>PowerEdge R440 Server- 2*Intel Xeon Silver 4208 2.1G, 8C/16T, 9.6GT/s, 11M Cache, Turbo, HT (85W) DDR4-2400/2*32GB LRDIMM, 2666MT/s, Quad Rank/3*1TB 7.2K RPM SATA 6Gbps 512n 2.5in Hot/ 03 Yrs. Warranty</t>
  </si>
  <si>
    <t>PowerEdge R760 Server- 2*Intel Xeon Silver 4208 2.1G, 8C/16T, 9.6GT/s, 11M Cache, Turbo, HT (85W) DDR4-2400/2*32GB LRDIMM, 2666MT/s, Quad Rank/3*1TB 7.2K RPM SATA 6Gbps 512n 2.5in Hotplug/03 Yrs. Warranty</t>
  </si>
  <si>
    <t>Windows OS 2016 Standard License cost (per vCPU)</t>
  </si>
  <si>
    <t>GMDA GIS</t>
  </si>
  <si>
    <t>GMDA IT Infra</t>
  </si>
  <si>
    <t xml:space="preserve">SAN storage (per 50 GB) </t>
  </si>
  <si>
    <t xml:space="preserve">SANr storage (per 50 GB) </t>
  </si>
  <si>
    <t>Discount (30%)</t>
  </si>
  <si>
    <t>Application Server64vCPU 256GB RAM 512 GB</t>
  </si>
  <si>
    <t>DB Server 48vCPU 512 GB RAM 50 TB</t>
  </si>
  <si>
    <t>Revenue DC</t>
  </si>
  <si>
    <t>RHEL6.7 server 8vCPU 64 GB RAM 250 GB</t>
  </si>
  <si>
    <t>Windows Server 8vCPU 64 GB RAM 250 GB</t>
  </si>
  <si>
    <t>DB Server 8vCPU 64 GB RAM 2.5 TB</t>
  </si>
  <si>
    <t xml:space="preserve">VM Backup Management </t>
  </si>
  <si>
    <t>Discount @ 30%</t>
  </si>
  <si>
    <t>TOTAL(A+B)</t>
  </si>
  <si>
    <t>Total Amount</t>
  </si>
  <si>
    <t>Windows App server 16vCPU 256GB RAM 500GB Storage</t>
  </si>
  <si>
    <t>Windows App server 16vCPU 256GB RAM 12TB Storage</t>
  </si>
  <si>
    <t>Windows App server 16vCPU 96GB RAM 200 GB Storage</t>
  </si>
  <si>
    <t>Windows App server 16vCPU 64GB RAM 200 GB Storage</t>
  </si>
  <si>
    <t>Object Storage (1 TB)</t>
  </si>
  <si>
    <t>Windows App server 8vCPU 64GB RAM 200 GB Storage</t>
  </si>
  <si>
    <t>Windows App server 8vCPU 32GB RAM 200 GB Storage</t>
  </si>
  <si>
    <t>GMDA GIS 41 Machines</t>
  </si>
  <si>
    <t>ULB</t>
  </si>
  <si>
    <t>AD server 4vCPU 16 GB RAM 200 GB</t>
  </si>
  <si>
    <t>DB Server 64vCPU 256 GB RAM 2 TB</t>
  </si>
  <si>
    <t>App 16vCPU 32 GB RAM 200GB</t>
  </si>
  <si>
    <t>Storage Requirement(TB)</t>
  </si>
  <si>
    <t>Backup requirement</t>
  </si>
  <si>
    <t>500 TB</t>
  </si>
  <si>
    <t>App 8vCPU  32 GB RAM 200 GB</t>
  </si>
  <si>
    <t>DSC SMTP VPN CESS 4vCPU  8 GB RAM 150 GB</t>
  </si>
  <si>
    <t>DB,Storage,Slave Server 32vCPU 64 GB RAM 1 TB</t>
  </si>
  <si>
    <t>Local app DB  8vCPU  32 GB RAM 500 GB</t>
  </si>
  <si>
    <t>Discount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</si>
</sst>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_);_(* \(#,##0\);_(* &quot;-&quot;_);_(@_)"/>
    <numFmt numFmtId="165" formatCode="_ * #,##0_ ;_ * \-#,##0_ ;_ * &quot;-&quot;??_ ;_ @_ "/>
    <numFmt numFmtId="166" formatCode="0.0"/>
    <numFmt numFmtId="167" formatCode="0_);\(0\)"/>
  </numFmts>
  <fonts count="9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1.5"/>
      <color theme="1"/>
      <name val="Times New Roman"/>
      <family val="1"/>
    </font>
    <font>
      <sz val="5.5"/>
      <color theme="1"/>
      <name val="Times New Roman"/>
      <family val="1"/>
    </font>
    <font>
      <sz val="12"/>
      <color theme="1"/>
      <name val="Times New Roman"/>
      <family val="1"/>
    </font>
    <font>
      <vertAlign val="superscript"/>
      <sz val="13.5"/>
      <color theme="1"/>
      <name val="Calibri"/>
      <family val="2"/>
      <scheme val="minor"/>
    </font>
    <font>
      <sz val="9.5"/>
      <color theme="1"/>
      <name val="Times New Roman"/>
      <family val="1"/>
    </font>
    <font>
      <sz val="10"/>
      <color theme="1"/>
      <name val="Times New Roman"/>
      <family val="1"/>
    </font>
    <font>
      <sz val="12"/>
      <color rgb="FFFFFFFF"/>
      <name val="Calibri"/>
      <family val="2"/>
      <scheme val="minor"/>
    </font>
    <font>
      <sz val="1"/>
      <color theme="1"/>
      <name val="Times New Roman"/>
      <family val="1"/>
    </font>
    <font>
      <sz val="5"/>
      <color theme="1"/>
      <name val="Times New Roman"/>
      <family val="1"/>
    </font>
    <font>
      <sz val="10.5"/>
      <color theme="1"/>
      <name val="Times New Roman"/>
      <family val="1"/>
    </font>
    <font>
      <sz val="11"/>
      <color theme="1"/>
      <name val="Times New Roman"/>
      <family val="1"/>
    </font>
    <font>
      <sz val="10"/>
      <color rgb="FF000000"/>
      <name val="Calibri"/>
      <family val="2"/>
      <scheme val="minor"/>
    </font>
    <font>
      <sz val="2"/>
      <color theme="1"/>
      <name val="Times New Roman"/>
      <family val="1"/>
    </font>
    <font>
      <b/>
      <sz val="10"/>
      <color theme="1"/>
      <name val="Calibri Light"/>
      <family val="2"/>
    </font>
    <font>
      <b/>
      <sz val="10.5"/>
      <color theme="1"/>
      <name val="Calibri Light"/>
      <family val="2"/>
    </font>
    <font>
      <b/>
      <sz val="10"/>
      <name val="Arial"/>
      <family val="2"/>
    </font>
    <font>
      <b/>
      <sz val="10"/>
      <color rgb="FF3E3E48"/>
      <name val="Arial"/>
      <family val="2"/>
    </font>
    <font>
      <b/>
      <sz val="10"/>
      <color rgb="FF3E3C48"/>
      <name val="Arial"/>
      <family val="2"/>
    </font>
    <font>
      <b/>
      <sz val="8"/>
      <name val="Arial"/>
      <family val="2"/>
    </font>
    <font>
      <b/>
      <sz val="8"/>
      <color rgb="FF2E2E34"/>
      <name val="Arial"/>
      <family val="2"/>
    </font>
    <font>
      <b/>
      <sz val="8"/>
      <color rgb="FF343442"/>
      <name val="Arial"/>
      <family val="2"/>
    </font>
    <font>
      <sz val="8"/>
      <color rgb="FF000000"/>
      <name val="Times New Roman"/>
      <family val="1"/>
    </font>
    <font>
      <b/>
      <sz val="8"/>
      <color rgb="FF383842"/>
      <name val="Arial"/>
      <family val="2"/>
    </font>
    <font>
      <b/>
      <sz val="8"/>
      <color rgb="FF3E3E48"/>
      <name val="Arial"/>
      <family val="2"/>
    </font>
    <font>
      <b/>
      <sz val="8"/>
      <color rgb="FF363641"/>
      <name val="Arial"/>
      <family val="2"/>
    </font>
    <font>
      <b/>
      <sz val="8"/>
      <color rgb="FF47474F"/>
      <name val="Arial"/>
      <family val="2"/>
    </font>
    <font>
      <b/>
      <sz val="8"/>
      <color rgb="FF23252A"/>
      <name val="Arial"/>
      <family val="2"/>
    </font>
    <font>
      <b/>
      <sz val="8"/>
      <color rgb="FF34343A"/>
      <name val="Arial"/>
      <family val="2"/>
    </font>
    <font>
      <b/>
      <sz val="8"/>
      <color rgb="FF25232A"/>
      <name val="Arial"/>
      <family val="2"/>
    </font>
    <font>
      <b/>
      <sz val="8"/>
      <color rgb="FF222228"/>
      <name val="Arial"/>
      <family val="2"/>
    </font>
    <font>
      <b/>
      <sz val="8"/>
      <color rgb="FF07080C"/>
      <name val="Arial"/>
      <family val="2"/>
    </font>
    <font>
      <b/>
      <sz val="8"/>
      <color rgb="FF282A2C"/>
      <name val="Arial"/>
      <family val="2"/>
    </font>
    <font>
      <b/>
      <sz val="8"/>
      <color rgb="FF384248"/>
      <name val="Arial"/>
      <family val="2"/>
    </font>
    <font>
      <b/>
      <sz val="8"/>
      <color rgb="FF303039"/>
      <name val="Arial"/>
      <family val="2"/>
    </font>
    <font>
      <b/>
      <sz val="8"/>
      <color rgb="FFFFFFFF"/>
      <name val="Calibri"/>
      <family val="2"/>
    </font>
    <font>
      <b/>
      <sz val="8"/>
      <color rgb="FF000000"/>
      <name val="Arial"/>
      <family val="2"/>
    </font>
    <font>
      <b/>
      <sz val="8"/>
      <color rgb="FF000000"/>
      <name val="Times New Roman"/>
      <family val="1"/>
    </font>
    <font>
      <sz val="8"/>
      <color rgb="FF1F2020"/>
      <name val="Arial"/>
      <family val="2"/>
    </font>
    <font>
      <sz val="8"/>
      <color rgb="FF000000"/>
      <name val="Arial"/>
      <family val="2"/>
    </font>
    <font>
      <sz val="8"/>
      <name val="Arial"/>
      <family val="2"/>
    </font>
    <font>
      <b/>
      <sz val="8"/>
      <color rgb="FF4D4D56"/>
      <name val="Arial"/>
      <family val="2"/>
    </font>
    <font>
      <b/>
      <sz val="8"/>
      <color rgb="FF38383A"/>
      <name val="Arial"/>
      <family val="2"/>
    </font>
    <font>
      <b/>
      <sz val="8"/>
      <color rgb="FF1F2020"/>
      <name val="Arial"/>
      <family val="2"/>
    </font>
    <font>
      <b/>
      <sz val="9"/>
      <color rgb="FF000000"/>
      <name val="Arial"/>
      <family val="2"/>
    </font>
    <font>
      <b/>
      <sz val="12"/>
      <color theme="1"/>
      <name val="Calibri"/>
      <family val="2"/>
      <scheme val="minor"/>
    </font>
    <font>
      <b/>
      <sz val="10"/>
      <color rgb="FF000000"/>
      <name val="Trebuchet MS"/>
      <family val="2"/>
    </font>
    <font>
      <b/>
      <sz val="11"/>
      <color rgb="FF000000"/>
      <name val="Calibri"/>
      <family val="2"/>
      <scheme val="minor"/>
    </font>
    <font>
      <sz val="11"/>
      <color rgb="FF000000"/>
      <name val="Calibri"/>
      <family val="2"/>
      <scheme val="minor"/>
    </font>
    <font>
      <sz val="10"/>
      <color rgb="FF000000"/>
      <name val="Perpetua"/>
      <family val="1"/>
    </font>
    <font>
      <b/>
      <sz val="10.5"/>
      <color rgb="FF1F2020"/>
      <name val="Arial"/>
      <family val="2"/>
    </font>
    <font>
      <sz val="1.5"/>
      <color theme="1"/>
      <name val="Times New Roman"/>
      <family val="1"/>
    </font>
    <font>
      <b/>
      <sz val="10.5"/>
      <color theme="1"/>
      <name val="Arial"/>
      <family val="2"/>
    </font>
    <font>
      <sz val="10.5"/>
      <color rgb="FF1F2020"/>
      <name val="Arial"/>
      <family val="2"/>
    </font>
    <font>
      <b/>
      <sz val="11"/>
      <color theme="1"/>
      <name val="Times New Roman"/>
      <family val="1"/>
    </font>
    <font>
      <b/>
      <sz val="11"/>
      <color theme="0"/>
      <name val="Calibri"/>
      <family val="2"/>
      <scheme val="minor"/>
    </font>
    <font>
      <b/>
      <sz val="8"/>
      <color rgb="FF2A333A"/>
      <name val="Arial"/>
      <family val="2"/>
    </font>
    <font>
      <sz val="8"/>
      <color rgb="FF2A333A"/>
      <name val="Arial"/>
      <family val="2"/>
    </font>
    <font>
      <sz val="8"/>
      <color rgb="FF4D4D57"/>
      <name val="Arial"/>
      <family val="2"/>
    </font>
    <font>
      <b/>
      <sz val="8"/>
      <color rgb="FF36383F"/>
      <name val="Arial"/>
      <family val="2"/>
    </font>
    <font>
      <b/>
      <sz val="8"/>
      <color rgb="FF4D4D57"/>
      <name val="Arial"/>
      <family val="2"/>
    </font>
    <font>
      <b/>
      <sz val="8"/>
      <color rgb="FF38383B"/>
      <name val="Arial"/>
      <family val="2"/>
    </font>
    <font>
      <sz val="8"/>
      <color rgb="FF2F363F"/>
      <name val="Arial"/>
      <family val="2"/>
    </font>
    <font>
      <sz val="8"/>
      <color rgb="FF1F2121"/>
      <name val="Arial"/>
      <family val="2"/>
    </font>
    <font>
      <b/>
      <sz val="8"/>
      <color rgb="FF31313A"/>
      <name val="Arial"/>
      <family val="2"/>
    </font>
    <font>
      <b/>
      <sz val="8"/>
      <color rgb="FF384249"/>
      <name val="Arial"/>
      <family val="2"/>
    </font>
    <font>
      <b/>
      <sz val="10"/>
      <color rgb="FF232328"/>
      <name val="Arial"/>
      <family val="2"/>
    </font>
    <font>
      <b/>
      <sz val="10"/>
      <color rgb="FF07080C"/>
      <name val="Arial"/>
      <family val="2"/>
    </font>
    <font>
      <b/>
      <sz val="10"/>
      <color rgb="FF282A2D"/>
      <name val="Arial"/>
      <family val="2"/>
    </font>
    <font>
      <b/>
      <sz val="10"/>
      <color rgb="FF24262A"/>
      <name val="Arial"/>
      <family val="2"/>
    </font>
    <font>
      <b/>
      <sz val="10"/>
      <color rgb="FF34343B"/>
      <name val="Arial"/>
      <family val="2"/>
    </font>
    <font>
      <b/>
      <sz val="10"/>
      <color rgb="FF2F2F34"/>
      <name val="Arial"/>
      <family val="2"/>
    </font>
    <font>
      <b/>
      <sz val="10"/>
      <color rgb="FF26242A"/>
      <name val="Arial"/>
      <family val="2"/>
    </font>
    <font>
      <b/>
      <sz val="10"/>
      <color rgb="FF383842"/>
      <name val="Arial"/>
      <family val="2"/>
    </font>
    <font>
      <b/>
      <sz val="10"/>
      <color rgb="FF3F3F49"/>
      <name val="Arial"/>
      <family val="2"/>
    </font>
    <font>
      <b/>
      <sz val="10"/>
      <color rgb="FF363641"/>
      <name val="Arial"/>
      <family val="2"/>
    </font>
    <font>
      <b/>
      <sz val="10"/>
      <color rgb="FF48484F"/>
      <name val="Arial"/>
      <family val="2"/>
    </font>
    <font>
      <b/>
      <sz val="10"/>
      <color rgb="FF343442"/>
      <name val="Arial"/>
      <family val="2"/>
    </font>
    <font>
      <b/>
      <sz val="10"/>
      <color rgb="FF3F3D49"/>
      <name val="Arial"/>
      <family val="2"/>
    </font>
    <font>
      <b/>
      <sz val="11"/>
      <color theme="1"/>
      <name val="Arial"/>
      <family val="2"/>
    </font>
    <font>
      <b/>
      <sz val="15"/>
      <color theme="1"/>
      <name val="Arial"/>
      <family val="2"/>
    </font>
    <font>
      <b/>
      <sz val="10"/>
      <color theme="1"/>
      <name val="Times New Roman"/>
      <family val="1"/>
    </font>
    <font>
      <b/>
      <sz val="9"/>
      <color theme="1"/>
      <name val="Arial"/>
      <family val="2"/>
    </font>
    <font>
      <b/>
      <sz val="10"/>
      <color theme="1"/>
      <name val="Arial"/>
      <family val="2"/>
    </font>
    <font>
      <sz val="11"/>
      <color rgb="FF006100"/>
      <name val="Calibri"/>
      <family val="2"/>
      <scheme val="minor"/>
    </font>
    <font>
      <sz val="12"/>
      <color rgb="FF222222"/>
      <name val="Arial"/>
      <family val="2"/>
    </font>
    <font>
      <b/>
      <sz val="12"/>
      <color rgb="FF000000"/>
      <name val="Arial"/>
      <family val="2"/>
    </font>
    <font>
      <b/>
      <u/>
      <sz val="12"/>
      <color rgb="FF000000"/>
      <name val="Arial"/>
      <family val="2"/>
    </font>
    <font>
      <sz val="12"/>
      <color rgb="FF000000"/>
      <name val="Arial"/>
      <family val="2"/>
    </font>
    <font>
      <sz val="11"/>
      <name val="Calibri"/>
      <family val="2"/>
      <scheme val="minor"/>
    </font>
    <font>
      <sz val="9"/>
      <color rgb="FF000000"/>
      <name val="Arial"/>
      <family val="2"/>
    </font>
  </fonts>
  <fills count="14">
    <fill>
      <patternFill patternType="none"/>
    </fill>
    <fill>
      <patternFill patternType="gray125"/>
    </fill>
    <fill>
      <patternFill patternType="solid">
        <fgColor rgb="FF4472C4"/>
        <bgColor indexed="64"/>
      </patternFill>
    </fill>
    <fill>
      <patternFill patternType="solid">
        <fgColor rgb="FF000000"/>
        <bgColor indexed="64"/>
      </patternFill>
    </fill>
    <fill>
      <patternFill patternType="solid">
        <fgColor rgb="FFFFFF00"/>
      </patternFill>
    </fill>
    <fill>
      <patternFill patternType="solid">
        <fgColor rgb="FFA4A4A4"/>
      </patternFill>
    </fill>
    <fill>
      <patternFill patternType="solid">
        <fgColor rgb="FF00B050"/>
        <bgColor indexed="64"/>
      </patternFill>
    </fill>
    <fill>
      <patternFill patternType="solid">
        <fgColor theme="9" tint="0.39997558519241921"/>
        <bgColor indexed="64"/>
      </patternFill>
    </fill>
    <fill>
      <patternFill patternType="solid">
        <fgColor rgb="FFF8CFC1"/>
        <bgColor indexed="64"/>
      </patternFill>
    </fill>
    <fill>
      <patternFill patternType="solid">
        <fgColor rgb="FFA5A5A5"/>
      </patternFill>
    </fill>
    <fill>
      <patternFill patternType="solid">
        <fgColor rgb="FFFFFF00"/>
        <bgColor indexed="64"/>
      </patternFill>
    </fill>
    <fill>
      <patternFill patternType="solid">
        <fgColor rgb="FFC6EFCE"/>
      </patternFill>
    </fill>
    <fill>
      <patternFill patternType="solid">
        <fgColor rgb="FFFFFFFF"/>
        <bgColor indexed="64"/>
      </patternFill>
    </fill>
    <fill>
      <patternFill patternType="solid">
        <fgColor rgb="FFC5D9F1"/>
        <bgColor indexed="64"/>
      </patternFill>
    </fill>
  </fills>
  <borders count="94">
    <border>
      <left/>
      <right/>
      <top/>
      <bottom/>
      <diagonal/>
    </border>
    <border>
      <left style="medium">
        <color rgb="FF4472C4"/>
      </left>
      <right/>
      <top/>
      <bottom style="medium">
        <color rgb="FF4472C4"/>
      </bottom>
      <diagonal/>
    </border>
    <border>
      <left/>
      <right style="medium">
        <color rgb="FF4472C4"/>
      </right>
      <top/>
      <bottom style="medium">
        <color rgb="FF4472C4"/>
      </bottom>
      <diagonal/>
    </border>
    <border>
      <left/>
      <right/>
      <top/>
      <bottom style="medium">
        <color rgb="FF4472C4"/>
      </bottom>
      <diagonal/>
    </border>
    <border>
      <left style="medium">
        <color rgb="FF8EAADB"/>
      </left>
      <right/>
      <top/>
      <bottom/>
      <diagonal/>
    </border>
    <border>
      <left/>
      <right style="medium">
        <color rgb="FF8EAADB"/>
      </right>
      <top/>
      <bottom/>
      <diagonal/>
    </border>
    <border>
      <left style="medium">
        <color rgb="FF8EAADB"/>
      </left>
      <right/>
      <top/>
      <bottom style="medium">
        <color rgb="FF8EAADB"/>
      </bottom>
      <diagonal/>
    </border>
    <border>
      <left/>
      <right style="medium">
        <color rgb="FF8EAADB"/>
      </right>
      <top/>
      <bottom style="medium">
        <color rgb="FF8EAADB"/>
      </bottom>
      <diagonal/>
    </border>
    <border>
      <left/>
      <right/>
      <top/>
      <bottom style="medium">
        <color rgb="FF8EAADB"/>
      </bottom>
      <diagonal/>
    </border>
    <border>
      <left/>
      <right/>
      <top/>
      <bottom style="medium">
        <color rgb="FFD9D9D9"/>
      </bottom>
      <diagonal/>
    </border>
    <border>
      <left style="medium">
        <color rgb="FF8EAADB"/>
      </left>
      <right/>
      <top style="medium">
        <color rgb="FF4472C4"/>
      </top>
      <bottom/>
      <diagonal/>
    </border>
    <border>
      <left/>
      <right style="medium">
        <color rgb="FF8EAADB"/>
      </right>
      <top style="medium">
        <color rgb="FF4472C4"/>
      </top>
      <bottom/>
      <diagonal/>
    </border>
    <border>
      <left/>
      <right/>
      <top style="medium">
        <color rgb="FF4472C4"/>
      </top>
      <bottom/>
      <diagonal/>
    </border>
    <border>
      <left style="medium">
        <color rgb="FF8EAADB"/>
      </left>
      <right/>
      <top style="medium">
        <color rgb="FF8EAADB"/>
      </top>
      <bottom/>
      <diagonal/>
    </border>
    <border>
      <left/>
      <right style="medium">
        <color rgb="FF8EAADB"/>
      </right>
      <top style="medium">
        <color rgb="FF8EAADB"/>
      </top>
      <bottom/>
      <diagonal/>
    </border>
    <border>
      <left/>
      <right/>
      <top style="medium">
        <color rgb="FF8EAADB"/>
      </top>
      <bottom style="medium">
        <color indexed="64"/>
      </bottom>
      <diagonal/>
    </border>
    <border>
      <left/>
      <right/>
      <top style="medium">
        <color rgb="FF8EAADB"/>
      </top>
      <bottom/>
      <diagonal/>
    </border>
    <border>
      <left/>
      <right/>
      <top style="medium">
        <color rgb="FF8EAADB"/>
      </top>
      <bottom style="medium">
        <color rgb="FFD9D9D9"/>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3E3E3E"/>
      </left>
      <right style="thin">
        <color rgb="FF3E3E3E"/>
      </right>
      <top style="thin">
        <color rgb="FF3E3E3E"/>
      </top>
      <bottom style="thin">
        <color rgb="FF3E3E3E"/>
      </bottom>
      <diagonal/>
    </border>
    <border>
      <left style="thin">
        <color rgb="FF3E3E3E"/>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3E3E3E"/>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3E3E3E"/>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D34817"/>
      </left>
      <right style="medium">
        <color rgb="FFD34817"/>
      </right>
      <top style="medium">
        <color rgb="FFD34817"/>
      </top>
      <bottom style="thick">
        <color rgb="FFD34817"/>
      </bottom>
      <diagonal/>
    </border>
    <border>
      <left/>
      <right style="medium">
        <color rgb="FFD34817"/>
      </right>
      <top style="medium">
        <color rgb="FFD34817"/>
      </top>
      <bottom style="thick">
        <color rgb="FFD34817"/>
      </bottom>
      <diagonal/>
    </border>
    <border>
      <left style="medium">
        <color rgb="FFD34817"/>
      </left>
      <right style="medium">
        <color rgb="FFD34817"/>
      </right>
      <top/>
      <bottom style="medium">
        <color rgb="FFD34817"/>
      </bottom>
      <diagonal/>
    </border>
    <border>
      <left/>
      <right style="medium">
        <color rgb="FFD34817"/>
      </right>
      <top/>
      <bottom style="medium">
        <color rgb="FFD34817"/>
      </bottom>
      <diagonal/>
    </border>
    <border>
      <left/>
      <right/>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style="medium">
        <color indexed="64"/>
      </bottom>
      <diagonal/>
    </border>
    <border>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rgb="FF000000"/>
      </bottom>
      <diagonal/>
    </border>
    <border>
      <left style="medium">
        <color indexed="64"/>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rgb="FF3E3E3E"/>
      </right>
      <top style="thin">
        <color rgb="FF3E3E3E"/>
      </top>
      <bottom style="thin">
        <color rgb="FF3E3E3E"/>
      </bottom>
      <diagonal/>
    </border>
    <border>
      <left/>
      <right style="thin">
        <color rgb="FF000000"/>
      </right>
      <top style="thin">
        <color rgb="FF3E3E3E"/>
      </top>
      <bottom style="thin">
        <color rgb="FF000000"/>
      </bottom>
      <diagonal/>
    </border>
    <border>
      <left/>
      <right style="thin">
        <color rgb="FF000000"/>
      </right>
      <top style="thin">
        <color rgb="FF000000"/>
      </top>
      <bottom style="thin">
        <color rgb="FF3E3E3E"/>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43" fontId="3" fillId="0" borderId="0" applyFont="0" applyFill="0" applyBorder="0" applyAlignment="0" applyProtection="0"/>
    <xf numFmtId="0" fontId="59" fillId="9" borderId="62" applyNumberFormat="0" applyAlignment="0" applyProtection="0"/>
    <xf numFmtId="43" fontId="3" fillId="0" borderId="0" applyFont="0" applyFill="0" applyBorder="0" applyAlignment="0" applyProtection="0"/>
    <xf numFmtId="0" fontId="88" fillId="11" borderId="0" applyNumberFormat="0" applyBorder="0" applyAlignment="0" applyProtection="0"/>
  </cellStyleXfs>
  <cellXfs count="509">
    <xf numFmtId="0" fontId="0" fillId="0" borderId="0" xfId="0"/>
    <xf numFmtId="0" fontId="1" fillId="0" borderId="0" xfId="0" applyFont="1"/>
    <xf numFmtId="0" fontId="7" fillId="2" borderId="3" xfId="0" applyFont="1" applyFill="1" applyBorder="1" applyAlignment="1">
      <alignment vertical="center" wrapText="1"/>
    </xf>
    <xf numFmtId="0" fontId="1" fillId="0" borderId="0" xfId="0" applyFont="1" applyAlignment="1">
      <alignment vertical="center" wrapText="1"/>
    </xf>
    <xf numFmtId="0" fontId="10" fillId="0" borderId="0" xfId="0" applyFont="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7" fillId="0" borderId="4" xfId="0" applyFont="1" applyBorder="1" applyAlignment="1">
      <alignment vertical="center" wrapText="1"/>
    </xf>
    <xf numFmtId="0" fontId="5" fillId="0" borderId="0" xfId="0" applyFont="1" applyAlignment="1">
      <alignment vertical="center" wrapText="1"/>
    </xf>
    <xf numFmtId="0" fontId="5" fillId="0" borderId="4" xfId="0" applyFont="1" applyBorder="1" applyAlignment="1">
      <alignment vertical="center" wrapText="1"/>
    </xf>
    <xf numFmtId="0" fontId="13" fillId="0" borderId="6"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9" fillId="0" borderId="0" xfId="0" applyFont="1" applyAlignment="1">
      <alignment vertical="center" wrapText="1"/>
    </xf>
    <xf numFmtId="0" fontId="9" fillId="0" borderId="5" xfId="0" applyFont="1" applyBorder="1" applyAlignment="1">
      <alignment vertical="center" wrapText="1"/>
    </xf>
    <xf numFmtId="0" fontId="7" fillId="0" borderId="5" xfId="0" applyFont="1" applyBorder="1" applyAlignment="1">
      <alignment vertical="center" wrapText="1"/>
    </xf>
    <xf numFmtId="0" fontId="5" fillId="0" borderId="5"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vertical="center" wrapText="1"/>
    </xf>
    <xf numFmtId="0" fontId="14" fillId="0" borderId="0" xfId="0" applyFont="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15" fillId="0" borderId="0" xfId="0" applyFont="1" applyAlignment="1">
      <alignment vertical="center" wrapText="1"/>
    </xf>
    <xf numFmtId="0" fontId="9" fillId="0" borderId="4" xfId="0" applyFont="1" applyBorder="1" applyAlignment="1">
      <alignment vertical="center" wrapText="1"/>
    </xf>
    <xf numFmtId="0" fontId="1" fillId="0" borderId="0" xfId="0" applyFont="1" applyAlignment="1">
      <alignment horizontal="left" vertical="center" wrapText="1" indent="1"/>
    </xf>
    <xf numFmtId="0" fontId="17" fillId="0" borderId="0" xfId="0" applyFont="1" applyAlignment="1">
      <alignment vertical="center" wrapText="1"/>
    </xf>
    <xf numFmtId="0" fontId="17" fillId="0" borderId="9" xfId="0" applyFont="1" applyBorder="1" applyAlignment="1">
      <alignment vertical="center" wrapText="1"/>
    </xf>
    <xf numFmtId="0" fontId="18" fillId="0" borderId="18" xfId="0" applyFont="1" applyBorder="1" applyAlignment="1">
      <alignment horizontal="center" vertical="center" wrapText="1"/>
    </xf>
    <xf numFmtId="0" fontId="18" fillId="0" borderId="19" xfId="0" applyFont="1" applyBorder="1" applyAlignment="1">
      <alignment vertical="center" wrapText="1"/>
    </xf>
    <xf numFmtId="0" fontId="18" fillId="0" borderId="20" xfId="0" applyFont="1" applyBorder="1" applyAlignment="1">
      <alignment vertical="center" wrapText="1"/>
    </xf>
    <xf numFmtId="0" fontId="19" fillId="0" borderId="21" xfId="0" applyFont="1" applyBorder="1" applyAlignment="1">
      <alignment horizontal="center" vertical="center" wrapText="1"/>
    </xf>
    <xf numFmtId="0" fontId="14" fillId="0" borderId="21" xfId="0" applyFont="1" applyBorder="1" applyAlignment="1">
      <alignment vertical="center" wrapText="1"/>
    </xf>
    <xf numFmtId="3" fontId="19" fillId="0" borderId="21" xfId="0" applyNumberFormat="1" applyFont="1" applyBorder="1" applyAlignment="1">
      <alignment horizontal="center" vertical="center" wrapText="1"/>
    </xf>
    <xf numFmtId="9" fontId="19" fillId="0" borderId="21" xfId="0" applyNumberFormat="1" applyFont="1" applyBorder="1" applyAlignment="1">
      <alignment horizontal="center" vertical="center" wrapText="1"/>
    </xf>
    <xf numFmtId="43" fontId="19" fillId="0" borderId="21" xfId="1" applyFont="1" applyBorder="1" applyAlignment="1">
      <alignment horizontal="center" vertical="center" wrapText="1"/>
    </xf>
    <xf numFmtId="43" fontId="0" fillId="0" borderId="0" xfId="0" applyNumberFormat="1"/>
    <xf numFmtId="1" fontId="0" fillId="0" borderId="0" xfId="0" applyNumberFormat="1"/>
    <xf numFmtId="43" fontId="0" fillId="0" borderId="0" xfId="1" applyFont="1"/>
    <xf numFmtId="3" fontId="0" fillId="0" borderId="0" xfId="0" applyNumberFormat="1"/>
    <xf numFmtId="0" fontId="0" fillId="0" borderId="21" xfId="0" applyBorder="1"/>
    <xf numFmtId="0" fontId="1" fillId="0" borderId="21" xfId="0" applyFont="1" applyBorder="1"/>
    <xf numFmtId="165" fontId="0" fillId="0" borderId="21" xfId="0" applyNumberFormat="1" applyBorder="1"/>
    <xf numFmtId="43" fontId="0" fillId="0" borderId="26" xfId="1" applyFont="1" applyBorder="1"/>
    <xf numFmtId="0" fontId="0" fillId="0" borderId="26" xfId="0" applyBorder="1"/>
    <xf numFmtId="0" fontId="0" fillId="0" borderId="28" xfId="0" applyBorder="1"/>
    <xf numFmtId="43" fontId="1" fillId="0" borderId="29" xfId="0" applyNumberFormat="1" applyFont="1" applyBorder="1"/>
    <xf numFmtId="0" fontId="0" fillId="0" borderId="31" xfId="0" applyBorder="1"/>
    <xf numFmtId="0" fontId="0" fillId="0" borderId="32" xfId="0" applyBorder="1"/>
    <xf numFmtId="0" fontId="0" fillId="0" borderId="23" xfId="0" applyBorder="1"/>
    <xf numFmtId="43" fontId="1" fillId="0" borderId="24" xfId="0" applyNumberFormat="1" applyFont="1" applyBorder="1"/>
    <xf numFmtId="0" fontId="0" fillId="0" borderId="34" xfId="0" applyBorder="1"/>
    <xf numFmtId="43" fontId="0" fillId="0" borderId="35" xfId="1" applyFont="1" applyBorder="1"/>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0" xfId="0" applyAlignment="1">
      <alignment horizontal="center"/>
    </xf>
    <xf numFmtId="0" fontId="0" fillId="0" borderId="33" xfId="0" applyBorder="1" applyAlignment="1">
      <alignment horizontal="center"/>
    </xf>
    <xf numFmtId="0" fontId="0" fillId="0" borderId="25" xfId="0" applyBorder="1" applyAlignment="1">
      <alignment horizontal="center"/>
    </xf>
    <xf numFmtId="0" fontId="0" fillId="0" borderId="30"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0" fillId="0" borderId="39" xfId="0" applyFont="1" applyBorder="1" applyAlignment="1">
      <alignment horizontal="center" vertical="top" wrapText="1"/>
    </xf>
    <xf numFmtId="0" fontId="23" fillId="0" borderId="39" xfId="0" applyFont="1" applyBorder="1" applyAlignment="1">
      <alignment horizontal="center" vertical="top" wrapText="1"/>
    </xf>
    <xf numFmtId="0" fontId="26" fillId="0" borderId="39" xfId="0" applyFont="1" applyBorder="1" applyAlignment="1">
      <alignment horizontal="center" vertical="top" wrapText="1"/>
    </xf>
    <xf numFmtId="0" fontId="23" fillId="0" borderId="39" xfId="0" applyFont="1" applyBorder="1" applyAlignment="1">
      <alignment horizontal="left" vertical="top" wrapText="1"/>
    </xf>
    <xf numFmtId="0" fontId="39" fillId="5" borderId="44" xfId="0" applyFont="1" applyFill="1" applyBorder="1" applyAlignment="1">
      <alignment horizontal="left" vertical="top" wrapText="1"/>
    </xf>
    <xf numFmtId="1" fontId="40" fillId="0" borderId="45" xfId="0" applyNumberFormat="1" applyFont="1" applyBorder="1" applyAlignment="1">
      <alignment horizontal="center" vertical="top" wrapText="1" shrinkToFit="1"/>
    </xf>
    <xf numFmtId="0" fontId="26" fillId="0" borderId="39" xfId="0" applyFont="1" applyBorder="1" applyAlignment="1">
      <alignment wrapText="1"/>
    </xf>
    <xf numFmtId="166" fontId="41" fillId="0" borderId="39" xfId="0" applyNumberFormat="1" applyFont="1" applyBorder="1" applyAlignment="1">
      <alignment wrapText="1"/>
    </xf>
    <xf numFmtId="0" fontId="42" fillId="0" borderId="47" xfId="0" applyFont="1" applyBorder="1" applyAlignment="1">
      <alignment horizontal="left" vertical="top" wrapText="1"/>
    </xf>
    <xf numFmtId="1" fontId="43" fillId="0" borderId="39" xfId="0" applyNumberFormat="1" applyFont="1" applyBorder="1" applyAlignment="1">
      <alignment horizontal="center" vertical="top" wrapText="1" shrinkToFit="1"/>
    </xf>
    <xf numFmtId="166" fontId="43" fillId="0" borderId="39" xfId="0" applyNumberFormat="1" applyFont="1" applyBorder="1" applyAlignment="1">
      <alignment wrapText="1" shrinkToFit="1"/>
    </xf>
    <xf numFmtId="0" fontId="44" fillId="0" borderId="39" xfId="0" applyFont="1" applyBorder="1" applyAlignment="1">
      <alignment horizontal="left" vertical="top" wrapText="1"/>
    </xf>
    <xf numFmtId="2" fontId="43" fillId="0" borderId="39" xfId="0" applyNumberFormat="1" applyFont="1" applyBorder="1" applyAlignment="1">
      <alignment wrapText="1" shrinkToFit="1"/>
    </xf>
    <xf numFmtId="0" fontId="42" fillId="0" borderId="49" xfId="0" applyFont="1" applyBorder="1" applyAlignment="1">
      <alignment horizontal="left" vertical="top" wrapText="1"/>
    </xf>
    <xf numFmtId="1" fontId="43" fillId="0" borderId="39" xfId="0" applyNumberFormat="1" applyFont="1" applyBorder="1" applyAlignment="1">
      <alignment wrapText="1" shrinkToFit="1"/>
    </xf>
    <xf numFmtId="1" fontId="43" fillId="0" borderId="45" xfId="0" applyNumberFormat="1" applyFont="1" applyBorder="1" applyAlignment="1">
      <alignment horizontal="center" vertical="top" wrapText="1" shrinkToFit="1"/>
    </xf>
    <xf numFmtId="1" fontId="45" fillId="0" borderId="46" xfId="0" applyNumberFormat="1" applyFont="1" applyBorder="1" applyAlignment="1">
      <alignment horizontal="center" vertical="center" wrapText="1" shrinkToFit="1"/>
    </xf>
    <xf numFmtId="0" fontId="44" fillId="0" borderId="43" xfId="0" applyFont="1" applyBorder="1" applyAlignment="1">
      <alignment horizontal="left" vertical="top" wrapText="1"/>
    </xf>
    <xf numFmtId="1" fontId="45" fillId="0" borderId="43" xfId="0" applyNumberFormat="1" applyFont="1" applyBorder="1" applyAlignment="1">
      <alignment horizontal="center" vertical="top" wrapText="1" shrinkToFit="1"/>
    </xf>
    <xf numFmtId="0" fontId="42" fillId="0" borderId="39" xfId="0" applyFont="1" applyBorder="1" applyAlignment="1">
      <alignment horizontal="left" vertical="top" wrapText="1"/>
    </xf>
    <xf numFmtId="1" fontId="43" fillId="0" borderId="40" xfId="0" applyNumberFormat="1" applyFont="1" applyBorder="1" applyAlignment="1">
      <alignment wrapText="1" shrinkToFit="1"/>
    </xf>
    <xf numFmtId="1" fontId="46" fillId="0" borderId="39" xfId="0" applyNumberFormat="1" applyFont="1" applyBorder="1" applyAlignment="1">
      <alignment horizontal="center" vertical="top" wrapText="1" shrinkToFit="1"/>
    </xf>
    <xf numFmtId="0" fontId="26" fillId="0" borderId="39" xfId="0" applyFont="1" applyBorder="1" applyAlignment="1">
      <alignment horizontal="left" wrapText="1"/>
    </xf>
    <xf numFmtId="1" fontId="45" fillId="0" borderId="48" xfId="0" applyNumberFormat="1" applyFont="1" applyBorder="1" applyAlignment="1">
      <alignment horizontal="center" vertical="center" wrapText="1" shrinkToFit="1"/>
    </xf>
    <xf numFmtId="0" fontId="42" fillId="0" borderId="43" xfId="0" applyFont="1" applyBorder="1" applyAlignment="1">
      <alignment horizontal="left" vertical="top" wrapText="1"/>
    </xf>
    <xf numFmtId="0" fontId="47" fillId="0" borderId="43" xfId="0" applyFont="1" applyBorder="1" applyAlignment="1">
      <alignment horizontal="left" vertical="top" wrapText="1"/>
    </xf>
    <xf numFmtId="164" fontId="0" fillId="0" borderId="0" xfId="0" applyNumberFormat="1"/>
    <xf numFmtId="164" fontId="48" fillId="0" borderId="39" xfId="1" applyNumberFormat="1" applyFont="1" applyFill="1" applyBorder="1" applyAlignment="1">
      <alignment horizontal="center" vertical="top" wrapText="1" shrinkToFit="1"/>
    </xf>
    <xf numFmtId="0" fontId="41" fillId="0" borderId="39" xfId="0" applyFont="1" applyBorder="1" applyAlignment="1">
      <alignment horizontal="left" wrapText="1"/>
    </xf>
    <xf numFmtId="167" fontId="49" fillId="6" borderId="21" xfId="1" applyNumberFormat="1" applyFont="1" applyFill="1" applyBorder="1" applyAlignment="1">
      <alignment vertical="top" wrapText="1"/>
    </xf>
    <xf numFmtId="165" fontId="1" fillId="7" borderId="26" xfId="1" applyNumberFormat="1" applyFont="1" applyFill="1" applyBorder="1" applyAlignment="1">
      <alignment vertical="top"/>
    </xf>
    <xf numFmtId="167" fontId="0" fillId="0" borderId="0" xfId="0" applyNumberFormat="1"/>
    <xf numFmtId="0" fontId="50" fillId="0" borderId="50" xfId="0" applyFont="1" applyBorder="1" applyAlignment="1">
      <alignment horizontal="right" vertical="top"/>
    </xf>
    <xf numFmtId="3" fontId="0" fillId="0" borderId="26" xfId="0" applyNumberFormat="1" applyBorder="1"/>
    <xf numFmtId="3" fontId="1" fillId="0" borderId="29" xfId="0" applyNumberFormat="1" applyFont="1" applyBorder="1"/>
    <xf numFmtId="0" fontId="1" fillId="0" borderId="22" xfId="0" applyFont="1" applyBorder="1"/>
    <xf numFmtId="0" fontId="1" fillId="0" borderId="25" xfId="0" applyFont="1" applyBorder="1"/>
    <xf numFmtId="0" fontId="1" fillId="0" borderId="27" xfId="0" applyFont="1" applyBorder="1"/>
    <xf numFmtId="3" fontId="0" fillId="0" borderId="24" xfId="0" applyNumberFormat="1" applyBorder="1"/>
    <xf numFmtId="0" fontId="0" fillId="0" borderId="51" xfId="0" applyBorder="1"/>
    <xf numFmtId="0" fontId="0" fillId="0" borderId="52" xfId="0" applyBorder="1"/>
    <xf numFmtId="0" fontId="0" fillId="0" borderId="35" xfId="0" applyBorder="1"/>
    <xf numFmtId="0" fontId="0" fillId="0" borderId="29" xfId="0" applyBorder="1"/>
    <xf numFmtId="0" fontId="0" fillId="0" borderId="53" xfId="0" applyBorder="1"/>
    <xf numFmtId="0" fontId="0" fillId="0" borderId="54" xfId="0" applyBorder="1"/>
    <xf numFmtId="0" fontId="0" fillId="0" borderId="55" xfId="0" applyBorder="1"/>
    <xf numFmtId="164" fontId="0" fillId="0" borderId="24" xfId="0" applyNumberFormat="1" applyBorder="1"/>
    <xf numFmtId="164" fontId="0" fillId="0" borderId="26" xfId="0" applyNumberFormat="1" applyBorder="1"/>
    <xf numFmtId="43" fontId="0" fillId="0" borderId="26" xfId="0" applyNumberFormat="1" applyBorder="1"/>
    <xf numFmtId="43" fontId="0" fillId="0" borderId="29" xfId="0" applyNumberFormat="1" applyBorder="1"/>
    <xf numFmtId="0" fontId="1" fillId="0" borderId="56" xfId="0" applyFont="1" applyBorder="1"/>
    <xf numFmtId="0" fontId="0" fillId="0" borderId="50" xfId="0" applyBorder="1"/>
    <xf numFmtId="0" fontId="1" fillId="0" borderId="36" xfId="0" applyFont="1" applyBorder="1"/>
    <xf numFmtId="167" fontId="0" fillId="0" borderId="21" xfId="0" applyNumberFormat="1" applyBorder="1"/>
    <xf numFmtId="164" fontId="0" fillId="0" borderId="21" xfId="0" applyNumberFormat="1" applyBorder="1"/>
    <xf numFmtId="3" fontId="0" fillId="0" borderId="21" xfId="0" applyNumberFormat="1" applyBorder="1"/>
    <xf numFmtId="164" fontId="1" fillId="0" borderId="21" xfId="0" applyNumberFormat="1" applyFont="1" applyBorder="1"/>
    <xf numFmtId="0" fontId="51" fillId="0" borderId="57" xfId="0" applyFont="1" applyBorder="1" applyAlignment="1">
      <alignment horizontal="center" vertical="center"/>
    </xf>
    <xf numFmtId="0" fontId="51" fillId="0" borderId="58" xfId="0" applyFont="1" applyBorder="1" applyAlignment="1">
      <alignment horizontal="center" vertical="center"/>
    </xf>
    <xf numFmtId="0" fontId="51" fillId="8" borderId="59" xfId="0" applyFont="1" applyFill="1" applyBorder="1" applyAlignment="1">
      <alignment horizontal="center" vertical="center"/>
    </xf>
    <xf numFmtId="0" fontId="52" fillId="8" borderId="60" xfId="0" applyFont="1" applyFill="1" applyBorder="1" applyAlignment="1">
      <alignment vertical="center"/>
    </xf>
    <xf numFmtId="0" fontId="52" fillId="8" borderId="60" xfId="0" applyFont="1" applyFill="1" applyBorder="1" applyAlignment="1">
      <alignment horizontal="right" vertical="center"/>
    </xf>
    <xf numFmtId="3" fontId="52" fillId="8" borderId="60" xfId="0" applyNumberFormat="1" applyFont="1" applyFill="1" applyBorder="1" applyAlignment="1">
      <alignment horizontal="right" vertical="center"/>
    </xf>
    <xf numFmtId="0" fontId="51" fillId="0" borderId="59" xfId="0" applyFont="1" applyBorder="1" applyAlignment="1">
      <alignment horizontal="center" vertical="center"/>
    </xf>
    <xf numFmtId="0" fontId="52" fillId="0" borderId="60" xfId="0" applyFont="1" applyBorder="1" applyAlignment="1">
      <alignment vertical="center"/>
    </xf>
    <xf numFmtId="0" fontId="52" fillId="0" borderId="60" xfId="0" applyFont="1" applyBorder="1" applyAlignment="1">
      <alignment horizontal="right" vertical="center"/>
    </xf>
    <xf numFmtId="3" fontId="52" fillId="0" borderId="60" xfId="0" applyNumberFormat="1" applyFont="1" applyBorder="1" applyAlignment="1">
      <alignment horizontal="right" vertical="center"/>
    </xf>
    <xf numFmtId="0" fontId="53" fillId="0" borderId="60" xfId="0" applyFont="1" applyBorder="1" applyAlignment="1">
      <alignment vertical="center"/>
    </xf>
    <xf numFmtId="0" fontId="53" fillId="0" borderId="60" xfId="0" applyFont="1" applyBorder="1" applyAlignment="1">
      <alignment horizontal="right" vertical="center"/>
    </xf>
    <xf numFmtId="0" fontId="53" fillId="8" borderId="59" xfId="0" applyFont="1" applyFill="1" applyBorder="1" applyAlignment="1">
      <alignment vertical="center"/>
    </xf>
    <xf numFmtId="0" fontId="53" fillId="8" borderId="60" xfId="0" applyFont="1" applyFill="1" applyBorder="1" applyAlignment="1">
      <alignment vertical="center"/>
    </xf>
    <xf numFmtId="3" fontId="51" fillId="8" borderId="60" xfId="0" applyNumberFormat="1" applyFont="1" applyFill="1" applyBorder="1" applyAlignment="1">
      <alignment horizontal="right" vertical="center"/>
    </xf>
    <xf numFmtId="43" fontId="43" fillId="0" borderId="39" xfId="1" applyFont="1" applyFill="1" applyBorder="1" applyAlignment="1">
      <alignment wrapText="1" shrinkToFit="1"/>
    </xf>
    <xf numFmtId="0" fontId="54" fillId="0" borderId="0" xfId="0" applyFont="1" applyAlignment="1">
      <alignment horizontal="left" vertical="center" wrapText="1" indent="2"/>
    </xf>
    <xf numFmtId="0" fontId="54" fillId="0" borderId="0" xfId="0" applyFont="1" applyAlignment="1">
      <alignment horizontal="center" vertical="center" wrapText="1"/>
    </xf>
    <xf numFmtId="0" fontId="13" fillId="0" borderId="0" xfId="0" applyFont="1" applyAlignment="1">
      <alignment vertical="center" wrapText="1"/>
    </xf>
    <xf numFmtId="0" fontId="55" fillId="0" borderId="61" xfId="0" applyFont="1" applyBorder="1" applyAlignment="1">
      <alignment vertical="center" wrapText="1"/>
    </xf>
    <xf numFmtId="0" fontId="56" fillId="0" borderId="0" xfId="0" applyFont="1" applyAlignment="1">
      <alignment horizontal="center" vertical="center" wrapText="1"/>
    </xf>
    <xf numFmtId="3" fontId="56" fillId="0" borderId="0" xfId="0" applyNumberFormat="1" applyFont="1" applyAlignment="1">
      <alignment horizontal="center" vertical="center" wrapText="1"/>
    </xf>
    <xf numFmtId="0" fontId="12" fillId="0" borderId="61" xfId="0" applyFont="1" applyBorder="1" applyAlignment="1">
      <alignment vertical="center" wrapText="1"/>
    </xf>
    <xf numFmtId="0" fontId="56" fillId="0" borderId="61" xfId="0" applyFont="1" applyBorder="1" applyAlignment="1">
      <alignment horizontal="center" vertical="center" wrapText="1"/>
    </xf>
    <xf numFmtId="0" fontId="7" fillId="0" borderId="61" xfId="0" applyFont="1" applyBorder="1" applyAlignment="1">
      <alignment vertical="center" wrapText="1"/>
    </xf>
    <xf numFmtId="3" fontId="56" fillId="0" borderId="61" xfId="0" applyNumberFormat="1" applyFont="1" applyBorder="1" applyAlignment="1">
      <alignment horizontal="center" vertical="center" wrapText="1"/>
    </xf>
    <xf numFmtId="3" fontId="56" fillId="0" borderId="0" xfId="0" applyNumberFormat="1" applyFont="1" applyAlignment="1">
      <alignment horizontal="right" vertical="center" wrapText="1"/>
    </xf>
    <xf numFmtId="0" fontId="10" fillId="0" borderId="61" xfId="0" applyFont="1" applyBorder="1" applyAlignment="1">
      <alignment vertical="center" wrapText="1"/>
    </xf>
    <xf numFmtId="0" fontId="56" fillId="0" borderId="61" xfId="0" applyFont="1" applyBorder="1" applyAlignment="1">
      <alignment horizontal="right" vertical="center" wrapText="1"/>
    </xf>
    <xf numFmtId="0" fontId="17" fillId="0" borderId="61" xfId="0" applyFont="1" applyBorder="1" applyAlignment="1">
      <alignment vertical="center" wrapText="1"/>
    </xf>
    <xf numFmtId="3" fontId="56" fillId="0" borderId="61" xfId="0" applyNumberFormat="1" applyFont="1" applyBorder="1" applyAlignment="1">
      <alignment horizontal="right" vertical="center" wrapText="1"/>
    </xf>
    <xf numFmtId="3" fontId="56" fillId="0" borderId="0" xfId="0" applyNumberFormat="1" applyFont="1" applyAlignment="1">
      <alignment horizontal="left" vertical="center"/>
    </xf>
    <xf numFmtId="0" fontId="54" fillId="0" borderId="21" xfId="0" applyFont="1" applyBorder="1" applyAlignment="1">
      <alignment horizontal="center" vertical="center" wrapText="1"/>
    </xf>
    <xf numFmtId="0" fontId="15" fillId="0" borderId="21" xfId="0" applyFont="1" applyBorder="1" applyAlignment="1">
      <alignment vertical="center" wrapText="1"/>
    </xf>
    <xf numFmtId="0" fontId="13" fillId="0" borderId="21" xfId="0" applyFont="1" applyBorder="1" applyAlignment="1">
      <alignment vertical="center" wrapText="1"/>
    </xf>
    <xf numFmtId="0" fontId="55" fillId="0" borderId="21" xfId="0" applyFont="1" applyBorder="1" applyAlignment="1">
      <alignment vertical="center" wrapText="1"/>
    </xf>
    <xf numFmtId="0" fontId="56" fillId="0" borderId="21" xfId="0" applyFont="1" applyBorder="1" applyAlignment="1">
      <alignment horizontal="center" vertical="center" wrapText="1"/>
    </xf>
    <xf numFmtId="3" fontId="56" fillId="0" borderId="21" xfId="0" applyNumberFormat="1" applyFont="1" applyBorder="1" applyAlignment="1">
      <alignment horizontal="center" vertical="center" wrapText="1"/>
    </xf>
    <xf numFmtId="0" fontId="12" fillId="0" borderId="21" xfId="0" applyFont="1" applyBorder="1" applyAlignment="1">
      <alignment vertical="center" wrapText="1"/>
    </xf>
    <xf numFmtId="0" fontId="10" fillId="0" borderId="21" xfId="0" applyFont="1" applyBorder="1" applyAlignment="1">
      <alignment vertical="center" wrapText="1"/>
    </xf>
    <xf numFmtId="0" fontId="54" fillId="0" borderId="21" xfId="0" applyFont="1" applyBorder="1" applyAlignment="1">
      <alignment vertical="center"/>
    </xf>
    <xf numFmtId="0" fontId="54" fillId="0" borderId="21" xfId="0" applyFont="1" applyBorder="1" applyAlignment="1">
      <alignment vertical="center" wrapText="1"/>
    </xf>
    <xf numFmtId="0" fontId="57" fillId="0" borderId="21" xfId="0" applyFont="1" applyBorder="1" applyAlignment="1">
      <alignment vertical="center"/>
    </xf>
    <xf numFmtId="0" fontId="7" fillId="0" borderId="21" xfId="0" applyFont="1" applyBorder="1" applyAlignment="1">
      <alignment vertical="center" wrapText="1"/>
    </xf>
    <xf numFmtId="0" fontId="56" fillId="0" borderId="21" xfId="0" applyFont="1" applyBorder="1" applyAlignment="1">
      <alignment horizontal="right" vertical="center" wrapText="1"/>
    </xf>
    <xf numFmtId="3" fontId="56" fillId="0" borderId="21" xfId="0" applyNumberFormat="1" applyFont="1" applyBorder="1" applyAlignment="1">
      <alignment horizontal="left" vertical="center"/>
    </xf>
    <xf numFmtId="0" fontId="58" fillId="0" borderId="23" xfId="0" applyFont="1" applyBorder="1" applyAlignment="1">
      <alignment vertical="center" wrapText="1"/>
    </xf>
    <xf numFmtId="0" fontId="1" fillId="0" borderId="23" xfId="0" applyFont="1" applyBorder="1" applyAlignment="1">
      <alignment wrapText="1"/>
    </xf>
    <xf numFmtId="0" fontId="1" fillId="0" borderId="24" xfId="0" applyFont="1" applyBorder="1" applyAlignment="1">
      <alignment wrapText="1"/>
    </xf>
    <xf numFmtId="0" fontId="54" fillId="0" borderId="25" xfId="0" applyFont="1" applyBorder="1" applyAlignment="1">
      <alignment horizontal="left" vertical="center" wrapText="1" indent="2"/>
    </xf>
    <xf numFmtId="0" fontId="15" fillId="0" borderId="26" xfId="0" applyFont="1" applyBorder="1" applyAlignment="1">
      <alignment vertical="center" wrapText="1"/>
    </xf>
    <xf numFmtId="0" fontId="13" fillId="0" borderId="26" xfId="0" applyFont="1" applyBorder="1" applyAlignment="1">
      <alignment vertical="center" wrapText="1"/>
    </xf>
    <xf numFmtId="0" fontId="55" fillId="0" borderId="25" xfId="0" applyFont="1" applyBorder="1" applyAlignment="1">
      <alignment vertical="center" wrapText="1"/>
    </xf>
    <xf numFmtId="0" fontId="55" fillId="0" borderId="26" xfId="0" applyFont="1" applyBorder="1" applyAlignment="1">
      <alignment vertical="center" wrapText="1"/>
    </xf>
    <xf numFmtId="0" fontId="56" fillId="0" borderId="25" xfId="0" applyFont="1" applyBorder="1" applyAlignment="1">
      <alignment horizontal="center" vertical="center" wrapText="1"/>
    </xf>
    <xf numFmtId="3" fontId="56" fillId="0" borderId="26" xfId="0" applyNumberFormat="1" applyFont="1" applyBorder="1" applyAlignment="1">
      <alignment horizontal="center" vertical="center" wrapText="1"/>
    </xf>
    <xf numFmtId="0" fontId="12" fillId="0" borderId="25" xfId="0" applyFont="1" applyBorder="1" applyAlignment="1">
      <alignment vertical="center" wrapText="1"/>
    </xf>
    <xf numFmtId="0" fontId="12" fillId="0" borderId="26" xfId="0" applyFont="1" applyBorder="1" applyAlignment="1">
      <alignment vertical="center" wrapText="1"/>
    </xf>
    <xf numFmtId="0" fontId="15" fillId="0" borderId="25" xfId="0" applyFont="1" applyBorder="1" applyAlignment="1">
      <alignment vertical="center" wrapText="1"/>
    </xf>
    <xf numFmtId="3" fontId="56" fillId="0" borderId="26" xfId="0" applyNumberFormat="1" applyFont="1" applyBorder="1" applyAlignment="1">
      <alignment horizontal="right" vertical="center" wrapText="1"/>
    </xf>
    <xf numFmtId="0" fontId="10" fillId="0" borderId="26" xfId="0" applyFont="1" applyBorder="1" applyAlignment="1">
      <alignment vertical="center" wrapText="1"/>
    </xf>
    <xf numFmtId="0" fontId="0" fillId="0" borderId="25" xfId="0" applyBorder="1"/>
    <xf numFmtId="0" fontId="56" fillId="0" borderId="26" xfId="0" applyFont="1" applyBorder="1" applyAlignment="1">
      <alignment horizontal="right" vertical="center" wrapText="1"/>
    </xf>
    <xf numFmtId="3" fontId="56" fillId="0" borderId="26" xfId="0" applyNumberFormat="1" applyFont="1" applyBorder="1" applyAlignment="1">
      <alignment horizontal="left" vertical="center"/>
    </xf>
    <xf numFmtId="0" fontId="0" fillId="0" borderId="27" xfId="0" applyBorder="1"/>
    <xf numFmtId="3" fontId="56" fillId="0" borderId="28" xfId="0" applyNumberFormat="1" applyFont="1" applyBorder="1" applyAlignment="1">
      <alignment horizontal="left" vertical="center"/>
    </xf>
    <xf numFmtId="3" fontId="56" fillId="0" borderId="29" xfId="0" applyNumberFormat="1" applyFont="1" applyBorder="1" applyAlignment="1">
      <alignment horizontal="left" vertical="center"/>
    </xf>
    <xf numFmtId="43" fontId="40" fillId="0" borderId="55" xfId="3" applyFont="1" applyBorder="1" applyAlignment="1">
      <alignment horizontal="center" vertical="center" wrapText="1"/>
    </xf>
    <xf numFmtId="0" fontId="40" fillId="0" borderId="50" xfId="0" applyFont="1" applyBorder="1" applyAlignment="1">
      <alignment horizontal="center" vertical="center" wrapText="1"/>
    </xf>
    <xf numFmtId="0" fontId="43" fillId="0" borderId="50" xfId="0" applyFont="1" applyBorder="1" applyAlignment="1">
      <alignment horizontal="center" vertical="center" wrapText="1"/>
    </xf>
    <xf numFmtId="0" fontId="0" fillId="0" borderId="63" xfId="0" applyBorder="1" applyAlignment="1">
      <alignment vertical="center" wrapText="1"/>
    </xf>
    <xf numFmtId="0" fontId="40" fillId="0" borderId="64" xfId="0" applyFont="1" applyBorder="1" applyAlignment="1">
      <alignment horizontal="center" vertical="center" wrapText="1"/>
    </xf>
    <xf numFmtId="0" fontId="43" fillId="0" borderId="64" xfId="0" applyFont="1" applyBorder="1" applyAlignment="1">
      <alignment horizontal="center" vertical="center" wrapText="1"/>
    </xf>
    <xf numFmtId="0" fontId="60" fillId="0" borderId="64" xfId="0" applyFont="1" applyBorder="1" applyAlignment="1">
      <alignment horizontal="center" vertical="center" wrapText="1"/>
    </xf>
    <xf numFmtId="0" fontId="60" fillId="0" borderId="65" xfId="0" applyFont="1" applyBorder="1" applyAlignment="1">
      <alignment horizontal="center" vertical="center" wrapText="1"/>
    </xf>
    <xf numFmtId="0" fontId="43" fillId="0" borderId="52" xfId="0" applyFont="1" applyBorder="1" applyAlignment="1">
      <alignment horizontal="center" vertical="center" wrapText="1"/>
    </xf>
    <xf numFmtId="0" fontId="40" fillId="0" borderId="52" xfId="0" applyFont="1" applyBorder="1" applyAlignment="1">
      <alignment vertical="center" wrapText="1"/>
    </xf>
    <xf numFmtId="0" fontId="61" fillId="0" borderId="66" xfId="0" applyFont="1" applyBorder="1" applyAlignment="1">
      <alignment horizontal="center" vertical="center" wrapText="1"/>
    </xf>
    <xf numFmtId="0" fontId="40" fillId="0" borderId="55" xfId="0" applyFont="1" applyBorder="1" applyAlignment="1">
      <alignment horizontal="center" vertical="center" wrapText="1"/>
    </xf>
    <xf numFmtId="0" fontId="43" fillId="0" borderId="63" xfId="0" applyFont="1" applyBorder="1" applyAlignment="1">
      <alignment horizontal="center" vertical="center" wrapText="1"/>
    </xf>
    <xf numFmtId="0" fontId="40" fillId="0" borderId="61" xfId="0" applyFont="1" applyBorder="1" applyAlignment="1">
      <alignment horizontal="center" vertical="center" wrapText="1"/>
    </xf>
    <xf numFmtId="0" fontId="62" fillId="0" borderId="63" xfId="0" applyFont="1" applyBorder="1" applyAlignment="1">
      <alignment horizontal="center" vertical="center" wrapText="1"/>
    </xf>
    <xf numFmtId="0" fontId="43" fillId="0" borderId="55" xfId="0" applyFont="1" applyBorder="1" applyAlignment="1">
      <alignment horizontal="center" vertical="center" wrapText="1"/>
    </xf>
    <xf numFmtId="0" fontId="43" fillId="0" borderId="68" xfId="0" applyFont="1" applyBorder="1" applyAlignment="1">
      <alignment horizontal="center" vertical="center" wrapText="1"/>
    </xf>
    <xf numFmtId="0" fontId="63" fillId="0" borderId="53" xfId="0" applyFont="1" applyBorder="1" applyAlignment="1">
      <alignment vertical="center" wrapText="1"/>
    </xf>
    <xf numFmtId="0" fontId="64" fillId="0" borderId="66" xfId="0" applyFont="1" applyBorder="1" applyAlignment="1">
      <alignment horizontal="center" vertical="center" wrapText="1"/>
    </xf>
    <xf numFmtId="0" fontId="40" fillId="0" borderId="54" xfId="0" applyFont="1" applyBorder="1" applyAlignment="1">
      <alignment vertical="center" wrapText="1"/>
    </xf>
    <xf numFmtId="0" fontId="65" fillId="0" borderId="68" xfId="0" applyFont="1" applyBorder="1" applyAlignment="1">
      <alignment horizontal="center" vertical="center" wrapText="1"/>
    </xf>
    <xf numFmtId="0" fontId="66" fillId="0" borderId="68" xfId="0" applyFont="1" applyBorder="1" applyAlignment="1">
      <alignment horizontal="center" vertical="center" wrapText="1"/>
    </xf>
    <xf numFmtId="0" fontId="43" fillId="0" borderId="32" xfId="0" applyFont="1" applyBorder="1" applyAlignment="1">
      <alignment horizontal="center" vertical="center" wrapText="1"/>
    </xf>
    <xf numFmtId="0" fontId="43" fillId="0" borderId="21" xfId="0" applyFont="1" applyBorder="1" applyAlignment="1">
      <alignment horizontal="center" vertical="center" wrapText="1"/>
    </xf>
    <xf numFmtId="0" fontId="43" fillId="0" borderId="31" xfId="0" applyFont="1" applyBorder="1" applyAlignment="1">
      <alignment horizontal="center" vertical="center" wrapText="1"/>
    </xf>
    <xf numFmtId="0" fontId="67" fillId="0" borderId="30" xfId="0" applyFont="1" applyBorder="1" applyAlignment="1">
      <alignment vertical="center" wrapText="1"/>
    </xf>
    <xf numFmtId="0" fontId="43" fillId="0" borderId="26" xfId="0" applyFont="1" applyBorder="1" applyAlignment="1">
      <alignment horizontal="center" vertical="center" wrapText="1"/>
    </xf>
    <xf numFmtId="0" fontId="67" fillId="0" borderId="25" xfId="0" applyFont="1" applyBorder="1" applyAlignment="1">
      <alignment vertical="center" wrapText="1"/>
    </xf>
    <xf numFmtId="0" fontId="43" fillId="0" borderId="24" xfId="0" applyFont="1" applyBorder="1" applyAlignment="1">
      <alignment horizontal="center" vertical="center" wrapText="1"/>
    </xf>
    <xf numFmtId="0" fontId="43" fillId="0" borderId="23" xfId="0" applyFont="1" applyBorder="1" applyAlignment="1">
      <alignment horizontal="center" vertical="center" wrapText="1"/>
    </xf>
    <xf numFmtId="0" fontId="59" fillId="9" borderId="62" xfId="2" applyAlignment="1">
      <alignment vertical="center" wrapText="1"/>
    </xf>
    <xf numFmtId="0" fontId="43" fillId="0" borderId="24" xfId="0" applyFont="1" applyBorder="1" applyAlignment="1">
      <alignment vertical="center" wrapText="1"/>
    </xf>
    <xf numFmtId="0" fontId="43" fillId="0" borderId="23" xfId="0" applyFont="1" applyBorder="1" applyAlignment="1">
      <alignment vertical="center" wrapText="1"/>
    </xf>
    <xf numFmtId="0" fontId="70" fillId="0" borderId="19" xfId="0" applyFont="1" applyBorder="1" applyAlignment="1">
      <alignment horizontal="center" vertical="center" wrapText="1"/>
    </xf>
    <xf numFmtId="0" fontId="73" fillId="0" borderId="19" xfId="0" applyFont="1" applyBorder="1" applyAlignment="1">
      <alignment horizontal="center" vertical="center" wrapText="1"/>
    </xf>
    <xf numFmtId="0" fontId="77" fillId="0" borderId="19" xfId="0" applyFont="1" applyBorder="1" applyAlignment="1">
      <alignment horizontal="center" vertical="center" wrapText="1"/>
    </xf>
    <xf numFmtId="0" fontId="81" fillId="0" borderId="19" xfId="0" applyFont="1" applyBorder="1" applyAlignment="1">
      <alignment horizontal="center" vertical="center" wrapText="1"/>
    </xf>
    <xf numFmtId="0" fontId="75" fillId="0" borderId="19" xfId="0" applyFont="1" applyBorder="1" applyAlignment="1">
      <alignment horizontal="center" vertical="center" wrapText="1"/>
    </xf>
    <xf numFmtId="0" fontId="78" fillId="0" borderId="18" xfId="0" applyFont="1" applyBorder="1" applyAlignment="1">
      <alignment horizontal="center" vertical="center" wrapText="1"/>
    </xf>
    <xf numFmtId="0" fontId="84" fillId="0" borderId="71" xfId="0" applyFont="1" applyBorder="1" applyAlignment="1">
      <alignment vertical="center" wrapText="1"/>
    </xf>
    <xf numFmtId="0" fontId="85" fillId="0" borderId="72" xfId="0" applyFont="1" applyBorder="1" applyAlignment="1">
      <alignment horizontal="center" vertical="center" wrapText="1"/>
    </xf>
    <xf numFmtId="0" fontId="85" fillId="0" borderId="73" xfId="0" applyFont="1" applyBorder="1" applyAlignment="1">
      <alignment horizontal="center" vertical="center" wrapText="1"/>
    </xf>
    <xf numFmtId="0" fontId="83" fillId="0" borderId="75" xfId="0" applyFont="1" applyBorder="1" applyAlignment="1">
      <alignment vertical="center" wrapText="1"/>
    </xf>
    <xf numFmtId="0" fontId="86" fillId="0" borderId="76" xfId="0" applyFont="1" applyBorder="1" applyAlignment="1">
      <alignment vertical="center" wrapText="1"/>
    </xf>
    <xf numFmtId="0" fontId="85" fillId="0" borderId="77" xfId="0" applyFont="1" applyBorder="1" applyAlignment="1">
      <alignment horizontal="center" vertical="center" wrapText="1"/>
    </xf>
    <xf numFmtId="0" fontId="84" fillId="0" borderId="75" xfId="0" applyFont="1" applyBorder="1" applyAlignment="1">
      <alignment vertical="center" wrapText="1"/>
    </xf>
    <xf numFmtId="0" fontId="85" fillId="0" borderId="76" xfId="0" applyFont="1" applyBorder="1" applyAlignment="1">
      <alignment vertical="center" wrapText="1"/>
    </xf>
    <xf numFmtId="0" fontId="85" fillId="0" borderId="77" xfId="0" applyFont="1" applyBorder="1" applyAlignment="1">
      <alignment vertical="center" wrapText="1"/>
    </xf>
    <xf numFmtId="0" fontId="85" fillId="0" borderId="77" xfId="0" applyFont="1" applyBorder="1" applyAlignment="1">
      <alignment horizontal="left" vertical="center" wrapText="1" indent="1"/>
    </xf>
    <xf numFmtId="0" fontId="87" fillId="0" borderId="75" xfId="0" applyFont="1" applyBorder="1" applyAlignment="1">
      <alignment vertical="center" wrapText="1"/>
    </xf>
    <xf numFmtId="0" fontId="85" fillId="0" borderId="76" xfId="0" applyFont="1" applyBorder="1" applyAlignment="1">
      <alignment horizontal="justify" vertical="center" wrapText="1"/>
    </xf>
    <xf numFmtId="0" fontId="0" fillId="0" borderId="77" xfId="0" applyBorder="1" applyAlignment="1">
      <alignment vertical="top" wrapText="1"/>
    </xf>
    <xf numFmtId="0" fontId="85" fillId="0" borderId="75" xfId="0" applyFont="1" applyBorder="1" applyAlignment="1">
      <alignment horizontal="center" vertical="center" wrapText="1"/>
    </xf>
    <xf numFmtId="0" fontId="85" fillId="0" borderId="76" xfId="0" applyFont="1" applyBorder="1" applyAlignment="1">
      <alignment horizontal="center" vertical="center" wrapText="1"/>
    </xf>
    <xf numFmtId="0" fontId="10" fillId="0" borderId="71" xfId="0" applyFont="1" applyBorder="1" applyAlignment="1">
      <alignment horizontal="center" vertical="center" wrapText="1"/>
    </xf>
    <xf numFmtId="0" fontId="10" fillId="0" borderId="73" xfId="0" applyFont="1" applyBorder="1" applyAlignment="1">
      <alignment horizontal="center" vertical="center" wrapText="1"/>
    </xf>
    <xf numFmtId="0" fontId="10" fillId="0" borderId="72" xfId="0" applyFont="1" applyBorder="1" applyAlignment="1">
      <alignment horizontal="center" vertical="center" wrapText="1"/>
    </xf>
    <xf numFmtId="0" fontId="10" fillId="0" borderId="75" xfId="0" applyFont="1" applyBorder="1" applyAlignment="1">
      <alignment horizontal="center" vertical="center" wrapText="1"/>
    </xf>
    <xf numFmtId="0" fontId="10" fillId="0" borderId="83" xfId="0" applyFont="1" applyBorder="1" applyAlignment="1">
      <alignment horizontal="center" vertical="center" wrapText="1"/>
    </xf>
    <xf numFmtId="0" fontId="10" fillId="0" borderId="84" xfId="0" applyFont="1" applyBorder="1" applyAlignment="1">
      <alignment horizontal="center" vertical="center" wrapText="1"/>
    </xf>
    <xf numFmtId="0" fontId="90" fillId="12" borderId="18" xfId="0" applyFont="1" applyFill="1" applyBorder="1" applyAlignment="1">
      <alignment horizontal="center" vertical="center" wrapText="1"/>
    </xf>
    <xf numFmtId="0" fontId="90" fillId="12" borderId="66" xfId="0" applyFont="1" applyFill="1" applyBorder="1" applyAlignment="1">
      <alignment horizontal="center" vertical="center" wrapText="1"/>
    </xf>
    <xf numFmtId="0" fontId="0" fillId="12" borderId="63" xfId="0" applyFill="1" applyBorder="1" applyAlignment="1">
      <alignment vertical="center" wrapText="1"/>
    </xf>
    <xf numFmtId="0" fontId="90" fillId="12" borderId="52" xfId="0" applyFont="1" applyFill="1" applyBorder="1" applyAlignment="1">
      <alignment horizontal="center" vertical="center"/>
    </xf>
    <xf numFmtId="0" fontId="90" fillId="12" borderId="50" xfId="0" applyFont="1" applyFill="1" applyBorder="1" applyAlignment="1">
      <alignment horizontal="center" vertical="center"/>
    </xf>
    <xf numFmtId="0" fontId="92" fillId="12" borderId="63" xfId="0" applyFont="1" applyFill="1" applyBorder="1" applyAlignment="1">
      <alignment horizontal="right" vertical="center"/>
    </xf>
    <xf numFmtId="0" fontId="92" fillId="12" borderId="50" xfId="0" applyFont="1" applyFill="1" applyBorder="1" applyAlignment="1">
      <alignment vertical="center" wrapText="1"/>
    </xf>
    <xf numFmtId="3" fontId="92" fillId="12" borderId="50" xfId="0" applyNumberFormat="1" applyFont="1" applyFill="1" applyBorder="1" applyAlignment="1">
      <alignment horizontal="right" vertical="center"/>
    </xf>
    <xf numFmtId="0" fontId="92" fillId="12" borderId="50" xfId="0" applyFont="1" applyFill="1" applyBorder="1" applyAlignment="1">
      <alignment vertical="center"/>
    </xf>
    <xf numFmtId="0" fontId="90" fillId="12" borderId="63" xfId="0" applyFont="1" applyFill="1" applyBorder="1" applyAlignment="1">
      <alignment vertical="center"/>
    </xf>
    <xf numFmtId="0" fontId="90" fillId="12" borderId="50" xfId="0" applyFont="1" applyFill="1" applyBorder="1" applyAlignment="1">
      <alignment vertical="center"/>
    </xf>
    <xf numFmtId="3" fontId="90" fillId="12" borderId="50" xfId="0" applyNumberFormat="1" applyFont="1" applyFill="1" applyBorder="1" applyAlignment="1">
      <alignment horizontal="right" vertical="center"/>
    </xf>
    <xf numFmtId="0" fontId="89" fillId="0" borderId="0" xfId="0" applyFont="1" applyAlignment="1">
      <alignment vertical="center" wrapText="1"/>
    </xf>
    <xf numFmtId="0" fontId="93" fillId="11" borderId="50" xfId="4" applyFont="1" applyBorder="1" applyAlignment="1">
      <alignment horizontal="center" vertical="center"/>
    </xf>
    <xf numFmtId="3" fontId="93" fillId="11" borderId="50" xfId="4" applyNumberFormat="1" applyFont="1" applyBorder="1" applyAlignment="1">
      <alignment horizontal="right" vertical="center"/>
    </xf>
    <xf numFmtId="0" fontId="0" fillId="0" borderId="21" xfId="0" applyBorder="1" applyAlignment="1">
      <alignment horizontal="center"/>
    </xf>
    <xf numFmtId="43" fontId="0" fillId="0" borderId="21" xfId="1" applyFont="1" applyBorder="1"/>
    <xf numFmtId="43" fontId="0" fillId="0" borderId="21" xfId="0" applyNumberFormat="1" applyBorder="1"/>
    <xf numFmtId="43" fontId="1" fillId="0" borderId="21" xfId="0" applyNumberFormat="1" applyFont="1" applyBorder="1"/>
    <xf numFmtId="0" fontId="1" fillId="0" borderId="37" xfId="0" applyFont="1" applyBorder="1"/>
    <xf numFmtId="0" fontId="1" fillId="0" borderId="38" xfId="0" applyFont="1" applyBorder="1"/>
    <xf numFmtId="0" fontId="0" fillId="0" borderId="34" xfId="0" applyBorder="1" applyAlignment="1">
      <alignment horizontal="center"/>
    </xf>
    <xf numFmtId="0" fontId="0" fillId="0" borderId="37" xfId="0" applyBorder="1"/>
    <xf numFmtId="0" fontId="0" fillId="0" borderId="38" xfId="0" applyBorder="1"/>
    <xf numFmtId="0" fontId="0" fillId="0" borderId="31" xfId="0" applyBorder="1" applyAlignment="1">
      <alignment horizontal="center"/>
    </xf>
    <xf numFmtId="0" fontId="0" fillId="0" borderId="36" xfId="0" applyBorder="1" applyAlignment="1">
      <alignment horizontal="center"/>
    </xf>
    <xf numFmtId="43" fontId="1" fillId="0" borderId="38" xfId="0" applyNumberFormat="1" applyFont="1" applyBorder="1"/>
    <xf numFmtId="43" fontId="1" fillId="0" borderId="34" xfId="0" applyNumberFormat="1" applyFont="1" applyBorder="1"/>
    <xf numFmtId="0" fontId="1" fillId="0" borderId="22" xfId="0" applyFont="1" applyBorder="1" applyAlignment="1">
      <alignment horizontal="center"/>
    </xf>
    <xf numFmtId="0" fontId="0" fillId="0" borderId="24" xfId="0" applyBorder="1"/>
    <xf numFmtId="0" fontId="0" fillId="0" borderId="30" xfId="0" applyBorder="1"/>
    <xf numFmtId="0" fontId="0" fillId="0" borderId="33" xfId="0" applyBorder="1"/>
    <xf numFmtId="43" fontId="0" fillId="0" borderId="35" xfId="0" applyNumberFormat="1" applyBorder="1"/>
    <xf numFmtId="0" fontId="0" fillId="0" borderId="36" xfId="0" applyBorder="1"/>
    <xf numFmtId="43" fontId="0" fillId="0" borderId="32" xfId="0" applyNumberFormat="1" applyBorder="1"/>
    <xf numFmtId="0" fontId="0" fillId="0" borderId="22" xfId="0" applyBorder="1"/>
    <xf numFmtId="0" fontId="1" fillId="0" borderId="23" xfId="0" applyFont="1" applyBorder="1"/>
    <xf numFmtId="0" fontId="1" fillId="0" borderId="21" xfId="0" applyFont="1" applyBorder="1" applyAlignment="1">
      <alignment horizontal="center"/>
    </xf>
    <xf numFmtId="9" fontId="0" fillId="0" borderId="21" xfId="0" applyNumberFormat="1" applyBorder="1"/>
    <xf numFmtId="0" fontId="1" fillId="0" borderId="21" xfId="0" applyFont="1" applyBorder="1" applyAlignment="1">
      <alignment wrapText="1"/>
    </xf>
    <xf numFmtId="164" fontId="1" fillId="0" borderId="0" xfId="0" applyNumberFormat="1" applyFont="1"/>
    <xf numFmtId="0" fontId="0" fillId="0" borderId="0" xfId="0" applyAlignment="1">
      <alignment horizontal="center" vertical="center"/>
    </xf>
    <xf numFmtId="43" fontId="0" fillId="0" borderId="0" xfId="0" applyNumberFormat="1" applyAlignment="1">
      <alignment horizontal="center" vertical="center"/>
    </xf>
    <xf numFmtId="164" fontId="0" fillId="0" borderId="85" xfId="0" applyNumberFormat="1" applyBorder="1"/>
    <xf numFmtId="0" fontId="0" fillId="0" borderId="86" xfId="0" applyBorder="1"/>
    <xf numFmtId="164" fontId="0" fillId="0" borderId="86" xfId="0" applyNumberFormat="1" applyBorder="1"/>
    <xf numFmtId="43" fontId="0" fillId="0" borderId="86" xfId="0" applyNumberFormat="1" applyBorder="1"/>
    <xf numFmtId="43" fontId="0" fillId="0" borderId="87" xfId="0" applyNumberFormat="1" applyBorder="1"/>
    <xf numFmtId="0" fontId="0" fillId="0" borderId="61" xfId="0" applyBorder="1"/>
    <xf numFmtId="0" fontId="0" fillId="10" borderId="21" xfId="0" applyFill="1"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center" vertical="center" wrapText="1"/>
    </xf>
    <xf numFmtId="3" fontId="0" fillId="0" borderId="21" xfId="0" applyNumberFormat="1" applyBorder="1" applyAlignment="1">
      <alignment horizontal="center" vertical="center"/>
    </xf>
    <xf numFmtId="43" fontId="0" fillId="0" borderId="21" xfId="1" applyFont="1" applyBorder="1" applyAlignment="1">
      <alignment horizontal="center" vertical="center"/>
    </xf>
    <xf numFmtId="164" fontId="94" fillId="0" borderId="39" xfId="1" applyNumberFormat="1" applyFont="1" applyFill="1" applyBorder="1" applyAlignment="1">
      <alignment horizontal="center" vertical="top" wrapText="1" shrinkToFit="1"/>
    </xf>
    <xf numFmtId="166" fontId="43" fillId="10" borderId="39" xfId="0" applyNumberFormat="1" applyFont="1" applyFill="1" applyBorder="1" applyAlignment="1">
      <alignment wrapText="1" shrinkToFit="1"/>
    </xf>
    <xf numFmtId="0" fontId="23" fillId="0" borderId="0" xfId="0" applyFont="1" applyAlignment="1">
      <alignment horizontal="left" vertical="top" wrapText="1"/>
    </xf>
    <xf numFmtId="0" fontId="23" fillId="4" borderId="0" xfId="0" applyFont="1" applyFill="1" applyAlignment="1">
      <alignment horizontal="left" vertical="top" wrapText="1"/>
    </xf>
    <xf numFmtId="166" fontId="41" fillId="0" borderId="0" xfId="0" applyNumberFormat="1" applyFont="1" applyAlignment="1">
      <alignment wrapText="1"/>
    </xf>
    <xf numFmtId="166" fontId="43" fillId="0" borderId="0" xfId="0" applyNumberFormat="1" applyFont="1" applyAlignment="1">
      <alignment wrapText="1" shrinkToFit="1"/>
    </xf>
    <xf numFmtId="164" fontId="94" fillId="0" borderId="0" xfId="1" applyNumberFormat="1" applyFont="1" applyFill="1" applyBorder="1" applyAlignment="1">
      <alignment horizontal="center" vertical="top" wrapText="1" shrinkToFit="1"/>
    </xf>
    <xf numFmtId="166" fontId="43" fillId="10" borderId="0" xfId="0" applyNumberFormat="1" applyFont="1" applyFill="1" applyAlignment="1">
      <alignment wrapText="1" shrinkToFit="1"/>
    </xf>
    <xf numFmtId="164" fontId="48" fillId="0" borderId="0" xfId="1" applyNumberFormat="1" applyFont="1" applyFill="1" applyBorder="1" applyAlignment="1">
      <alignment horizontal="center" vertical="top" wrapText="1" shrinkToFit="1"/>
    </xf>
    <xf numFmtId="0" fontId="39" fillId="5" borderId="88" xfId="0" applyFont="1" applyFill="1" applyBorder="1" applyAlignment="1">
      <alignment horizontal="left" vertical="top" wrapText="1"/>
    </xf>
    <xf numFmtId="0" fontId="42" fillId="0" borderId="89" xfId="0" applyFont="1" applyBorder="1" applyAlignment="1">
      <alignment horizontal="left" vertical="top" wrapText="1"/>
    </xf>
    <xf numFmtId="0" fontId="44" fillId="0" borderId="42" xfId="0" applyFont="1" applyBorder="1" applyAlignment="1">
      <alignment horizontal="left" vertical="top" wrapText="1"/>
    </xf>
    <xf numFmtId="0" fontId="42" fillId="0" borderId="90" xfId="0" applyFont="1" applyBorder="1" applyAlignment="1">
      <alignment horizontal="left" vertical="top" wrapText="1"/>
    </xf>
    <xf numFmtId="0" fontId="42" fillId="0" borderId="91" xfId="0" applyFont="1" applyBorder="1" applyAlignment="1">
      <alignment horizontal="left" vertical="top" wrapText="1"/>
    </xf>
    <xf numFmtId="0" fontId="23" fillId="0" borderId="42" xfId="0" applyFont="1" applyBorder="1" applyAlignment="1">
      <alignment horizontal="center" vertical="top" wrapText="1"/>
    </xf>
    <xf numFmtId="0" fontId="47" fillId="0" borderId="91" xfId="0" applyFont="1" applyBorder="1" applyAlignment="1">
      <alignment horizontal="left" vertical="top" wrapText="1"/>
    </xf>
    <xf numFmtId="0" fontId="44" fillId="0" borderId="91" xfId="0" applyFont="1" applyBorder="1" applyAlignment="1">
      <alignment horizontal="left" vertical="top" wrapText="1"/>
    </xf>
    <xf numFmtId="0" fontId="42" fillId="0" borderId="42" xfId="0" applyFont="1" applyBorder="1" applyAlignment="1">
      <alignment horizontal="left" vertical="top" wrapText="1"/>
    </xf>
    <xf numFmtId="166" fontId="43" fillId="0" borderId="42" xfId="0" applyNumberFormat="1" applyFont="1" applyBorder="1" applyAlignment="1">
      <alignment wrapText="1" shrinkToFit="1"/>
    </xf>
    <xf numFmtId="1" fontId="45" fillId="0" borderId="21" xfId="0" applyNumberFormat="1" applyFont="1" applyBorder="1" applyAlignment="1">
      <alignment horizontal="center" vertical="center" wrapText="1" shrinkToFit="1"/>
    </xf>
    <xf numFmtId="0" fontId="26" fillId="0" borderId="21" xfId="0" applyFont="1" applyBorder="1" applyAlignment="1">
      <alignment horizontal="left" wrapText="1"/>
    </xf>
    <xf numFmtId="1" fontId="45" fillId="0" borderId="21" xfId="0" applyNumberFormat="1" applyFont="1" applyBorder="1" applyAlignment="1">
      <alignment horizontal="center" vertical="top" wrapText="1" shrinkToFit="1"/>
    </xf>
    <xf numFmtId="164" fontId="48" fillId="0" borderId="48" xfId="1" applyNumberFormat="1" applyFont="1" applyFill="1" applyBorder="1" applyAlignment="1">
      <alignment horizontal="center" vertical="top" wrapText="1" shrinkToFit="1"/>
    </xf>
    <xf numFmtId="0" fontId="23" fillId="0" borderId="21" xfId="0" applyFont="1" applyBorder="1" applyAlignment="1">
      <alignment horizontal="center" vertical="top" wrapText="1"/>
    </xf>
    <xf numFmtId="0" fontId="39" fillId="5" borderId="21" xfId="0" applyFont="1" applyFill="1" applyBorder="1" applyAlignment="1">
      <alignment horizontal="left" vertical="top" wrapText="1"/>
    </xf>
    <xf numFmtId="1" fontId="40" fillId="0" borderId="21" xfId="0" applyNumberFormat="1" applyFont="1" applyBorder="1" applyAlignment="1">
      <alignment horizontal="center" vertical="top" wrapText="1" shrinkToFit="1"/>
    </xf>
    <xf numFmtId="0" fontId="26" fillId="0" borderId="21" xfId="0" applyFont="1" applyBorder="1" applyAlignment="1">
      <alignment wrapText="1"/>
    </xf>
    <xf numFmtId="0" fontId="42" fillId="0" borderId="21" xfId="0" applyFont="1" applyBorder="1" applyAlignment="1">
      <alignment horizontal="left" vertical="top" wrapText="1"/>
    </xf>
    <xf numFmtId="1" fontId="43" fillId="0" borderId="21" xfId="0" applyNumberFormat="1" applyFont="1" applyBorder="1" applyAlignment="1">
      <alignment horizontal="center" vertical="top" wrapText="1" shrinkToFit="1"/>
    </xf>
    <xf numFmtId="166" fontId="43" fillId="0" borderId="21" xfId="0" applyNumberFormat="1" applyFont="1" applyBorder="1" applyAlignment="1">
      <alignment wrapText="1" shrinkToFit="1"/>
    </xf>
    <xf numFmtId="0" fontId="44" fillId="0" borderId="21" xfId="0" applyFont="1" applyBorder="1" applyAlignment="1">
      <alignment horizontal="left" vertical="top" wrapText="1"/>
    </xf>
    <xf numFmtId="2" fontId="43" fillId="0" borderId="21" xfId="0" applyNumberFormat="1" applyFont="1" applyBorder="1" applyAlignment="1">
      <alignment wrapText="1" shrinkToFit="1"/>
    </xf>
    <xf numFmtId="1" fontId="43" fillId="0" borderId="21" xfId="0" applyNumberFormat="1" applyFont="1" applyBorder="1" applyAlignment="1">
      <alignment wrapText="1" shrinkToFit="1"/>
    </xf>
    <xf numFmtId="0" fontId="47" fillId="0" borderId="21" xfId="0" applyFont="1" applyBorder="1" applyAlignment="1">
      <alignment horizontal="left" vertical="top" wrapText="1"/>
    </xf>
    <xf numFmtId="0" fontId="20" fillId="0" borderId="22" xfId="0" applyFont="1" applyBorder="1" applyAlignment="1">
      <alignment horizontal="center" vertical="top" wrapText="1"/>
    </xf>
    <xf numFmtId="0" fontId="23" fillId="0" borderId="23" xfId="0" applyFont="1" applyBorder="1" applyAlignment="1">
      <alignment horizontal="center" vertical="top" wrapText="1"/>
    </xf>
    <xf numFmtId="0" fontId="26" fillId="0" borderId="23" xfId="0" applyFont="1" applyBorder="1" applyAlignment="1">
      <alignment horizontal="center" vertical="top" wrapText="1"/>
    </xf>
    <xf numFmtId="0" fontId="23" fillId="0" borderId="24" xfId="0" applyFont="1" applyBorder="1" applyAlignment="1">
      <alignment horizontal="left" vertical="top" wrapText="1"/>
    </xf>
    <xf numFmtId="166" fontId="41" fillId="0" borderId="26" xfId="0" applyNumberFormat="1" applyFont="1" applyBorder="1" applyAlignment="1">
      <alignment wrapText="1"/>
    </xf>
    <xf numFmtId="166" fontId="43" fillId="0" borderId="26" xfId="0" applyNumberFormat="1" applyFont="1" applyBorder="1" applyAlignment="1">
      <alignment wrapText="1" shrinkToFit="1"/>
    </xf>
    <xf numFmtId="1" fontId="45" fillId="0" borderId="25" xfId="0" applyNumberFormat="1" applyFont="1" applyBorder="1" applyAlignment="1">
      <alignment horizontal="center" vertical="center" wrapText="1" shrinkToFit="1"/>
    </xf>
    <xf numFmtId="0" fontId="26" fillId="0" borderId="25" xfId="0" applyFont="1" applyBorder="1" applyAlignment="1">
      <alignment horizontal="left" wrapText="1"/>
    </xf>
    <xf numFmtId="164" fontId="94" fillId="0" borderId="26" xfId="1" applyNumberFormat="1" applyFont="1" applyFill="1" applyBorder="1" applyAlignment="1">
      <alignment horizontal="center" vertical="top" wrapText="1" shrinkToFit="1"/>
    </xf>
    <xf numFmtId="1" fontId="45" fillId="0" borderId="25" xfId="0" applyNumberFormat="1" applyFont="1" applyBorder="1" applyAlignment="1">
      <alignment horizontal="center" vertical="top" wrapText="1" shrinkToFit="1"/>
    </xf>
    <xf numFmtId="0" fontId="26" fillId="0" borderId="27" xfId="0" applyFont="1" applyBorder="1" applyAlignment="1">
      <alignment horizontal="left" wrapText="1"/>
    </xf>
    <xf numFmtId="0" fontId="41" fillId="0" borderId="28" xfId="0" applyFont="1" applyBorder="1" applyAlignment="1">
      <alignment horizontal="left" wrapText="1"/>
    </xf>
    <xf numFmtId="0" fontId="26" fillId="0" borderId="28" xfId="0" applyFont="1" applyBorder="1" applyAlignment="1">
      <alignment horizontal="left" wrapText="1"/>
    </xf>
    <xf numFmtId="164" fontId="48" fillId="0" borderId="29" xfId="1" applyNumberFormat="1" applyFont="1" applyFill="1" applyBorder="1" applyAlignment="1">
      <alignment horizontal="center" vertical="top" wrapText="1" shrinkToFit="1"/>
    </xf>
    <xf numFmtId="0" fontId="90" fillId="13" borderId="68" xfId="0" applyFont="1" applyFill="1" applyBorder="1" applyAlignment="1">
      <alignment vertical="center" wrapText="1"/>
    </xf>
    <xf numFmtId="0" fontId="90" fillId="13" borderId="55" xfId="0" applyFont="1" applyFill="1" applyBorder="1" applyAlignment="1">
      <alignment vertical="center" wrapText="1"/>
    </xf>
    <xf numFmtId="0" fontId="90" fillId="13" borderId="55" xfId="0" applyFont="1" applyFill="1" applyBorder="1" applyAlignment="1">
      <alignment horizontal="right" vertical="center" wrapText="1"/>
    </xf>
    <xf numFmtId="0" fontId="92" fillId="12" borderId="63" xfId="0" applyFont="1" applyFill="1" applyBorder="1" applyAlignment="1">
      <alignment vertical="center"/>
    </xf>
    <xf numFmtId="43" fontId="92" fillId="12" borderId="50" xfId="1" applyFont="1" applyFill="1" applyBorder="1" applyAlignment="1">
      <alignment horizontal="right" vertical="center"/>
    </xf>
    <xf numFmtId="43" fontId="92" fillId="12" borderId="50" xfId="1" applyFont="1" applyFill="1" applyBorder="1" applyAlignment="1">
      <alignment horizontal="right" vertical="center" wrapText="1"/>
    </xf>
    <xf numFmtId="43" fontId="92" fillId="12" borderId="50" xfId="1" applyFont="1" applyFill="1" applyBorder="1" applyAlignment="1">
      <alignment vertical="center"/>
    </xf>
    <xf numFmtId="0" fontId="39" fillId="5" borderId="23" xfId="0" applyFont="1" applyFill="1" applyBorder="1" applyAlignment="1">
      <alignment horizontal="left" vertical="top" wrapText="1"/>
    </xf>
    <xf numFmtId="1" fontId="40" fillId="0" borderId="23" xfId="0" applyNumberFormat="1" applyFont="1" applyBorder="1" applyAlignment="1">
      <alignment horizontal="center" vertical="top" wrapText="1" shrinkToFit="1"/>
    </xf>
    <xf numFmtId="0" fontId="26" fillId="0" borderId="23" xfId="0" applyFont="1" applyBorder="1" applyAlignment="1">
      <alignment wrapText="1"/>
    </xf>
    <xf numFmtId="166" fontId="41" fillId="0" borderId="24" xfId="0" applyNumberFormat="1" applyFont="1" applyBorder="1" applyAlignment="1">
      <alignment wrapText="1"/>
    </xf>
    <xf numFmtId="0" fontId="1" fillId="0" borderId="93" xfId="0" applyFont="1" applyBorder="1" applyAlignment="1">
      <alignment horizontal="center" vertical="center" wrapText="1"/>
    </xf>
    <xf numFmtId="0" fontId="1" fillId="0" borderId="74" xfId="0" applyFont="1" applyBorder="1" applyAlignment="1">
      <alignment horizontal="center" vertical="center" wrapText="1"/>
    </xf>
    <xf numFmtId="0" fontId="1" fillId="0" borderId="74" xfId="0" applyFont="1" applyBorder="1" applyAlignment="1">
      <alignment horizontal="right" vertical="center" wrapText="1"/>
    </xf>
    <xf numFmtId="0" fontId="42" fillId="0" borderId="0" xfId="0" applyFont="1" applyAlignment="1">
      <alignment horizontal="left" vertical="top" wrapText="1"/>
    </xf>
    <xf numFmtId="1" fontId="43" fillId="0" borderId="0" xfId="0" applyNumberFormat="1" applyFont="1" applyAlignment="1">
      <alignment horizontal="center" vertical="top" wrapText="1" shrinkToFit="1"/>
    </xf>
    <xf numFmtId="1" fontId="43" fillId="0" borderId="0" xfId="0" applyNumberFormat="1" applyFont="1" applyAlignment="1">
      <alignment wrapText="1" shrinkToFit="1"/>
    </xf>
    <xf numFmtId="164" fontId="94" fillId="0" borderId="29" xfId="1" applyNumberFormat="1" applyFont="1" applyFill="1" applyBorder="1" applyAlignment="1">
      <alignment horizontal="center" vertical="top" wrapText="1" shrinkToFit="1"/>
    </xf>
    <xf numFmtId="1" fontId="38" fillId="0" borderId="43" xfId="0" applyNumberFormat="1" applyFont="1" applyBorder="1" applyAlignment="1">
      <alignment horizontal="center" vertical="center" wrapText="1" shrinkToFit="1"/>
    </xf>
    <xf numFmtId="1" fontId="38" fillId="0" borderId="46" xfId="0" applyNumberFormat="1" applyFont="1" applyBorder="1" applyAlignment="1">
      <alignment horizontal="center" vertical="center" wrapText="1" shrinkToFit="1"/>
    </xf>
    <xf numFmtId="1" fontId="38" fillId="0" borderId="48" xfId="0" applyNumberFormat="1" applyFont="1" applyBorder="1" applyAlignment="1">
      <alignment horizontal="center" vertical="center" wrapText="1" shrinkToFit="1"/>
    </xf>
    <xf numFmtId="0" fontId="37" fillId="4" borderId="25" xfId="0" applyFont="1" applyFill="1" applyBorder="1" applyAlignment="1">
      <alignment horizontal="left" vertical="top" wrapText="1"/>
    </xf>
    <xf numFmtId="0" fontId="23" fillId="4" borderId="21" xfId="0" applyFont="1" applyFill="1" applyBorder="1" applyAlignment="1">
      <alignment horizontal="left" vertical="top" wrapText="1"/>
    </xf>
    <xf numFmtId="0" fontId="23" fillId="4" borderId="26" xfId="0" applyFont="1" applyFill="1" applyBorder="1" applyAlignment="1">
      <alignment horizontal="left" vertical="top" wrapText="1"/>
    </xf>
    <xf numFmtId="1" fontId="38" fillId="0" borderId="25" xfId="0" applyNumberFormat="1" applyFont="1" applyBorder="1" applyAlignment="1">
      <alignment horizontal="center" vertical="center" wrapText="1" shrinkToFit="1"/>
    </xf>
    <xf numFmtId="1" fontId="45" fillId="0" borderId="25" xfId="0" applyNumberFormat="1" applyFont="1" applyBorder="1" applyAlignment="1">
      <alignment horizontal="center" vertical="center" wrapText="1" shrinkToFit="1"/>
    </xf>
    <xf numFmtId="0" fontId="37" fillId="4" borderId="40" xfId="0" applyFont="1" applyFill="1" applyBorder="1" applyAlignment="1">
      <alignment horizontal="left" vertical="top" wrapText="1"/>
    </xf>
    <xf numFmtId="0" fontId="23" fillId="4" borderId="41" xfId="0" applyFont="1" applyFill="1" applyBorder="1" applyAlignment="1">
      <alignment horizontal="left" vertical="top" wrapText="1"/>
    </xf>
    <xf numFmtId="0" fontId="23" fillId="4" borderId="42" xfId="0" applyFont="1" applyFill="1" applyBorder="1" applyAlignment="1">
      <alignment horizontal="left" vertical="top" wrapText="1"/>
    </xf>
    <xf numFmtId="0" fontId="0" fillId="0" borderId="21" xfId="0" applyBorder="1" applyAlignment="1">
      <alignment horizontal="center" vertical="center"/>
    </xf>
    <xf numFmtId="1" fontId="45" fillId="0" borderId="43" xfId="0" applyNumberFormat="1" applyFont="1" applyBorder="1" applyAlignment="1">
      <alignment horizontal="center" vertical="center" wrapText="1" shrinkToFit="1"/>
    </xf>
    <xf numFmtId="1" fontId="45" fillId="0" borderId="46" xfId="0" applyNumberFormat="1" applyFont="1" applyBorder="1" applyAlignment="1">
      <alignment horizontal="center" vertical="center" wrapText="1" shrinkToFit="1"/>
    </xf>
    <xf numFmtId="1" fontId="45" fillId="0" borderId="48" xfId="0" applyNumberFormat="1" applyFont="1" applyBorder="1" applyAlignment="1">
      <alignment horizontal="center" vertical="center" wrapText="1" shrinkToFit="1"/>
    </xf>
    <xf numFmtId="0" fontId="37" fillId="4" borderId="92" xfId="0" applyFont="1" applyFill="1" applyBorder="1" applyAlignment="1">
      <alignment horizontal="left" vertical="top" wrapText="1"/>
    </xf>
    <xf numFmtId="1" fontId="38" fillId="0" borderId="21" xfId="0" applyNumberFormat="1" applyFont="1" applyBorder="1" applyAlignment="1">
      <alignment horizontal="center" vertical="center" wrapText="1" shrinkToFit="1"/>
    </xf>
    <xf numFmtId="0" fontId="37" fillId="4" borderId="31" xfId="0" applyFont="1" applyFill="1" applyBorder="1" applyAlignment="1">
      <alignment horizontal="left" vertical="top" wrapText="1"/>
    </xf>
    <xf numFmtId="0" fontId="23" fillId="4" borderId="31" xfId="0" applyFont="1" applyFill="1" applyBorder="1" applyAlignment="1">
      <alignment horizontal="left" vertical="top" wrapText="1"/>
    </xf>
    <xf numFmtId="1" fontId="38" fillId="0" borderId="22" xfId="0" applyNumberFormat="1" applyFont="1" applyBorder="1" applyAlignment="1">
      <alignment horizontal="center" vertical="center" wrapText="1" shrinkToFit="1"/>
    </xf>
    <xf numFmtId="1" fontId="45" fillId="0" borderId="21" xfId="0" applyNumberFormat="1" applyFont="1" applyBorder="1" applyAlignment="1">
      <alignment horizontal="center" vertical="center" wrapText="1" shrinkToFit="1"/>
    </xf>
    <xf numFmtId="0" fontId="1" fillId="0" borderId="53" xfId="0" applyFont="1" applyBorder="1" applyAlignment="1">
      <alignment horizontal="center"/>
    </xf>
    <xf numFmtId="0" fontId="1" fillId="0" borderId="54" xfId="0" applyFont="1" applyBorder="1" applyAlignment="1">
      <alignment horizontal="center"/>
    </xf>
    <xf numFmtId="0" fontId="1" fillId="0" borderId="55" xfId="0" applyFont="1" applyBorder="1" applyAlignment="1">
      <alignment horizontal="center"/>
    </xf>
    <xf numFmtId="0" fontId="60" fillId="10" borderId="53" xfId="0" applyFont="1" applyFill="1" applyBorder="1" applyAlignment="1">
      <alignment horizontal="center" vertical="center" wrapText="1"/>
    </xf>
    <xf numFmtId="0" fontId="60" fillId="10" borderId="54" xfId="0" applyFont="1" applyFill="1" applyBorder="1" applyAlignment="1">
      <alignment horizontal="center" vertical="center" wrapText="1"/>
    </xf>
    <xf numFmtId="0" fontId="60" fillId="10" borderId="67" xfId="0" applyFont="1" applyFill="1" applyBorder="1" applyAlignment="1">
      <alignment horizontal="center" vertical="center" wrapText="1"/>
    </xf>
    <xf numFmtId="0" fontId="64" fillId="0" borderId="70" xfId="0" applyFont="1" applyBorder="1" applyAlignment="1">
      <alignment horizontal="center" vertical="center" wrapText="1"/>
    </xf>
    <xf numFmtId="0" fontId="64" fillId="0" borderId="51" xfId="0" applyFont="1" applyBorder="1" applyAlignment="1">
      <alignment horizontal="center" vertical="center" wrapText="1"/>
    </xf>
    <xf numFmtId="0" fontId="64" fillId="0" borderId="69" xfId="0" applyFont="1" applyBorder="1" applyAlignment="1">
      <alignment horizontal="center" vertical="center" wrapText="1"/>
    </xf>
    <xf numFmtId="0" fontId="69" fillId="10" borderId="53" xfId="0" applyFont="1" applyFill="1" applyBorder="1" applyAlignment="1">
      <alignment vertical="center" wrapText="1"/>
    </xf>
    <xf numFmtId="0" fontId="69" fillId="10" borderId="20" xfId="0" applyFont="1" applyFill="1" applyBorder="1" applyAlignment="1">
      <alignment vertical="center" wrapText="1"/>
    </xf>
    <xf numFmtId="0" fontId="69" fillId="10" borderId="19" xfId="0" applyFont="1" applyFill="1" applyBorder="1" applyAlignment="1">
      <alignment vertical="center" wrapText="1"/>
    </xf>
    <xf numFmtId="0" fontId="68" fillId="0" borderId="51" xfId="0" applyFont="1" applyBorder="1" applyAlignment="1">
      <alignment horizontal="center" vertical="center" wrapText="1"/>
    </xf>
    <xf numFmtId="0" fontId="68" fillId="0" borderId="69" xfId="0" applyFont="1" applyBorder="1" applyAlignment="1">
      <alignment horizontal="center" vertical="center" wrapText="1"/>
    </xf>
    <xf numFmtId="0" fontId="56" fillId="0" borderId="54" xfId="0" applyFont="1" applyBorder="1" applyAlignment="1">
      <alignment vertical="center" wrapText="1"/>
    </xf>
    <xf numFmtId="0" fontId="10" fillId="0" borderId="54" xfId="0" applyFont="1" applyBorder="1" applyAlignment="1">
      <alignment vertical="center" wrapText="1"/>
    </xf>
    <xf numFmtId="0" fontId="56" fillId="0" borderId="20" xfId="0" applyFont="1" applyBorder="1" applyAlignment="1">
      <alignment horizontal="right" vertical="center" wrapText="1"/>
    </xf>
    <xf numFmtId="0" fontId="56" fillId="0" borderId="54" xfId="0" applyFont="1" applyBorder="1" applyAlignment="1">
      <alignment horizontal="center" vertical="center" wrapText="1"/>
    </xf>
    <xf numFmtId="0" fontId="54" fillId="0" borderId="54" xfId="0" applyFont="1" applyBorder="1" applyAlignment="1">
      <alignment vertical="center" wrapText="1"/>
    </xf>
    <xf numFmtId="0" fontId="17" fillId="0" borderId="61" xfId="0" applyFont="1" applyBorder="1" applyAlignment="1">
      <alignment vertical="center" wrapText="1"/>
    </xf>
    <xf numFmtId="0" fontId="12" fillId="0" borderId="61" xfId="0" applyFont="1" applyBorder="1" applyAlignment="1">
      <alignment vertical="center" wrapText="1"/>
    </xf>
    <xf numFmtId="0" fontId="54" fillId="0" borderId="20" xfId="0" applyFont="1" applyBorder="1" applyAlignment="1">
      <alignment vertical="center" wrapText="1"/>
    </xf>
    <xf numFmtId="0" fontId="54" fillId="0" borderId="0" xfId="0" applyFont="1" applyAlignment="1">
      <alignment horizontal="center" vertical="center" wrapText="1"/>
    </xf>
    <xf numFmtId="0" fontId="54" fillId="0" borderId="0" xfId="0" applyFont="1" applyAlignment="1">
      <alignment horizontal="left" vertical="center" wrapText="1" indent="2"/>
    </xf>
    <xf numFmtId="0" fontId="54" fillId="0" borderId="0" xfId="0" applyFont="1" applyAlignment="1">
      <alignment horizontal="left" vertical="center" wrapText="1" indent="1"/>
    </xf>
    <xf numFmtId="0" fontId="17" fillId="0" borderId="17" xfId="0" applyFont="1" applyBorder="1" applyAlignment="1">
      <alignment vertical="center" wrapText="1"/>
    </xf>
    <xf numFmtId="0" fontId="1" fillId="0" borderId="4" xfId="0" applyFont="1" applyBorder="1" applyAlignment="1">
      <alignment vertical="center" wrapText="1"/>
    </xf>
    <xf numFmtId="0" fontId="1"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horizontal="right" vertical="center" wrapText="1"/>
    </xf>
    <xf numFmtId="0" fontId="1" fillId="0" borderId="5" xfId="0" applyFont="1" applyBorder="1" applyAlignment="1">
      <alignment horizontal="right" vertical="center" wrapText="1"/>
    </xf>
    <xf numFmtId="0" fontId="1" fillId="0" borderId="13" xfId="0" applyFont="1" applyBorder="1" applyAlignment="1">
      <alignment horizontal="right" vertical="center" wrapText="1"/>
    </xf>
    <xf numFmtId="0" fontId="1" fillId="0" borderId="14" xfId="0" applyFont="1" applyBorder="1" applyAlignment="1">
      <alignment horizontal="right" vertical="center" wrapText="1"/>
    </xf>
    <xf numFmtId="0" fontId="4" fillId="0" borderId="16" xfId="0" applyFont="1" applyBorder="1" applyAlignment="1">
      <alignment vertical="center" wrapText="1"/>
    </xf>
    <xf numFmtId="0" fontId="4" fillId="0" borderId="14" xfId="0" applyFont="1" applyBorder="1" applyAlignment="1">
      <alignment vertical="center" wrapText="1"/>
    </xf>
    <xf numFmtId="0" fontId="4" fillId="0" borderId="0" xfId="0" applyFont="1" applyAlignment="1">
      <alignment vertical="center" wrapText="1"/>
    </xf>
    <xf numFmtId="0" fontId="4" fillId="0" borderId="5" xfId="0" applyFont="1" applyBorder="1" applyAlignment="1">
      <alignment vertical="center" wrapText="1"/>
    </xf>
    <xf numFmtId="0" fontId="4" fillId="0" borderId="8" xfId="0" applyFont="1" applyBorder="1" applyAlignment="1">
      <alignment vertical="center" wrapText="1"/>
    </xf>
    <xf numFmtId="0" fontId="4" fillId="0" borderId="7" xfId="0" applyFont="1" applyBorder="1" applyAlignment="1">
      <alignment vertical="center" wrapText="1"/>
    </xf>
    <xf numFmtId="0" fontId="3" fillId="0" borderId="13" xfId="0" applyFont="1" applyBorder="1" applyAlignment="1">
      <alignment vertical="center" wrapText="1"/>
    </xf>
    <xf numFmtId="0" fontId="3" fillId="0" borderId="16" xfId="0" applyFont="1" applyBorder="1" applyAlignment="1">
      <alignment vertical="center" wrapText="1"/>
    </xf>
    <xf numFmtId="0" fontId="3" fillId="0" borderId="14" xfId="0" applyFont="1" applyBorder="1" applyAlignment="1">
      <alignment vertical="center" wrapText="1"/>
    </xf>
    <xf numFmtId="0" fontId="3" fillId="0" borderId="4" xfId="0" applyFont="1" applyBorder="1" applyAlignment="1">
      <alignment vertical="center" wrapText="1"/>
    </xf>
    <xf numFmtId="0" fontId="3" fillId="0" borderId="0" xfId="0" applyFont="1" applyAlignment="1">
      <alignment vertical="center" wrapText="1"/>
    </xf>
    <xf numFmtId="0" fontId="3" fillId="0" borderId="5" xfId="0" applyFont="1" applyBorder="1" applyAlignment="1">
      <alignment vertical="center" wrapText="1"/>
    </xf>
    <xf numFmtId="0" fontId="1" fillId="0" borderId="6" xfId="0" applyFont="1" applyBorder="1" applyAlignment="1">
      <alignment vertical="center" wrapText="1"/>
    </xf>
    <xf numFmtId="0" fontId="1" fillId="0" borderId="8" xfId="0" applyFont="1" applyBorder="1" applyAlignment="1">
      <alignment vertical="center" wrapText="1"/>
    </xf>
    <xf numFmtId="0" fontId="1" fillId="0" borderId="7" xfId="0" applyFont="1" applyBorder="1" applyAlignment="1">
      <alignment vertical="center" wrapText="1"/>
    </xf>
    <xf numFmtId="0" fontId="1" fillId="0" borderId="15" xfId="0" applyFont="1" applyBorder="1" applyAlignment="1">
      <alignment vertical="center" wrapText="1"/>
    </xf>
    <xf numFmtId="0" fontId="9" fillId="0" borderId="16" xfId="0" applyFont="1" applyBorder="1" applyAlignment="1">
      <alignment vertical="center" wrapText="1"/>
    </xf>
    <xf numFmtId="0" fontId="3" fillId="0" borderId="8" xfId="0" applyFont="1" applyBorder="1" applyAlignment="1">
      <alignment vertical="center" wrapText="1"/>
    </xf>
    <xf numFmtId="0" fontId="3" fillId="0" borderId="7" xfId="0" applyFont="1" applyBorder="1" applyAlignment="1">
      <alignment vertical="center" wrapText="1"/>
    </xf>
    <xf numFmtId="0" fontId="6" fillId="0" borderId="8" xfId="0" applyFont="1" applyBorder="1" applyAlignment="1">
      <alignment vertical="center" wrapText="1"/>
    </xf>
    <xf numFmtId="0" fontId="6" fillId="0" borderId="6" xfId="0" applyFont="1" applyBorder="1" applyAlignment="1">
      <alignment vertical="center" wrapText="1"/>
    </xf>
    <xf numFmtId="0" fontId="3" fillId="0" borderId="0" xfId="0" applyFont="1" applyAlignment="1">
      <alignment horizontal="left" vertical="center" wrapText="1" indent="1"/>
    </xf>
    <xf numFmtId="0" fontId="3" fillId="0" borderId="0" xfId="0" applyFont="1" applyAlignment="1">
      <alignment horizontal="right" vertical="center" wrapText="1"/>
    </xf>
    <xf numFmtId="0" fontId="3" fillId="0" borderId="5" xfId="0" applyFont="1" applyBorder="1" applyAlignment="1">
      <alignment horizontal="right" vertical="center" wrapText="1"/>
    </xf>
    <xf numFmtId="0" fontId="3" fillId="0" borderId="5" xfId="0" applyFont="1" applyBorder="1" applyAlignment="1">
      <alignment horizontal="left" vertical="center" wrapText="1" indent="1"/>
    </xf>
    <xf numFmtId="0" fontId="5" fillId="0" borderId="0" xfId="0" applyFont="1" applyAlignment="1">
      <alignment vertical="center" wrapText="1"/>
    </xf>
    <xf numFmtId="0" fontId="13" fillId="0" borderId="8" xfId="0" applyFont="1" applyBorder="1" applyAlignment="1">
      <alignment vertical="center" wrapText="1"/>
    </xf>
    <xf numFmtId="0" fontId="3" fillId="0" borderId="16" xfId="0" applyFont="1" applyBorder="1" applyAlignment="1">
      <alignment horizontal="left" vertical="center" wrapText="1" indent="1"/>
    </xf>
    <xf numFmtId="0" fontId="5" fillId="0" borderId="4" xfId="0" applyFont="1" applyBorder="1" applyAlignment="1">
      <alignment vertical="center" wrapText="1"/>
    </xf>
    <xf numFmtId="0" fontId="5" fillId="0" borderId="5" xfId="0" applyFont="1" applyBorder="1" applyAlignment="1">
      <alignment vertical="center" wrapText="1"/>
    </xf>
    <xf numFmtId="0" fontId="3" fillId="0" borderId="4" xfId="0" applyFont="1" applyBorder="1" applyAlignment="1">
      <alignment horizontal="left" vertical="center" wrapText="1" indent="3"/>
    </xf>
    <xf numFmtId="0" fontId="3" fillId="0" borderId="0" xfId="0" applyFont="1" applyAlignment="1">
      <alignment horizontal="left" vertical="center" wrapText="1" indent="3"/>
    </xf>
    <xf numFmtId="0" fontId="3" fillId="0" borderId="5" xfId="0" applyFont="1" applyBorder="1" applyAlignment="1">
      <alignment horizontal="left" vertical="center" wrapText="1" indent="3"/>
    </xf>
    <xf numFmtId="0" fontId="7" fillId="0" borderId="4" xfId="0" applyFont="1" applyBorder="1" applyAlignment="1">
      <alignment vertical="center" wrapText="1"/>
    </xf>
    <xf numFmtId="0" fontId="7" fillId="0" borderId="5"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3" borderId="0" xfId="0" applyFont="1" applyFill="1" applyAlignment="1">
      <alignment vertical="center" wrapText="1"/>
    </xf>
    <xf numFmtId="0" fontId="12" fillId="0" borderId="0" xfId="0" applyFont="1" applyAlignment="1">
      <alignment vertical="center" wrapText="1"/>
    </xf>
    <xf numFmtId="0" fontId="11" fillId="2" borderId="1" xfId="0" applyFont="1" applyFill="1" applyBorder="1" applyAlignment="1">
      <alignment horizontal="left" vertical="center" wrapText="1" indent="1"/>
    </xf>
    <xf numFmtId="0" fontId="11" fillId="2" borderId="2" xfId="0" applyFont="1" applyFill="1" applyBorder="1" applyAlignment="1">
      <alignment horizontal="left" vertical="center" wrapText="1" indent="1"/>
    </xf>
    <xf numFmtId="0" fontId="11" fillId="2" borderId="3" xfId="0" applyFont="1" applyFill="1" applyBorder="1" applyAlignment="1">
      <alignment horizontal="left" vertical="center" wrapText="1" indent="7"/>
    </xf>
    <xf numFmtId="0" fontId="11" fillId="2" borderId="2" xfId="0" applyFont="1" applyFill="1" applyBorder="1" applyAlignment="1">
      <alignment horizontal="left" vertical="center" wrapText="1" indent="7"/>
    </xf>
    <xf numFmtId="0" fontId="11" fillId="2" borderId="1" xfId="0" applyFont="1" applyFill="1" applyBorder="1" applyAlignment="1">
      <alignment horizontal="left" vertical="center" wrapText="1" indent="10"/>
    </xf>
    <xf numFmtId="0" fontId="11" fillId="2" borderId="3" xfId="0" applyFont="1" applyFill="1" applyBorder="1" applyAlignment="1">
      <alignment horizontal="left" vertical="center" wrapText="1" indent="10"/>
    </xf>
    <xf numFmtId="0" fontId="11" fillId="2" borderId="2" xfId="0" applyFont="1" applyFill="1" applyBorder="1" applyAlignment="1">
      <alignment horizontal="left" vertical="center" wrapText="1" indent="10"/>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3" fillId="0" borderId="11" xfId="0" applyFont="1" applyBorder="1" applyAlignment="1">
      <alignment vertical="center" wrapText="1"/>
    </xf>
    <xf numFmtId="0" fontId="58" fillId="0" borderId="23" xfId="0" applyFont="1" applyBorder="1" applyAlignment="1">
      <alignment horizontal="center" vertical="center" wrapText="1"/>
    </xf>
    <xf numFmtId="0" fontId="7" fillId="0" borderId="0" xfId="0" applyFont="1" applyAlignment="1">
      <alignment vertical="center" wrapText="1"/>
    </xf>
    <xf numFmtId="0" fontId="56" fillId="0" borderId="21" xfId="0" applyFont="1" applyBorder="1" applyAlignment="1">
      <alignment horizontal="left" vertical="center" wrapText="1"/>
    </xf>
    <xf numFmtId="0" fontId="7" fillId="0" borderId="21" xfId="0" applyFont="1" applyBorder="1" applyAlignment="1">
      <alignment vertical="center" wrapText="1"/>
    </xf>
    <xf numFmtId="0" fontId="56" fillId="0" borderId="21" xfId="0" applyFont="1" applyBorder="1" applyAlignment="1">
      <alignment vertical="center" wrapText="1"/>
    </xf>
    <xf numFmtId="0" fontId="10" fillId="0" borderId="25" xfId="0" applyFont="1" applyBorder="1" applyAlignment="1">
      <alignment vertical="center" wrapText="1"/>
    </xf>
    <xf numFmtId="0" fontId="10" fillId="0" borderId="21" xfId="0" applyFont="1" applyBorder="1" applyAlignment="1">
      <alignment vertical="center" wrapText="1"/>
    </xf>
    <xf numFmtId="0" fontId="54" fillId="0" borderId="21" xfId="0" applyFont="1" applyBorder="1" applyAlignment="1">
      <alignment horizontal="center" vertical="center" wrapText="1"/>
    </xf>
    <xf numFmtId="0" fontId="54" fillId="0" borderId="21" xfId="0" applyFont="1" applyBorder="1" applyAlignment="1">
      <alignment horizontal="left" vertical="center" wrapText="1" indent="2"/>
    </xf>
    <xf numFmtId="0" fontId="54" fillId="0" borderId="25" xfId="0" applyFont="1" applyBorder="1" applyAlignment="1">
      <alignment horizontal="left" vertical="center" wrapText="1" indent="1"/>
    </xf>
    <xf numFmtId="0" fontId="12" fillId="0" borderId="25" xfId="0" applyFont="1" applyBorder="1" applyAlignment="1">
      <alignment vertical="center" wrapText="1"/>
    </xf>
    <xf numFmtId="0" fontId="12" fillId="0" borderId="21" xfId="0" applyFont="1" applyBorder="1" applyAlignment="1">
      <alignment vertical="center" wrapText="1"/>
    </xf>
    <xf numFmtId="0" fontId="85" fillId="0" borderId="71" xfId="0" applyFont="1" applyBorder="1" applyAlignment="1">
      <alignment horizontal="center" vertical="center" wrapText="1"/>
    </xf>
    <xf numFmtId="0" fontId="85" fillId="0" borderId="72" xfId="0" applyFont="1" applyBorder="1" applyAlignment="1">
      <alignment horizontal="center" vertical="center" wrapText="1"/>
    </xf>
    <xf numFmtId="0" fontId="85" fillId="0" borderId="73" xfId="0" applyFont="1" applyBorder="1" applyAlignment="1">
      <alignment horizontal="center" vertical="center" wrapText="1"/>
    </xf>
    <xf numFmtId="0" fontId="85" fillId="0" borderId="81" xfId="0" applyFont="1" applyBorder="1" applyAlignment="1">
      <alignment horizontal="center" vertical="center" wrapText="1"/>
    </xf>
    <xf numFmtId="0" fontId="85" fillId="0" borderId="82" xfId="0" applyFont="1" applyBorder="1" applyAlignment="1">
      <alignment horizontal="center" vertical="center" wrapText="1"/>
    </xf>
    <xf numFmtId="0" fontId="85" fillId="0" borderId="74"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67" xfId="0" applyFont="1" applyBorder="1" applyAlignment="1">
      <alignment horizontal="center" vertical="center" wrapText="1"/>
    </xf>
    <xf numFmtId="0" fontId="10" fillId="0" borderId="80" xfId="0" applyFont="1" applyBorder="1" applyAlignment="1">
      <alignment horizontal="center" vertical="center" wrapText="1"/>
    </xf>
    <xf numFmtId="0" fontId="10" fillId="0" borderId="78" xfId="0" applyFont="1" applyBorder="1" applyAlignment="1">
      <alignment horizontal="center" vertical="center" wrapText="1"/>
    </xf>
    <xf numFmtId="0" fontId="10" fillId="0" borderId="75" xfId="0" applyFont="1" applyBorder="1" applyAlignment="1">
      <alignment horizontal="center" vertical="center" wrapText="1"/>
    </xf>
    <xf numFmtId="0" fontId="85" fillId="0" borderId="80" xfId="0" applyFont="1" applyBorder="1" applyAlignment="1">
      <alignment horizontal="center" vertical="center" wrapText="1"/>
    </xf>
    <xf numFmtId="0" fontId="85" fillId="0" borderId="75" xfId="0" applyFont="1" applyBorder="1" applyAlignment="1">
      <alignment horizontal="center" vertical="center" wrapText="1"/>
    </xf>
    <xf numFmtId="0" fontId="85" fillId="0" borderId="79" xfId="0" applyFont="1" applyBorder="1" applyAlignment="1">
      <alignment horizontal="center" vertical="center" wrapText="1"/>
    </xf>
    <xf numFmtId="0" fontId="85" fillId="0" borderId="77" xfId="0" applyFont="1" applyBorder="1" applyAlignment="1">
      <alignment horizontal="center" vertical="center" wrapText="1"/>
    </xf>
    <xf numFmtId="0" fontId="90" fillId="12" borderId="18" xfId="0" applyFont="1" applyFill="1" applyBorder="1" applyAlignment="1">
      <alignment horizontal="center" vertical="center"/>
    </xf>
    <xf numFmtId="0" fontId="90" fillId="12" borderId="66" xfId="0" applyFont="1" applyFill="1" applyBorder="1" applyAlignment="1">
      <alignment horizontal="center" vertical="center"/>
    </xf>
    <xf numFmtId="0" fontId="90" fillId="12" borderId="63" xfId="0" applyFont="1" applyFill="1" applyBorder="1" applyAlignment="1">
      <alignment horizontal="center" vertical="center"/>
    </xf>
    <xf numFmtId="0" fontId="91" fillId="10" borderId="53" xfId="0" applyFont="1" applyFill="1" applyBorder="1" applyAlignment="1">
      <alignment horizontal="center" vertical="center"/>
    </xf>
    <xf numFmtId="0" fontId="91" fillId="10" borderId="54" xfId="0" applyFont="1" applyFill="1" applyBorder="1" applyAlignment="1">
      <alignment horizontal="center" vertical="center"/>
    </xf>
    <xf numFmtId="0" fontId="91" fillId="10" borderId="55" xfId="0" applyFont="1" applyFill="1" applyBorder="1" applyAlignment="1">
      <alignment horizontal="center" vertical="center"/>
    </xf>
  </cellXfs>
  <cellStyles count="5">
    <cellStyle name="Check Cell" xfId="2" builtinId="23"/>
    <cellStyle name="Comma" xfId="1" builtinId="3"/>
    <cellStyle name="Comma 2" xfId="3" xr:uid="{00000000-0005-0000-0000-000002000000}"/>
    <cellStyle name="Good" xfId="4"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2DE6-156D-4E49-AF15-0FE261C512AC}">
  <sheetPr>
    <pageSetUpPr fitToPage="1"/>
  </sheetPr>
  <dimension ref="A1:P129"/>
  <sheetViews>
    <sheetView tabSelected="1" topLeftCell="A26" zoomScale="130" zoomScaleNormal="130" workbookViewId="0">
      <selection activeCell="C41" sqref="C41"/>
    </sheetView>
  </sheetViews>
  <sheetFormatPr defaultRowHeight="14.4" x14ac:dyDescent="0.3"/>
  <cols>
    <col min="1" max="1" width="8.88671875" style="59"/>
    <col min="2" max="2" width="35.6640625" customWidth="1"/>
    <col min="3" max="3" width="16.44140625" customWidth="1"/>
    <col min="4" max="4" width="9.109375" customWidth="1"/>
    <col min="5" max="5" width="14.33203125" bestFit="1" customWidth="1"/>
    <col min="6" max="7" width="15.88671875" customWidth="1"/>
    <col min="8" max="8" width="17.44140625" bestFit="1" customWidth="1"/>
    <col min="9" max="9" width="16.6640625" customWidth="1"/>
    <col min="10" max="10" width="19.33203125" customWidth="1"/>
    <col min="11" max="11" width="14" customWidth="1"/>
    <col min="12" max="12" width="15.6640625" customWidth="1"/>
    <col min="13" max="13" width="17.5546875" customWidth="1"/>
    <col min="16" max="16" width="14" bestFit="1" customWidth="1"/>
  </cols>
  <sheetData>
    <row r="1" spans="1:14" ht="15" thickBot="1" x14ac:dyDescent="0.35">
      <c r="F1" s="39"/>
      <c r="G1" s="39"/>
      <c r="H1" s="39"/>
    </row>
    <row r="2" spans="1:14" ht="40.799999999999997" x14ac:dyDescent="0.3">
      <c r="A2" s="337" t="s">
        <v>222</v>
      </c>
      <c r="B2" s="338" t="s">
        <v>223</v>
      </c>
      <c r="C2" s="338" t="s">
        <v>224</v>
      </c>
      <c r="D2" s="339" t="s">
        <v>225</v>
      </c>
      <c r="E2" s="339" t="s">
        <v>226</v>
      </c>
      <c r="F2" s="340" t="s">
        <v>227</v>
      </c>
      <c r="G2" s="305"/>
    </row>
    <row r="3" spans="1:14" x14ac:dyDescent="0.3">
      <c r="A3" s="372" t="s">
        <v>602</v>
      </c>
      <c r="B3" s="373"/>
      <c r="C3" s="373"/>
      <c r="D3" s="373"/>
      <c r="E3" s="373"/>
      <c r="F3" s="374"/>
      <c r="G3" s="306"/>
      <c r="H3" s="1"/>
      <c r="I3" s="1"/>
      <c r="J3" s="1"/>
    </row>
    <row r="4" spans="1:14" x14ac:dyDescent="0.3">
      <c r="A4" s="375">
        <v>1</v>
      </c>
      <c r="B4" s="327" t="s">
        <v>609</v>
      </c>
      <c r="C4" s="328">
        <v>2</v>
      </c>
      <c r="D4" s="329"/>
      <c r="E4" s="329"/>
      <c r="F4" s="341">
        <f>SUM(F5:F7)*C4</f>
        <v>1150104</v>
      </c>
      <c r="G4" s="307"/>
      <c r="H4" s="41"/>
      <c r="M4" t="s">
        <v>213</v>
      </c>
      <c r="N4" s="40">
        <v>4449</v>
      </c>
    </row>
    <row r="5" spans="1:14" x14ac:dyDescent="0.3">
      <c r="A5" s="375"/>
      <c r="B5" s="330" t="s">
        <v>234</v>
      </c>
      <c r="C5" s="331">
        <v>1</v>
      </c>
      <c r="D5" s="332">
        <v>25549</v>
      </c>
      <c r="E5" s="332">
        <f>D5*C5</f>
        <v>25549</v>
      </c>
      <c r="F5" s="342">
        <f>E5*12</f>
        <v>306588</v>
      </c>
      <c r="G5" s="308"/>
      <c r="H5" s="41"/>
      <c r="M5" t="s">
        <v>214</v>
      </c>
      <c r="N5" s="40">
        <v>7349</v>
      </c>
    </row>
    <row r="6" spans="1:14" x14ac:dyDescent="0.3">
      <c r="A6" s="375"/>
      <c r="B6" s="333" t="s">
        <v>230</v>
      </c>
      <c r="C6" s="331">
        <v>24</v>
      </c>
      <c r="D6" s="334">
        <v>849</v>
      </c>
      <c r="E6" s="332">
        <f>D6*C6</f>
        <v>20376</v>
      </c>
      <c r="F6" s="342">
        <f>E6*12</f>
        <v>244512</v>
      </c>
      <c r="G6" s="308"/>
      <c r="H6" s="41"/>
      <c r="M6" t="s">
        <v>215</v>
      </c>
      <c r="N6">
        <v>13349</v>
      </c>
    </row>
    <row r="7" spans="1:14" x14ac:dyDescent="0.3">
      <c r="A7" s="375"/>
      <c r="B7" s="330" t="s">
        <v>231</v>
      </c>
      <c r="C7" s="331">
        <v>4</v>
      </c>
      <c r="D7" s="335">
        <v>499</v>
      </c>
      <c r="E7" s="332">
        <f>D7*C7</f>
        <v>1996</v>
      </c>
      <c r="F7" s="342">
        <f>E7*12</f>
        <v>23952</v>
      </c>
      <c r="G7" s="308"/>
      <c r="H7" s="41"/>
      <c r="M7" t="s">
        <v>216</v>
      </c>
      <c r="N7">
        <v>19949</v>
      </c>
    </row>
    <row r="8" spans="1:14" x14ac:dyDescent="0.3">
      <c r="A8" s="376">
        <v>2</v>
      </c>
      <c r="B8" s="327" t="s">
        <v>610</v>
      </c>
      <c r="C8" s="331">
        <v>5</v>
      </c>
      <c r="D8" s="329"/>
      <c r="E8" s="329"/>
      <c r="F8" s="341">
        <f>SUM(F9:F11)*C8</f>
        <v>1094520</v>
      </c>
      <c r="G8" s="307"/>
      <c r="H8" s="41"/>
      <c r="M8" t="s">
        <v>217</v>
      </c>
      <c r="N8">
        <v>25549</v>
      </c>
    </row>
    <row r="9" spans="1:14" x14ac:dyDescent="0.3">
      <c r="A9" s="376"/>
      <c r="B9" s="330" t="s">
        <v>229</v>
      </c>
      <c r="C9" s="331">
        <v>1</v>
      </c>
      <c r="D9" s="332">
        <v>13349</v>
      </c>
      <c r="E9" s="332">
        <f>D9*C9</f>
        <v>13349</v>
      </c>
      <c r="F9" s="342">
        <f>E9*12</f>
        <v>160188</v>
      </c>
      <c r="G9" s="308"/>
      <c r="H9" s="41"/>
      <c r="M9" t="s">
        <v>218</v>
      </c>
      <c r="N9">
        <v>49649</v>
      </c>
    </row>
    <row r="10" spans="1:14" x14ac:dyDescent="0.3">
      <c r="A10" s="376"/>
      <c r="B10" s="333" t="s">
        <v>230</v>
      </c>
      <c r="C10" s="331">
        <v>4</v>
      </c>
      <c r="D10" s="334">
        <v>849</v>
      </c>
      <c r="E10" s="332">
        <f>D10*C10</f>
        <v>3396</v>
      </c>
      <c r="F10" s="342">
        <f>E10*12</f>
        <v>40752</v>
      </c>
      <c r="G10" s="308"/>
      <c r="H10" s="41"/>
    </row>
    <row r="11" spans="1:14" x14ac:dyDescent="0.3">
      <c r="A11" s="376"/>
      <c r="B11" s="330" t="s">
        <v>232</v>
      </c>
      <c r="C11" s="331">
        <v>3</v>
      </c>
      <c r="D11" s="335">
        <v>499</v>
      </c>
      <c r="E11" s="332">
        <f>D11*C11</f>
        <v>1497</v>
      </c>
      <c r="F11" s="342">
        <f>E11*12</f>
        <v>17964</v>
      </c>
      <c r="G11" s="308"/>
      <c r="H11" s="41"/>
      <c r="I11" s="43"/>
      <c r="J11" s="44" t="s">
        <v>304</v>
      </c>
      <c r="K11" s="44" t="s">
        <v>305</v>
      </c>
      <c r="M11" t="s">
        <v>220</v>
      </c>
      <c r="N11">
        <v>2110</v>
      </c>
    </row>
    <row r="12" spans="1:14" x14ac:dyDescent="0.3">
      <c r="A12" s="376">
        <v>3</v>
      </c>
      <c r="B12" s="327" t="s">
        <v>612</v>
      </c>
      <c r="C12" s="331">
        <v>2</v>
      </c>
      <c r="D12" s="329"/>
      <c r="E12" s="329"/>
      <c r="F12" s="341">
        <f>SUM(F13:F15)*C12</f>
        <v>2233272</v>
      </c>
      <c r="G12" s="307"/>
      <c r="H12" s="41"/>
      <c r="M12" t="s">
        <v>217</v>
      </c>
      <c r="N12">
        <v>25549</v>
      </c>
    </row>
    <row r="13" spans="1:14" x14ac:dyDescent="0.3">
      <c r="A13" s="376"/>
      <c r="B13" s="330" t="s">
        <v>234</v>
      </c>
      <c r="C13" s="331">
        <v>1</v>
      </c>
      <c r="D13" s="332">
        <v>25549</v>
      </c>
      <c r="E13" s="332">
        <f>D13*C13</f>
        <v>25549</v>
      </c>
      <c r="F13" s="342">
        <f>E13*12</f>
        <v>306588</v>
      </c>
      <c r="G13" s="308"/>
      <c r="H13" s="41"/>
      <c r="M13" t="s">
        <v>218</v>
      </c>
      <c r="N13">
        <v>49649</v>
      </c>
    </row>
    <row r="14" spans="1:14" x14ac:dyDescent="0.3">
      <c r="A14" s="376"/>
      <c r="B14" s="333" t="s">
        <v>230</v>
      </c>
      <c r="C14" s="331">
        <v>56</v>
      </c>
      <c r="D14" s="334">
        <v>849</v>
      </c>
      <c r="E14" s="332">
        <f>D14*C14</f>
        <v>47544</v>
      </c>
      <c r="F14" s="342">
        <f>E14*12</f>
        <v>570528</v>
      </c>
      <c r="G14" s="308"/>
      <c r="H14" s="41"/>
    </row>
    <row r="15" spans="1:14" x14ac:dyDescent="0.3">
      <c r="A15" s="376"/>
      <c r="B15" s="330" t="s">
        <v>232</v>
      </c>
      <c r="C15" s="331">
        <v>40</v>
      </c>
      <c r="D15" s="335">
        <v>499</v>
      </c>
      <c r="E15" s="332">
        <f>D15*C15</f>
        <v>19960</v>
      </c>
      <c r="F15" s="342">
        <f>E15*12</f>
        <v>239520</v>
      </c>
      <c r="G15" s="308"/>
      <c r="H15" s="41"/>
      <c r="I15" s="43"/>
      <c r="J15" s="44" t="s">
        <v>304</v>
      </c>
      <c r="K15" s="44" t="s">
        <v>305</v>
      </c>
      <c r="M15" t="s">
        <v>220</v>
      </c>
      <c r="N15">
        <v>2110</v>
      </c>
    </row>
    <row r="16" spans="1:14" x14ac:dyDescent="0.3">
      <c r="A16" s="376">
        <v>4</v>
      </c>
      <c r="B16" s="327" t="s">
        <v>611</v>
      </c>
      <c r="C16" s="331">
        <v>3</v>
      </c>
      <c r="D16" s="329"/>
      <c r="E16" s="329"/>
      <c r="F16" s="341">
        <f>SUM(F17:F19)*C16</f>
        <v>8486784</v>
      </c>
      <c r="G16" s="307"/>
      <c r="H16" s="41"/>
      <c r="I16" s="43" t="s">
        <v>263</v>
      </c>
      <c r="J16" s="118">
        <f>J34+744000</f>
        <v>10377278</v>
      </c>
      <c r="K16" s="119">
        <f>E42</f>
        <v>0</v>
      </c>
      <c r="M16" t="s">
        <v>219</v>
      </c>
      <c r="N16">
        <v>849</v>
      </c>
    </row>
    <row r="17" spans="1:14" x14ac:dyDescent="0.3">
      <c r="A17" s="376"/>
      <c r="B17" s="330" t="s">
        <v>236</v>
      </c>
      <c r="C17" s="331">
        <v>4</v>
      </c>
      <c r="D17" s="332">
        <v>49649</v>
      </c>
      <c r="E17" s="332">
        <f>D17*C17</f>
        <v>198596</v>
      </c>
      <c r="F17" s="342">
        <f>E17*12</f>
        <v>2383152</v>
      </c>
      <c r="G17" s="308"/>
      <c r="H17" s="41"/>
      <c r="I17" s="43" t="s">
        <v>265</v>
      </c>
      <c r="J17" s="43">
        <v>9689988</v>
      </c>
      <c r="K17" s="120">
        <f>E43</f>
        <v>0</v>
      </c>
      <c r="L17">
        <v>9701553</v>
      </c>
      <c r="M17" t="s">
        <v>221</v>
      </c>
      <c r="N17" s="42">
        <v>499</v>
      </c>
    </row>
    <row r="18" spans="1:14" x14ac:dyDescent="0.3">
      <c r="A18" s="376"/>
      <c r="B18" s="333" t="s">
        <v>230</v>
      </c>
      <c r="C18" s="331">
        <v>32</v>
      </c>
      <c r="D18" s="334">
        <v>849</v>
      </c>
      <c r="E18" s="332">
        <f>D18*C18</f>
        <v>27168</v>
      </c>
      <c r="F18" s="342">
        <f>E18*12</f>
        <v>326016</v>
      </c>
      <c r="G18" s="308"/>
      <c r="H18" s="41"/>
      <c r="I18" s="43" t="s">
        <v>266</v>
      </c>
      <c r="J18" s="43">
        <v>4232974</v>
      </c>
      <c r="K18" s="120">
        <f>E44</f>
        <v>0</v>
      </c>
      <c r="L18">
        <v>4215870</v>
      </c>
      <c r="M18">
        <v>21.89</v>
      </c>
    </row>
    <row r="19" spans="1:14" x14ac:dyDescent="0.3">
      <c r="A19" s="376"/>
      <c r="B19" s="330" t="s">
        <v>232</v>
      </c>
      <c r="C19" s="331">
        <v>20</v>
      </c>
      <c r="D19" s="335">
        <v>499</v>
      </c>
      <c r="E19" s="332">
        <f>D19*C19</f>
        <v>9980</v>
      </c>
      <c r="F19" s="342">
        <f>E19*12</f>
        <v>119760</v>
      </c>
      <c r="G19" s="308"/>
      <c r="H19" s="41"/>
      <c r="I19" s="43"/>
      <c r="J19" s="43"/>
      <c r="K19" s="43"/>
      <c r="M19">
        <v>12.57</v>
      </c>
    </row>
    <row r="20" spans="1:14" x14ac:dyDescent="0.3">
      <c r="A20" s="343"/>
      <c r="B20" s="330"/>
      <c r="C20" s="331"/>
      <c r="D20" s="335"/>
      <c r="E20" s="332"/>
      <c r="F20" s="342"/>
      <c r="G20" s="308"/>
      <c r="H20" s="41"/>
      <c r="J20" t="s">
        <v>266</v>
      </c>
    </row>
    <row r="21" spans="1:14" x14ac:dyDescent="0.3">
      <c r="A21" s="343"/>
      <c r="B21" s="316"/>
      <c r="C21" s="74"/>
      <c r="D21" s="79"/>
      <c r="E21" s="75"/>
      <c r="F21" s="75"/>
      <c r="G21" s="308">
        <f>F21*9</f>
        <v>0</v>
      </c>
      <c r="H21" s="41"/>
    </row>
    <row r="22" spans="1:14" x14ac:dyDescent="0.3">
      <c r="A22" s="343"/>
      <c r="B22" s="365"/>
      <c r="C22" s="366"/>
      <c r="D22" s="367"/>
      <c r="E22" s="308"/>
      <c r="F22" s="308"/>
      <c r="G22" s="308"/>
      <c r="H22" s="41"/>
    </row>
    <row r="23" spans="1:14" x14ac:dyDescent="0.3">
      <c r="A23" s="344"/>
      <c r="B23" s="326" t="s">
        <v>240</v>
      </c>
      <c r="C23" s="323"/>
      <c r="D23" s="323"/>
      <c r="E23" s="323"/>
      <c r="F23" s="345">
        <f>SUM(F4,F8,F12,F16)</f>
        <v>12964680</v>
      </c>
      <c r="G23" s="309"/>
      <c r="H23" s="41"/>
    </row>
    <row r="24" spans="1:14" x14ac:dyDescent="0.3">
      <c r="A24" s="343"/>
      <c r="B24" s="330"/>
      <c r="C24" s="331"/>
      <c r="D24" s="335"/>
      <c r="E24" s="332"/>
      <c r="F24" s="342"/>
      <c r="G24" s="308"/>
      <c r="H24" s="41"/>
    </row>
    <row r="25" spans="1:14" x14ac:dyDescent="0.3">
      <c r="A25" s="343"/>
      <c r="B25" s="336" t="s">
        <v>241</v>
      </c>
      <c r="C25" s="331"/>
      <c r="D25" s="335"/>
      <c r="E25" s="332"/>
      <c r="F25" s="342"/>
      <c r="G25" s="308"/>
      <c r="H25" s="41"/>
      <c r="I25">
        <v>1850</v>
      </c>
      <c r="J25">
        <f>25000/12</f>
        <v>2083.3333333333335</v>
      </c>
    </row>
    <row r="26" spans="1:14" x14ac:dyDescent="0.3">
      <c r="A26" s="343">
        <v>1</v>
      </c>
      <c r="B26" s="333" t="s">
        <v>237</v>
      </c>
      <c r="C26" s="331">
        <v>12</v>
      </c>
      <c r="D26" s="335">
        <v>2083</v>
      </c>
      <c r="E26" s="332">
        <f>D26*C26</f>
        <v>24996</v>
      </c>
      <c r="F26" s="342">
        <f>E26*12</f>
        <v>299952</v>
      </c>
      <c r="G26" s="308"/>
      <c r="H26" s="41"/>
    </row>
    <row r="27" spans="1:14" x14ac:dyDescent="0.3">
      <c r="A27" s="343"/>
      <c r="B27" s="333"/>
      <c r="C27" s="331"/>
      <c r="D27" s="335"/>
      <c r="E27" s="332"/>
      <c r="F27" s="342"/>
      <c r="G27" s="308"/>
      <c r="H27" s="41"/>
    </row>
    <row r="28" spans="1:14" x14ac:dyDescent="0.3">
      <c r="A28" s="343">
        <v>2</v>
      </c>
      <c r="B28" s="333" t="s">
        <v>267</v>
      </c>
      <c r="C28" s="331">
        <v>12</v>
      </c>
      <c r="D28" s="335">
        <v>4670</v>
      </c>
      <c r="E28" s="332">
        <f>D28*C28</f>
        <v>56040</v>
      </c>
      <c r="F28" s="342">
        <f>E28*12</f>
        <v>672480</v>
      </c>
      <c r="G28" s="308"/>
      <c r="H28" s="41"/>
    </row>
    <row r="29" spans="1:14" x14ac:dyDescent="0.3">
      <c r="A29" s="343">
        <v>3</v>
      </c>
      <c r="B29" s="333" t="s">
        <v>530</v>
      </c>
      <c r="C29" s="331">
        <v>0</v>
      </c>
      <c r="D29" s="335">
        <v>1950</v>
      </c>
      <c r="E29" s="332">
        <f>C29*D29</f>
        <v>0</v>
      </c>
      <c r="F29" s="342">
        <f>E29*12</f>
        <v>0</v>
      </c>
      <c r="G29" s="308"/>
      <c r="H29" s="41"/>
    </row>
    <row r="30" spans="1:14" x14ac:dyDescent="0.3">
      <c r="A30" s="343"/>
      <c r="B30" s="333"/>
      <c r="C30" s="331"/>
      <c r="D30" s="335"/>
      <c r="E30" s="332"/>
      <c r="F30" s="342"/>
      <c r="G30" s="308"/>
      <c r="H30" s="41"/>
    </row>
    <row r="31" spans="1:14" x14ac:dyDescent="0.3">
      <c r="A31" s="346">
        <v>5</v>
      </c>
      <c r="B31" s="330" t="s">
        <v>287</v>
      </c>
      <c r="C31" s="331">
        <v>12</v>
      </c>
      <c r="D31" s="335">
        <v>1340</v>
      </c>
      <c r="E31" s="332">
        <f>D31*C31</f>
        <v>16080</v>
      </c>
      <c r="F31" s="342">
        <f>E31*12</f>
        <v>192960</v>
      </c>
      <c r="G31" s="308"/>
      <c r="H31" s="41"/>
      <c r="I31" t="s">
        <v>256</v>
      </c>
      <c r="J31" s="95">
        <v>2644848</v>
      </c>
    </row>
    <row r="32" spans="1:14" x14ac:dyDescent="0.3">
      <c r="A32" s="346">
        <v>6</v>
      </c>
      <c r="B32" s="330" t="s">
        <v>244</v>
      </c>
      <c r="C32" s="331">
        <v>4</v>
      </c>
      <c r="D32" s="335">
        <v>13440</v>
      </c>
      <c r="E32" s="332">
        <f>D32*C32</f>
        <v>53760</v>
      </c>
      <c r="F32" s="342">
        <f>E32*12</f>
        <v>645120</v>
      </c>
      <c r="G32" s="308"/>
      <c r="H32" s="41"/>
      <c r="I32" t="s">
        <v>257</v>
      </c>
      <c r="J32" s="95">
        <v>6988430</v>
      </c>
    </row>
    <row r="33" spans="1:16" x14ac:dyDescent="0.3">
      <c r="A33" s="346"/>
      <c r="B33" s="332"/>
      <c r="C33" s="332"/>
      <c r="D33" s="332"/>
      <c r="E33" s="332"/>
      <c r="F33" s="342"/>
      <c r="G33" s="310"/>
    </row>
    <row r="34" spans="1:16" x14ac:dyDescent="0.3">
      <c r="A34" s="61"/>
      <c r="B34" s="43"/>
      <c r="C34" s="43"/>
      <c r="D34" s="43"/>
      <c r="E34" s="43"/>
      <c r="F34" s="47"/>
      <c r="J34" s="96">
        <f>SUM(J31:J32)</f>
        <v>9633278</v>
      </c>
    </row>
    <row r="35" spans="1:16" x14ac:dyDescent="0.3">
      <c r="A35" s="344"/>
      <c r="B35" s="326" t="s">
        <v>242</v>
      </c>
      <c r="C35" s="323"/>
      <c r="D35" s="323"/>
      <c r="E35" s="323"/>
      <c r="F35" s="345">
        <f>SUM(F26:F32)</f>
        <v>1810512</v>
      </c>
      <c r="G35" s="309"/>
    </row>
    <row r="36" spans="1:16" x14ac:dyDescent="0.3">
      <c r="A36" s="344"/>
      <c r="B36" s="323" t="s">
        <v>246</v>
      </c>
      <c r="C36" s="323"/>
      <c r="D36" s="323"/>
      <c r="E36" s="323"/>
      <c r="F36" s="345">
        <f>F35+F23</f>
        <v>14775192</v>
      </c>
      <c r="G36" s="308"/>
    </row>
    <row r="37" spans="1:16" x14ac:dyDescent="0.3">
      <c r="B37" s="332" t="s">
        <v>561</v>
      </c>
      <c r="C37" s="43"/>
      <c r="D37" s="43"/>
      <c r="E37" s="43"/>
      <c r="F37" s="345">
        <v>250000</v>
      </c>
    </row>
    <row r="38" spans="1:16" ht="15" thickBot="1" x14ac:dyDescent="0.35">
      <c r="A38" s="347"/>
      <c r="B38" s="348" t="s">
        <v>248</v>
      </c>
      <c r="C38" s="349"/>
      <c r="D38" s="349"/>
      <c r="E38" s="349"/>
      <c r="F38" s="368">
        <f>F36+F37</f>
        <v>15025192</v>
      </c>
      <c r="G38" s="311"/>
    </row>
    <row r="39" spans="1:16" x14ac:dyDescent="0.3">
      <c r="B39" t="s">
        <v>613</v>
      </c>
      <c r="F39" s="325">
        <f>F38*0.5</f>
        <v>7512596</v>
      </c>
      <c r="G39" s="311"/>
    </row>
    <row r="41" spans="1:16" ht="15" thickBot="1" x14ac:dyDescent="0.35">
      <c r="F41" s="289"/>
      <c r="G41" s="289"/>
      <c r="K41" s="298" t="s">
        <v>556</v>
      </c>
      <c r="L41" s="298" t="s">
        <v>557</v>
      </c>
      <c r="M41" s="298" t="s">
        <v>308</v>
      </c>
      <c r="N41" s="298" t="s">
        <v>309</v>
      </c>
      <c r="O41" s="298" t="s">
        <v>558</v>
      </c>
      <c r="P41" s="298" t="s">
        <v>559</v>
      </c>
    </row>
    <row r="42" spans="1:16" ht="100.8" x14ac:dyDescent="0.3">
      <c r="B42" s="100"/>
      <c r="C42" s="103"/>
      <c r="D42" s="91"/>
      <c r="E42" s="91"/>
      <c r="I42" s="100"/>
      <c r="J42" s="292"/>
      <c r="K42" s="299">
        <v>1</v>
      </c>
      <c r="L42" s="299" t="s">
        <v>539</v>
      </c>
      <c r="M42" s="300" t="s">
        <v>541</v>
      </c>
      <c r="N42" s="299">
        <v>2</v>
      </c>
      <c r="O42" s="301">
        <v>480000</v>
      </c>
      <c r="P42" s="299">
        <f>N42*O42</f>
        <v>960000</v>
      </c>
    </row>
    <row r="43" spans="1:16" ht="100.8" x14ac:dyDescent="0.3">
      <c r="B43" s="101"/>
      <c r="C43" s="98"/>
      <c r="I43" s="101"/>
      <c r="J43" s="293"/>
      <c r="K43" s="299">
        <v>2</v>
      </c>
      <c r="L43" s="299" t="s">
        <v>333</v>
      </c>
      <c r="M43" s="300" t="s">
        <v>542</v>
      </c>
      <c r="N43" s="299">
        <v>2</v>
      </c>
      <c r="O43" s="301">
        <v>720000</v>
      </c>
      <c r="P43" s="299">
        <f t="shared" ref="P43:P49" si="0">N43*O43</f>
        <v>1440000</v>
      </c>
    </row>
    <row r="44" spans="1:16" ht="100.8" x14ac:dyDescent="0.3">
      <c r="B44" s="101"/>
      <c r="C44" s="98"/>
      <c r="I44" s="101"/>
      <c r="J44" s="293"/>
      <c r="K44" s="299">
        <v>3</v>
      </c>
      <c r="L44" s="299" t="s">
        <v>540</v>
      </c>
      <c r="M44" s="300" t="s">
        <v>547</v>
      </c>
      <c r="N44" s="299">
        <v>2</v>
      </c>
      <c r="O44" s="301">
        <v>840000</v>
      </c>
      <c r="P44" s="299">
        <f t="shared" si="0"/>
        <v>1680000</v>
      </c>
    </row>
    <row r="45" spans="1:16" ht="28.8" x14ac:dyDescent="0.3">
      <c r="B45" s="101"/>
      <c r="C45" s="98"/>
      <c r="D45" s="98"/>
      <c r="E45" s="91"/>
      <c r="I45" s="101"/>
      <c r="J45" s="293"/>
      <c r="K45" s="299">
        <v>4</v>
      </c>
      <c r="L45" s="299" t="s">
        <v>543</v>
      </c>
      <c r="M45" s="300" t="s">
        <v>544</v>
      </c>
      <c r="N45" s="299">
        <v>1</v>
      </c>
      <c r="O45" s="301">
        <v>3480000</v>
      </c>
      <c r="P45" s="299">
        <f t="shared" si="0"/>
        <v>3480000</v>
      </c>
    </row>
    <row r="46" spans="1:16" x14ac:dyDescent="0.3">
      <c r="B46" s="101"/>
      <c r="C46" s="98"/>
      <c r="D46" s="98"/>
      <c r="F46" s="91"/>
      <c r="G46" s="91"/>
      <c r="I46" s="101"/>
      <c r="J46" s="293"/>
      <c r="K46" s="299">
        <v>5</v>
      </c>
      <c r="L46" s="299" t="s">
        <v>545</v>
      </c>
      <c r="M46" s="300" t="s">
        <v>546</v>
      </c>
      <c r="N46" s="299">
        <v>2</v>
      </c>
      <c r="O46" s="301">
        <v>480000</v>
      </c>
      <c r="P46" s="299">
        <f t="shared" si="0"/>
        <v>960000</v>
      </c>
    </row>
    <row r="47" spans="1:16" ht="72.599999999999994" thickBot="1" x14ac:dyDescent="0.35">
      <c r="B47" s="102"/>
      <c r="C47" s="99"/>
      <c r="D47" s="99"/>
      <c r="I47" s="101"/>
      <c r="J47" s="293"/>
      <c r="K47" s="299">
        <v>6</v>
      </c>
      <c r="L47" s="299" t="s">
        <v>548</v>
      </c>
      <c r="M47" s="300" t="s">
        <v>549</v>
      </c>
      <c r="N47" s="299">
        <v>2</v>
      </c>
      <c r="O47" s="301">
        <v>620000</v>
      </c>
      <c r="P47" s="299">
        <f t="shared" si="0"/>
        <v>1240000</v>
      </c>
    </row>
    <row r="48" spans="1:16" x14ac:dyDescent="0.3">
      <c r="I48" s="101"/>
      <c r="J48" s="294"/>
      <c r="K48" s="299">
        <v>7</v>
      </c>
      <c r="L48" s="299" t="s">
        <v>554</v>
      </c>
      <c r="M48" s="299"/>
      <c r="N48" s="299">
        <v>6</v>
      </c>
      <c r="O48" s="301">
        <v>220000</v>
      </c>
      <c r="P48" s="299">
        <f t="shared" si="0"/>
        <v>1320000</v>
      </c>
    </row>
    <row r="49" spans="1:16" x14ac:dyDescent="0.3">
      <c r="I49" s="101"/>
      <c r="J49" s="295"/>
      <c r="K49" s="299">
        <v>8</v>
      </c>
      <c r="L49" s="299" t="s">
        <v>560</v>
      </c>
      <c r="M49" s="299"/>
      <c r="N49" s="299">
        <v>12</v>
      </c>
      <c r="O49" s="301">
        <v>650000</v>
      </c>
      <c r="P49" s="299">
        <f t="shared" si="0"/>
        <v>7800000</v>
      </c>
    </row>
    <row r="50" spans="1:16" ht="15" thickBot="1" x14ac:dyDescent="0.35">
      <c r="A50" s="65"/>
      <c r="B50" s="66"/>
      <c r="C50" s="66"/>
      <c r="D50" s="67"/>
      <c r="E50" s="67"/>
      <c r="F50" s="68"/>
      <c r="G50" s="305"/>
      <c r="I50" s="102"/>
      <c r="J50" s="296"/>
      <c r="K50" s="299"/>
      <c r="L50" s="299"/>
      <c r="M50" s="299"/>
      <c r="N50" s="299"/>
      <c r="O50" s="299"/>
      <c r="P50" s="299"/>
    </row>
    <row r="51" spans="1:16" ht="15" thickBot="1" x14ac:dyDescent="0.35">
      <c r="A51" s="377"/>
      <c r="B51" s="378"/>
      <c r="C51" s="378"/>
      <c r="D51" s="378"/>
      <c r="E51" s="378"/>
      <c r="F51" s="379"/>
      <c r="G51" s="306"/>
      <c r="I51" s="115"/>
      <c r="J51" s="297"/>
      <c r="K51" s="299"/>
      <c r="L51" s="299"/>
      <c r="M51" s="299"/>
      <c r="N51" s="299"/>
      <c r="O51" s="299"/>
      <c r="P51" s="302">
        <f>SUM(P42:P49)</f>
        <v>18880000</v>
      </c>
    </row>
    <row r="52" spans="1:16" ht="15" thickBot="1" x14ac:dyDescent="0.35">
      <c r="A52" s="369"/>
      <c r="B52" s="69"/>
      <c r="C52" s="70"/>
      <c r="D52" s="71"/>
      <c r="E52" s="71"/>
      <c r="F52" s="72"/>
      <c r="G52" s="307"/>
      <c r="I52" s="117"/>
      <c r="J52" s="110"/>
      <c r="K52" s="290"/>
      <c r="L52" s="290"/>
      <c r="M52" s="290"/>
      <c r="N52" s="290"/>
      <c r="O52" s="290"/>
      <c r="P52" s="291"/>
    </row>
    <row r="53" spans="1:16" ht="15" thickBot="1" x14ac:dyDescent="0.35">
      <c r="A53" s="370"/>
      <c r="B53" s="73"/>
      <c r="C53" s="74"/>
      <c r="D53" s="75"/>
      <c r="E53" s="75"/>
      <c r="F53" s="75"/>
      <c r="G53" s="308"/>
      <c r="I53" s="117"/>
      <c r="J53" s="110"/>
      <c r="K53" s="290"/>
      <c r="L53" s="290"/>
      <c r="M53" s="290"/>
      <c r="N53" s="290"/>
      <c r="O53" s="290"/>
      <c r="P53" s="290"/>
    </row>
    <row r="54" spans="1:16" x14ac:dyDescent="0.3">
      <c r="A54" s="370"/>
      <c r="B54" s="76"/>
      <c r="C54" s="74"/>
      <c r="D54" s="77"/>
      <c r="E54" s="75"/>
      <c r="F54" s="75"/>
      <c r="G54" s="308"/>
      <c r="K54" s="290"/>
      <c r="L54" s="290"/>
      <c r="M54" s="290"/>
      <c r="N54" s="290"/>
      <c r="O54" s="290"/>
      <c r="P54" s="290"/>
    </row>
    <row r="55" spans="1:16" x14ac:dyDescent="0.3">
      <c r="A55" s="371"/>
      <c r="B55" s="78"/>
      <c r="C55" s="74"/>
      <c r="D55" s="79"/>
      <c r="E55" s="75"/>
      <c r="F55" s="75"/>
      <c r="G55" s="308"/>
      <c r="K55" s="290"/>
      <c r="L55" s="290"/>
      <c r="M55" s="290"/>
      <c r="N55" s="290"/>
      <c r="O55" s="290"/>
      <c r="P55" s="290"/>
    </row>
    <row r="56" spans="1:16" x14ac:dyDescent="0.3">
      <c r="A56" s="381"/>
      <c r="B56" s="69"/>
      <c r="C56" s="70"/>
      <c r="D56" s="71"/>
      <c r="E56" s="71"/>
      <c r="F56" s="72"/>
      <c r="G56" s="307"/>
      <c r="K56" s="380" t="s">
        <v>550</v>
      </c>
      <c r="L56" s="380"/>
      <c r="M56" s="380"/>
      <c r="N56" s="380"/>
      <c r="O56" s="380"/>
      <c r="P56" s="380"/>
    </row>
    <row r="57" spans="1:16" x14ac:dyDescent="0.3">
      <c r="A57" s="382"/>
      <c r="B57" s="73"/>
      <c r="C57" s="74"/>
      <c r="D57" s="75"/>
      <c r="E57" s="75"/>
      <c r="F57" s="75"/>
      <c r="G57" s="308"/>
      <c r="K57" s="299"/>
      <c r="L57" s="299"/>
      <c r="M57" s="299"/>
      <c r="N57" s="299"/>
      <c r="O57" s="299" t="s">
        <v>553</v>
      </c>
      <c r="P57" s="299"/>
    </row>
    <row r="58" spans="1:16" x14ac:dyDescent="0.3">
      <c r="A58" s="382"/>
      <c r="B58" s="76"/>
      <c r="C58" s="74"/>
      <c r="D58" s="77"/>
      <c r="E58" s="75"/>
      <c r="F58" s="75"/>
      <c r="G58" s="308"/>
      <c r="K58" s="299">
        <v>1</v>
      </c>
      <c r="L58" s="299" t="s">
        <v>551</v>
      </c>
      <c r="M58" s="299"/>
      <c r="N58" s="299">
        <v>2</v>
      </c>
      <c r="O58" s="301">
        <v>840000</v>
      </c>
      <c r="P58" s="299">
        <f>N58*O58</f>
        <v>1680000</v>
      </c>
    </row>
    <row r="59" spans="1:16" x14ac:dyDescent="0.3">
      <c r="A59" s="383"/>
      <c r="B59" s="78"/>
      <c r="C59" s="74"/>
      <c r="D59" s="79"/>
      <c r="E59" s="75"/>
      <c r="F59" s="75"/>
      <c r="G59" s="308"/>
      <c r="K59" s="299">
        <v>2</v>
      </c>
      <c r="L59" s="299" t="s">
        <v>552</v>
      </c>
      <c r="M59" s="299"/>
      <c r="N59" s="299">
        <v>2</v>
      </c>
      <c r="O59" s="301">
        <v>1640000</v>
      </c>
      <c r="P59" s="299">
        <f>N59*O59</f>
        <v>3280000</v>
      </c>
    </row>
    <row r="60" spans="1:16" x14ac:dyDescent="0.3">
      <c r="A60" s="381"/>
      <c r="B60" s="69"/>
      <c r="C60" s="70"/>
      <c r="D60" s="71"/>
      <c r="E60" s="71"/>
      <c r="F60" s="72"/>
      <c r="G60" s="307"/>
      <c r="K60" s="299">
        <v>3</v>
      </c>
      <c r="L60" s="299" t="s">
        <v>555</v>
      </c>
      <c r="M60" s="299"/>
      <c r="N60" s="299">
        <v>6</v>
      </c>
      <c r="O60" s="301">
        <v>600000</v>
      </c>
      <c r="P60" s="299">
        <f>N60*O60</f>
        <v>3600000</v>
      </c>
    </row>
    <row r="61" spans="1:16" x14ac:dyDescent="0.3">
      <c r="A61" s="382"/>
      <c r="B61" s="73"/>
      <c r="C61" s="74"/>
      <c r="D61" s="75"/>
      <c r="E61" s="75"/>
      <c r="F61" s="75"/>
      <c r="G61" s="308"/>
      <c r="K61" s="299"/>
      <c r="L61" s="299"/>
      <c r="M61" s="299"/>
      <c r="N61" s="299"/>
      <c r="O61" s="299"/>
      <c r="P61" s="299"/>
    </row>
    <row r="62" spans="1:16" x14ac:dyDescent="0.3">
      <c r="A62" s="382"/>
      <c r="B62" s="76"/>
      <c r="C62" s="74"/>
      <c r="D62" s="77"/>
      <c r="E62" s="75"/>
      <c r="F62" s="75"/>
      <c r="G62" s="308"/>
      <c r="K62" s="299"/>
      <c r="L62" s="299"/>
      <c r="M62" s="299"/>
      <c r="N62" s="299"/>
      <c r="O62" s="299"/>
      <c r="P62" s="302">
        <f>SUM(P58:P60)</f>
        <v>8560000</v>
      </c>
    </row>
    <row r="63" spans="1:16" x14ac:dyDescent="0.3">
      <c r="A63" s="383"/>
      <c r="B63" s="78"/>
      <c r="C63" s="74"/>
      <c r="D63" s="79"/>
      <c r="E63" s="75"/>
      <c r="F63" s="75"/>
      <c r="G63" s="308"/>
    </row>
    <row r="64" spans="1:16" x14ac:dyDescent="0.3">
      <c r="A64" s="381"/>
      <c r="B64" s="69"/>
      <c r="C64" s="70"/>
      <c r="D64" s="71"/>
      <c r="E64" s="71"/>
      <c r="F64" s="72"/>
      <c r="G64" s="307"/>
    </row>
    <row r="65" spans="1:14" x14ac:dyDescent="0.3">
      <c r="A65" s="382"/>
      <c r="B65" s="73"/>
      <c r="C65" s="74"/>
      <c r="D65" s="75"/>
      <c r="E65" s="75"/>
      <c r="F65" s="75"/>
      <c r="G65" s="308"/>
    </row>
    <row r="66" spans="1:14" x14ac:dyDescent="0.3">
      <c r="A66" s="382"/>
      <c r="B66" s="76"/>
      <c r="C66" s="74"/>
      <c r="D66" s="77"/>
      <c r="E66" s="75"/>
      <c r="F66" s="75"/>
      <c r="G66" s="308"/>
    </row>
    <row r="67" spans="1:14" x14ac:dyDescent="0.3">
      <c r="A67" s="383"/>
      <c r="B67" s="78"/>
      <c r="C67" s="74"/>
      <c r="D67" s="79"/>
      <c r="E67" s="75"/>
      <c r="F67" s="75"/>
      <c r="G67" s="308"/>
    </row>
    <row r="68" spans="1:14" x14ac:dyDescent="0.3">
      <c r="A68" s="88"/>
      <c r="B68" s="89"/>
      <c r="C68" s="74"/>
      <c r="D68" s="79"/>
      <c r="E68" s="75"/>
      <c r="F68" s="75"/>
      <c r="G68" s="308"/>
    </row>
    <row r="69" spans="1:14" x14ac:dyDescent="0.3">
      <c r="A69" s="87"/>
      <c r="B69" s="66"/>
      <c r="C69" s="87"/>
      <c r="D69" s="87"/>
      <c r="E69" s="87"/>
      <c r="F69" s="92"/>
      <c r="G69" s="311"/>
    </row>
    <row r="70" spans="1:14" x14ac:dyDescent="0.3">
      <c r="A70" s="81"/>
      <c r="B70" s="89"/>
      <c r="C70" s="74"/>
      <c r="D70" s="79"/>
      <c r="E70" s="75"/>
      <c r="F70" s="75"/>
      <c r="G70" s="308"/>
      <c r="J70" t="s">
        <v>566</v>
      </c>
    </row>
    <row r="71" spans="1:14" x14ac:dyDescent="0.3">
      <c r="A71" s="81"/>
      <c r="B71" s="90"/>
      <c r="C71" s="74"/>
      <c r="D71" s="79"/>
      <c r="E71" s="75"/>
      <c r="F71" s="75"/>
      <c r="G71" s="308"/>
      <c r="H71" t="s">
        <v>564</v>
      </c>
      <c r="I71" t="s">
        <v>63</v>
      </c>
    </row>
    <row r="72" spans="1:14" x14ac:dyDescent="0.3">
      <c r="A72" s="81"/>
      <c r="B72" s="82"/>
      <c r="C72" s="74"/>
      <c r="D72" s="79"/>
      <c r="E72" s="75"/>
      <c r="F72" s="75"/>
      <c r="G72" s="308"/>
    </row>
    <row r="73" spans="1:14" x14ac:dyDescent="0.3">
      <c r="A73" s="81"/>
      <c r="B73" s="82"/>
      <c r="C73" s="74"/>
      <c r="D73" s="79"/>
      <c r="E73" s="75"/>
      <c r="F73" s="75"/>
      <c r="G73" s="308">
        <v>1000</v>
      </c>
      <c r="H73">
        <f>G73*3</f>
        <v>3000</v>
      </c>
      <c r="J73" t="s">
        <v>562</v>
      </c>
      <c r="K73" t="s">
        <v>563</v>
      </c>
      <c r="L73" t="s">
        <v>565</v>
      </c>
    </row>
    <row r="74" spans="1:14" x14ac:dyDescent="0.3">
      <c r="A74" s="83"/>
      <c r="B74" s="84"/>
      <c r="C74" s="74"/>
      <c r="D74" s="79"/>
      <c r="E74" s="75"/>
      <c r="F74" s="75"/>
      <c r="G74" s="308"/>
    </row>
    <row r="75" spans="1:14" x14ac:dyDescent="0.3">
      <c r="A75" s="83"/>
      <c r="B75" s="84"/>
      <c r="C75" s="74"/>
      <c r="D75" s="79"/>
      <c r="E75" s="75"/>
      <c r="F75" s="75"/>
      <c r="G75" s="308"/>
    </row>
    <row r="76" spans="1:14" x14ac:dyDescent="0.3">
      <c r="A76" s="83"/>
      <c r="B76" s="84"/>
      <c r="C76" s="74"/>
      <c r="D76" s="79"/>
      <c r="E76" s="75"/>
      <c r="F76" s="75"/>
      <c r="G76" s="308"/>
    </row>
    <row r="77" spans="1:14" x14ac:dyDescent="0.3">
      <c r="A77" s="83"/>
      <c r="B77" s="68"/>
      <c r="C77" s="74"/>
      <c r="D77" s="75"/>
      <c r="E77" s="85"/>
      <c r="F77" s="75"/>
      <c r="G77" s="308"/>
    </row>
    <row r="78" spans="1:14" ht="15" thickBot="1" x14ac:dyDescent="0.35">
      <c r="A78" s="87"/>
      <c r="B78" s="66"/>
      <c r="C78" s="87"/>
      <c r="D78" s="87"/>
      <c r="E78" s="87"/>
      <c r="F78" s="92"/>
      <c r="G78" s="311"/>
    </row>
    <row r="79" spans="1:14" ht="15" thickBot="1" x14ac:dyDescent="0.35">
      <c r="A79" s="87"/>
      <c r="B79" s="87"/>
      <c r="C79" s="87"/>
      <c r="D79" s="87"/>
      <c r="E79" s="87"/>
      <c r="F79" s="75"/>
      <c r="G79" s="308"/>
      <c r="I79" s="362">
        <v>300000</v>
      </c>
      <c r="J79" s="363">
        <v>500000</v>
      </c>
      <c r="K79" s="363">
        <v>750000</v>
      </c>
      <c r="L79" s="364">
        <v>1000000</v>
      </c>
      <c r="M79" s="363">
        <v>1250000</v>
      </c>
    </row>
    <row r="80" spans="1:14" x14ac:dyDescent="0.3">
      <c r="A80" s="87"/>
      <c r="B80" s="87"/>
      <c r="C80" s="87"/>
      <c r="D80" s="87"/>
      <c r="E80" s="87"/>
      <c r="F80" s="75"/>
      <c r="G80" s="308"/>
      <c r="H80" t="s">
        <v>606</v>
      </c>
      <c r="I80">
        <f>I79/100000*3</f>
        <v>9</v>
      </c>
      <c r="J80">
        <f>J79/100000*3</f>
        <v>15</v>
      </c>
      <c r="K80">
        <f>K79/100000*3</f>
        <v>22.5</v>
      </c>
      <c r="L80">
        <f>L79/100000*3</f>
        <v>30</v>
      </c>
      <c r="M80">
        <f>M79/100000*3</f>
        <v>37.5</v>
      </c>
      <c r="N80">
        <f>SUM(I80:M80)</f>
        <v>114</v>
      </c>
    </row>
    <row r="81" spans="1:14" x14ac:dyDescent="0.3">
      <c r="A81" s="87"/>
      <c r="B81" s="93"/>
      <c r="C81" s="87"/>
      <c r="D81" s="87"/>
      <c r="E81" s="87"/>
      <c r="F81" s="92"/>
      <c r="G81" s="311"/>
    </row>
    <row r="82" spans="1:14" x14ac:dyDescent="0.3">
      <c r="H82" t="s">
        <v>607</v>
      </c>
      <c r="N82" t="s">
        <v>608</v>
      </c>
    </row>
    <row r="83" spans="1:14" x14ac:dyDescent="0.3">
      <c r="A83" s="65"/>
      <c r="B83" s="66"/>
      <c r="C83" s="66"/>
      <c r="D83" s="67"/>
      <c r="E83" s="67"/>
      <c r="F83" s="68"/>
      <c r="G83" s="305"/>
    </row>
    <row r="84" spans="1:14" x14ac:dyDescent="0.3">
      <c r="A84" s="377"/>
      <c r="B84" s="378"/>
      <c r="C84" s="378"/>
      <c r="D84" s="378"/>
      <c r="E84" s="378"/>
      <c r="F84" s="379"/>
      <c r="G84" s="306"/>
    </row>
    <row r="85" spans="1:14" x14ac:dyDescent="0.3">
      <c r="A85" s="369"/>
      <c r="B85" s="69"/>
      <c r="C85" s="70"/>
      <c r="D85" s="71"/>
      <c r="E85" s="71"/>
      <c r="F85" s="72"/>
      <c r="G85" s="307"/>
    </row>
    <row r="86" spans="1:14" x14ac:dyDescent="0.3">
      <c r="A86" s="370"/>
      <c r="B86" s="73"/>
      <c r="C86" s="74"/>
      <c r="D86" s="75"/>
      <c r="E86" s="75"/>
      <c r="F86" s="75"/>
      <c r="G86" s="308"/>
    </row>
    <row r="87" spans="1:14" x14ac:dyDescent="0.3">
      <c r="A87" s="370"/>
      <c r="B87" s="76"/>
      <c r="C87" s="74"/>
      <c r="D87" s="77"/>
      <c r="E87" s="75"/>
      <c r="F87" s="75"/>
      <c r="G87" s="308"/>
    </row>
    <row r="88" spans="1:14" x14ac:dyDescent="0.3">
      <c r="A88" s="371"/>
      <c r="B88" s="78"/>
      <c r="C88" s="74"/>
      <c r="D88" s="79"/>
      <c r="E88" s="75"/>
      <c r="F88" s="75"/>
      <c r="G88" s="308"/>
    </row>
    <row r="89" spans="1:14" x14ac:dyDescent="0.3">
      <c r="A89" s="369"/>
      <c r="B89" s="69"/>
      <c r="C89" s="70"/>
      <c r="D89" s="71"/>
      <c r="E89" s="71"/>
      <c r="F89" s="72"/>
      <c r="G89" s="307"/>
    </row>
    <row r="90" spans="1:14" x14ac:dyDescent="0.3">
      <c r="A90" s="370"/>
      <c r="B90" s="73"/>
      <c r="C90" s="74"/>
      <c r="D90" s="75"/>
      <c r="E90" s="75"/>
      <c r="F90" s="75"/>
      <c r="G90" s="308"/>
    </row>
    <row r="91" spans="1:14" x14ac:dyDescent="0.3">
      <c r="A91" s="370"/>
      <c r="B91" s="76"/>
      <c r="C91" s="74"/>
      <c r="D91" s="77"/>
      <c r="E91" s="75"/>
      <c r="F91" s="75"/>
      <c r="G91" s="308"/>
    </row>
    <row r="92" spans="1:14" x14ac:dyDescent="0.3">
      <c r="A92" s="371"/>
      <c r="B92" s="78"/>
      <c r="C92" s="74"/>
      <c r="D92" s="79"/>
      <c r="E92" s="75"/>
      <c r="F92" s="75"/>
      <c r="G92" s="308"/>
    </row>
    <row r="93" spans="1:14" x14ac:dyDescent="0.3">
      <c r="A93" s="381"/>
      <c r="B93" s="69"/>
      <c r="C93" s="70"/>
      <c r="D93" s="71"/>
      <c r="E93" s="71"/>
      <c r="F93" s="72"/>
      <c r="G93" s="307"/>
    </row>
    <row r="94" spans="1:14" x14ac:dyDescent="0.3">
      <c r="A94" s="382"/>
      <c r="B94" s="73"/>
      <c r="C94" s="74"/>
      <c r="D94" s="75"/>
      <c r="E94" s="75"/>
      <c r="F94" s="75"/>
      <c r="G94" s="308"/>
    </row>
    <row r="95" spans="1:14" x14ac:dyDescent="0.3">
      <c r="A95" s="382"/>
      <c r="B95" s="76"/>
      <c r="C95" s="74"/>
      <c r="D95" s="77"/>
      <c r="E95" s="75"/>
      <c r="F95" s="75"/>
      <c r="G95" s="308"/>
    </row>
    <row r="96" spans="1:14" x14ac:dyDescent="0.3">
      <c r="A96" s="383"/>
      <c r="B96" s="78"/>
      <c r="C96" s="74"/>
      <c r="D96" s="79"/>
      <c r="E96" s="75"/>
      <c r="F96" s="75"/>
      <c r="G96" s="308"/>
    </row>
    <row r="97" spans="1:7" x14ac:dyDescent="0.3">
      <c r="A97" s="381"/>
      <c r="B97" s="69"/>
      <c r="C97" s="70"/>
      <c r="D97" s="71"/>
      <c r="E97" s="71"/>
      <c r="F97" s="72"/>
      <c r="G97" s="307"/>
    </row>
    <row r="98" spans="1:7" x14ac:dyDescent="0.3">
      <c r="A98" s="382"/>
      <c r="B98" s="73"/>
      <c r="C98" s="74"/>
      <c r="D98" s="75"/>
      <c r="E98" s="75"/>
      <c r="F98" s="75"/>
      <c r="G98" s="308"/>
    </row>
    <row r="99" spans="1:7" x14ac:dyDescent="0.3">
      <c r="A99" s="382"/>
      <c r="B99" s="76"/>
      <c r="C99" s="74"/>
      <c r="D99" s="77"/>
      <c r="E99" s="75"/>
      <c r="F99" s="75"/>
      <c r="G99" s="308"/>
    </row>
    <row r="100" spans="1:7" x14ac:dyDescent="0.3">
      <c r="A100" s="383"/>
      <c r="B100" s="78"/>
      <c r="C100" s="74"/>
      <c r="D100" s="79"/>
      <c r="E100" s="75"/>
      <c r="F100" s="75"/>
      <c r="G100" s="308"/>
    </row>
    <row r="101" spans="1:7" x14ac:dyDescent="0.3">
      <c r="A101" s="381"/>
      <c r="B101" s="69"/>
      <c r="C101" s="70"/>
      <c r="D101" s="71"/>
      <c r="E101" s="71"/>
      <c r="F101" s="72"/>
      <c r="G101" s="307"/>
    </row>
    <row r="102" spans="1:7" x14ac:dyDescent="0.3">
      <c r="A102" s="382"/>
      <c r="B102" s="73"/>
      <c r="C102" s="74"/>
      <c r="D102" s="75"/>
      <c r="E102" s="75"/>
      <c r="F102" s="75"/>
      <c r="G102" s="308"/>
    </row>
    <row r="103" spans="1:7" x14ac:dyDescent="0.3">
      <c r="A103" s="382"/>
      <c r="B103" s="76"/>
      <c r="C103" s="74"/>
      <c r="D103" s="77"/>
      <c r="E103" s="75"/>
      <c r="F103" s="75"/>
      <c r="G103" s="308"/>
    </row>
    <row r="104" spans="1:7" x14ac:dyDescent="0.3">
      <c r="A104" s="383"/>
      <c r="B104" s="78"/>
      <c r="C104" s="74"/>
      <c r="D104" s="79"/>
      <c r="E104" s="75"/>
      <c r="F104" s="75"/>
      <c r="G104" s="308"/>
    </row>
    <row r="105" spans="1:7" x14ac:dyDescent="0.3">
      <c r="A105" s="88"/>
      <c r="B105" s="89"/>
      <c r="C105" s="74"/>
      <c r="D105" s="79"/>
      <c r="E105" s="75"/>
      <c r="F105" s="75"/>
      <c r="G105" s="308"/>
    </row>
    <row r="106" spans="1:7" x14ac:dyDescent="0.3">
      <c r="A106" s="87"/>
      <c r="B106" s="66"/>
      <c r="C106" s="87"/>
      <c r="D106" s="87"/>
      <c r="E106" s="87"/>
      <c r="F106" s="92"/>
      <c r="G106" s="311"/>
    </row>
    <row r="107" spans="1:7" x14ac:dyDescent="0.3">
      <c r="A107" s="81"/>
      <c r="B107" s="89"/>
      <c r="C107" s="74"/>
      <c r="D107" s="79"/>
      <c r="E107" s="75"/>
      <c r="F107" s="75"/>
      <c r="G107" s="308"/>
    </row>
    <row r="108" spans="1:7" x14ac:dyDescent="0.3">
      <c r="A108" s="81"/>
      <c r="B108" s="90"/>
      <c r="C108" s="74"/>
      <c r="D108" s="79"/>
      <c r="E108" s="75"/>
      <c r="F108" s="75"/>
      <c r="G108" s="308"/>
    </row>
    <row r="109" spans="1:7" x14ac:dyDescent="0.3">
      <c r="A109" s="81"/>
      <c r="B109" s="82"/>
      <c r="C109" s="74"/>
      <c r="D109" s="79"/>
      <c r="E109" s="75"/>
      <c r="F109" s="75"/>
      <c r="G109" s="308"/>
    </row>
    <row r="110" spans="1:7" x14ac:dyDescent="0.3">
      <c r="A110" s="81"/>
      <c r="B110" s="82"/>
      <c r="C110" s="74"/>
      <c r="D110" s="79"/>
      <c r="E110" s="75"/>
      <c r="F110" s="75"/>
      <c r="G110" s="308"/>
    </row>
    <row r="111" spans="1:7" x14ac:dyDescent="0.3">
      <c r="A111" s="83"/>
      <c r="B111" s="84"/>
      <c r="C111" s="74"/>
      <c r="D111" s="79"/>
      <c r="E111" s="75"/>
      <c r="F111" s="75"/>
      <c r="G111" s="308"/>
    </row>
    <row r="112" spans="1:7" x14ac:dyDescent="0.3">
      <c r="A112" s="83"/>
      <c r="B112" s="84"/>
      <c r="C112" s="74"/>
      <c r="D112" s="79"/>
      <c r="E112" s="75"/>
      <c r="F112" s="75"/>
      <c r="G112" s="308"/>
    </row>
    <row r="113" spans="1:8" x14ac:dyDescent="0.3">
      <c r="A113" s="83"/>
      <c r="B113" s="84"/>
      <c r="C113" s="74"/>
      <c r="D113" s="79"/>
      <c r="E113" s="75"/>
      <c r="F113" s="75"/>
      <c r="G113" s="308"/>
    </row>
    <row r="114" spans="1:8" x14ac:dyDescent="0.3">
      <c r="A114" s="83"/>
      <c r="B114" s="68"/>
      <c r="C114" s="74"/>
      <c r="D114" s="75"/>
      <c r="E114" s="85"/>
      <c r="F114" s="75"/>
      <c r="G114" s="308"/>
    </row>
    <row r="115" spans="1:8" x14ac:dyDescent="0.3">
      <c r="A115" s="87"/>
      <c r="B115" s="66"/>
      <c r="C115" s="87"/>
      <c r="D115" s="87"/>
      <c r="E115" s="87"/>
      <c r="F115" s="92"/>
      <c r="G115" s="311"/>
    </row>
    <row r="116" spans="1:8" x14ac:dyDescent="0.3">
      <c r="A116" s="87"/>
      <c r="B116" s="87"/>
      <c r="C116" s="87"/>
      <c r="D116" s="87"/>
      <c r="E116" s="87"/>
      <c r="F116" s="75"/>
      <c r="G116" s="308"/>
    </row>
    <row r="117" spans="1:8" x14ac:dyDescent="0.3">
      <c r="A117" s="87"/>
      <c r="B117" s="87"/>
      <c r="C117" s="87"/>
      <c r="D117" s="87"/>
      <c r="E117" s="87"/>
      <c r="F117" s="75"/>
      <c r="G117" s="308"/>
    </row>
    <row r="118" spans="1:8" x14ac:dyDescent="0.3">
      <c r="A118" s="87"/>
      <c r="B118" s="93"/>
      <c r="C118" s="87"/>
      <c r="D118" s="87"/>
      <c r="E118" s="87"/>
      <c r="F118" s="92"/>
      <c r="G118" s="311"/>
    </row>
    <row r="122" spans="1:8" ht="15.6" thickBot="1" x14ac:dyDescent="0.35">
      <c r="A122" s="261"/>
    </row>
    <row r="123" spans="1:8" ht="31.8" thickBot="1" x14ac:dyDescent="0.35">
      <c r="A123" s="351" t="s">
        <v>122</v>
      </c>
      <c r="B123" s="352" t="s">
        <v>308</v>
      </c>
      <c r="C123" s="353" t="s">
        <v>570</v>
      </c>
      <c r="D123" s="353" t="s">
        <v>571</v>
      </c>
      <c r="E123" s="353" t="s">
        <v>572</v>
      </c>
      <c r="F123" s="353" t="s">
        <v>311</v>
      </c>
      <c r="G123" s="353" t="s">
        <v>397</v>
      </c>
      <c r="H123" s="353" t="s">
        <v>573</v>
      </c>
    </row>
    <row r="124" spans="1:8" ht="120.6" thickBot="1" x14ac:dyDescent="0.35">
      <c r="A124" s="354">
        <v>1</v>
      </c>
      <c r="B124" s="255" t="s">
        <v>576</v>
      </c>
      <c r="C124" s="355">
        <v>316600</v>
      </c>
      <c r="D124" s="356">
        <v>18</v>
      </c>
      <c r="E124" s="355">
        <f>D124/100*C124</f>
        <v>56988</v>
      </c>
      <c r="F124" s="355">
        <f>C124+E124</f>
        <v>373588</v>
      </c>
      <c r="G124" s="355">
        <v>4</v>
      </c>
      <c r="H124" s="357">
        <f>F124*G124</f>
        <v>1494352</v>
      </c>
    </row>
    <row r="125" spans="1:8" ht="120.6" thickBot="1" x14ac:dyDescent="0.35">
      <c r="A125" s="354">
        <v>2</v>
      </c>
      <c r="B125" s="255" t="s">
        <v>577</v>
      </c>
      <c r="C125" s="355">
        <v>571650</v>
      </c>
      <c r="D125" s="356">
        <v>18</v>
      </c>
      <c r="E125" s="355">
        <f>D125/100*C125</f>
        <v>102897</v>
      </c>
      <c r="F125" s="355">
        <f>C125+E125</f>
        <v>674547</v>
      </c>
      <c r="G125" s="355">
        <v>64</v>
      </c>
      <c r="H125" s="357">
        <f>F125*G125</f>
        <v>43171008</v>
      </c>
    </row>
    <row r="126" spans="1:8" ht="15" x14ac:dyDescent="0.3">
      <c r="A126" s="261"/>
    </row>
    <row r="127" spans="1:8" ht="15" x14ac:dyDescent="0.3">
      <c r="A127" s="261"/>
    </row>
    <row r="128" spans="1:8" ht="135" x14ac:dyDescent="0.3">
      <c r="A128" s="261" t="s">
        <v>574</v>
      </c>
    </row>
    <row r="129" spans="1:1" ht="60" x14ac:dyDescent="0.3">
      <c r="A129" s="261" t="s">
        <v>575</v>
      </c>
    </row>
  </sheetData>
  <mergeCells count="17">
    <mergeCell ref="A89:A92"/>
    <mergeCell ref="A93:A96"/>
    <mergeCell ref="A97:A100"/>
    <mergeCell ref="A101:A104"/>
    <mergeCell ref="A56:A59"/>
    <mergeCell ref="K56:P56"/>
    <mergeCell ref="A60:A63"/>
    <mergeCell ref="A64:A67"/>
    <mergeCell ref="A84:F84"/>
    <mergeCell ref="A85:A88"/>
    <mergeCell ref="A52:A55"/>
    <mergeCell ref="A3:F3"/>
    <mergeCell ref="A4:A7"/>
    <mergeCell ref="A8:A11"/>
    <mergeCell ref="A16:A19"/>
    <mergeCell ref="A51:F51"/>
    <mergeCell ref="A12:A15"/>
  </mergeCells>
  <pageMargins left="0.7" right="0.7" top="0.75" bottom="0.75" header="0.3" footer="0.3"/>
  <pageSetup paperSize="9" scale="2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0313A-8B78-42FF-9C39-29E01A5CFB96}">
  <sheetPr>
    <pageSetUpPr fitToPage="1"/>
  </sheetPr>
  <dimension ref="A1:O114"/>
  <sheetViews>
    <sheetView topLeftCell="A12" zoomScale="130" zoomScaleNormal="130" workbookViewId="0">
      <selection activeCell="D13" sqref="D13"/>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1" max="11" width="21" customWidth="1"/>
    <col min="12" max="12" width="24.33203125" customWidth="1"/>
    <col min="15" max="15" width="14" bestFit="1"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526</v>
      </c>
      <c r="B3" s="378"/>
      <c r="C3" s="378"/>
      <c r="D3" s="378"/>
      <c r="E3" s="378"/>
      <c r="F3" s="379"/>
      <c r="G3" s="1"/>
      <c r="H3" s="1"/>
      <c r="I3" s="1"/>
    </row>
    <row r="4" spans="1:13" x14ac:dyDescent="0.3">
      <c r="A4" s="369">
        <v>1</v>
      </c>
      <c r="B4" s="69" t="s">
        <v>532</v>
      </c>
      <c r="C4" s="70">
        <v>1</v>
      </c>
      <c r="D4" s="71"/>
      <c r="E4" s="71"/>
      <c r="F4" s="72">
        <f>SUM(F5:F7)*C4</f>
        <v>587028</v>
      </c>
      <c r="G4" s="41"/>
      <c r="L4" t="s">
        <v>213</v>
      </c>
      <c r="M4" s="40">
        <v>4449</v>
      </c>
    </row>
    <row r="5" spans="1:13" x14ac:dyDescent="0.3">
      <c r="A5" s="370"/>
      <c r="B5" s="73" t="s">
        <v>234</v>
      </c>
      <c r="C5" s="74">
        <v>1</v>
      </c>
      <c r="D5" s="75">
        <v>25549</v>
      </c>
      <c r="E5" s="75">
        <f>D5*C5</f>
        <v>25549</v>
      </c>
      <c r="F5" s="75">
        <f>E5*12</f>
        <v>306588</v>
      </c>
      <c r="G5" s="41"/>
      <c r="L5" t="s">
        <v>214</v>
      </c>
      <c r="M5" s="40">
        <v>7349</v>
      </c>
    </row>
    <row r="6" spans="1:13" x14ac:dyDescent="0.3">
      <c r="A6" s="370"/>
      <c r="B6" s="76" t="s">
        <v>230</v>
      </c>
      <c r="C6" s="74">
        <v>24</v>
      </c>
      <c r="D6" s="77">
        <v>849</v>
      </c>
      <c r="E6" s="75">
        <f>D6*C6</f>
        <v>20376</v>
      </c>
      <c r="F6" s="75">
        <f>E6*12</f>
        <v>244512</v>
      </c>
      <c r="G6" s="41"/>
      <c r="L6" t="s">
        <v>215</v>
      </c>
      <c r="M6">
        <v>13349</v>
      </c>
    </row>
    <row r="7" spans="1:13" x14ac:dyDescent="0.3">
      <c r="A7" s="371"/>
      <c r="B7" s="78" t="s">
        <v>231</v>
      </c>
      <c r="C7" s="74">
        <v>6</v>
      </c>
      <c r="D7" s="79">
        <v>499</v>
      </c>
      <c r="E7" s="75">
        <f>D7*C7</f>
        <v>2994</v>
      </c>
      <c r="F7" s="75">
        <f>E7*12</f>
        <v>35928</v>
      </c>
      <c r="G7" s="41"/>
      <c r="L7" t="s">
        <v>216</v>
      </c>
      <c r="M7">
        <v>19949</v>
      </c>
    </row>
    <row r="8" spans="1:13" x14ac:dyDescent="0.3">
      <c r="A8" s="381">
        <v>2</v>
      </c>
      <c r="B8" s="69" t="s">
        <v>533</v>
      </c>
      <c r="C8" s="80">
        <v>1</v>
      </c>
      <c r="D8" s="71"/>
      <c r="E8" s="71"/>
      <c r="F8" s="72">
        <f>SUM(F9:F11)*C8</f>
        <v>913044</v>
      </c>
      <c r="G8" s="41"/>
      <c r="L8" t="s">
        <v>217</v>
      </c>
      <c r="M8">
        <v>25549</v>
      </c>
    </row>
    <row r="9" spans="1:13" x14ac:dyDescent="0.3">
      <c r="A9" s="382"/>
      <c r="B9" s="73" t="s">
        <v>234</v>
      </c>
      <c r="C9" s="74">
        <v>1</v>
      </c>
      <c r="D9" s="75">
        <v>25549</v>
      </c>
      <c r="E9" s="75">
        <f>D9*C9</f>
        <v>25549</v>
      </c>
      <c r="F9" s="75">
        <f>E9*12</f>
        <v>306588</v>
      </c>
      <c r="G9" s="41"/>
      <c r="L9" t="s">
        <v>218</v>
      </c>
      <c r="M9">
        <v>49649</v>
      </c>
    </row>
    <row r="10" spans="1:13" x14ac:dyDescent="0.3">
      <c r="A10" s="382"/>
      <c r="B10" s="76" t="s">
        <v>230</v>
      </c>
      <c r="C10" s="74">
        <v>56</v>
      </c>
      <c r="D10" s="77">
        <v>849</v>
      </c>
      <c r="E10" s="75">
        <f>D10*C10</f>
        <v>47544</v>
      </c>
      <c r="F10" s="75">
        <f>E10*12</f>
        <v>570528</v>
      </c>
      <c r="G10" s="41"/>
    </row>
    <row r="11" spans="1:13" x14ac:dyDescent="0.3">
      <c r="A11" s="383"/>
      <c r="B11" s="78" t="s">
        <v>232</v>
      </c>
      <c r="C11" s="74">
        <v>6</v>
      </c>
      <c r="D11" s="79">
        <v>499</v>
      </c>
      <c r="E11" s="75">
        <f>D11*C11</f>
        <v>2994</v>
      </c>
      <c r="F11" s="75">
        <f>E11*12</f>
        <v>35928</v>
      </c>
      <c r="G11" s="41"/>
      <c r="H11" s="43"/>
      <c r="I11" s="44" t="s">
        <v>304</v>
      </c>
      <c r="J11" s="44" t="s">
        <v>305</v>
      </c>
      <c r="L11" t="s">
        <v>220</v>
      </c>
      <c r="M11">
        <v>2110</v>
      </c>
    </row>
    <row r="12" spans="1:13" x14ac:dyDescent="0.3">
      <c r="A12" s="381">
        <v>3</v>
      </c>
      <c r="B12" s="69" t="s">
        <v>534</v>
      </c>
      <c r="C12" s="80">
        <v>2</v>
      </c>
      <c r="D12" s="71"/>
      <c r="E12" s="71"/>
      <c r="F12" s="72">
        <f>SUM(F13:F15)*C12</f>
        <v>2648664</v>
      </c>
      <c r="G12" s="41"/>
      <c r="H12" s="43" t="s">
        <v>263</v>
      </c>
      <c r="I12" s="118">
        <f>I30+744000</f>
        <v>10377278</v>
      </c>
      <c r="J12" s="119">
        <f>E38</f>
        <v>0</v>
      </c>
      <c r="L12" t="s">
        <v>219</v>
      </c>
      <c r="M12">
        <v>849</v>
      </c>
    </row>
    <row r="13" spans="1:13" x14ac:dyDescent="0.3">
      <c r="A13" s="382"/>
      <c r="B13" s="73" t="s">
        <v>236</v>
      </c>
      <c r="C13" s="74">
        <v>1</v>
      </c>
      <c r="D13" s="75">
        <v>49649</v>
      </c>
      <c r="E13" s="75">
        <f>D13*C13</f>
        <v>49649</v>
      </c>
      <c r="F13" s="75">
        <f>E13*12</f>
        <v>595788</v>
      </c>
      <c r="G13" s="41"/>
      <c r="H13" s="43" t="s">
        <v>265</v>
      </c>
      <c r="I13" s="43">
        <v>9689988</v>
      </c>
      <c r="J13" s="120">
        <f>E39</f>
        <v>0</v>
      </c>
      <c r="K13">
        <v>9701553</v>
      </c>
      <c r="L13" t="s">
        <v>221</v>
      </c>
      <c r="M13" s="42">
        <v>499</v>
      </c>
    </row>
    <row r="14" spans="1:13" x14ac:dyDescent="0.3">
      <c r="A14" s="382"/>
      <c r="B14" s="76" t="s">
        <v>230</v>
      </c>
      <c r="C14" s="74">
        <v>48</v>
      </c>
      <c r="D14" s="77">
        <v>849</v>
      </c>
      <c r="E14" s="75">
        <f>D14*C14</f>
        <v>40752</v>
      </c>
      <c r="F14" s="75">
        <f>E14*12</f>
        <v>489024</v>
      </c>
      <c r="G14" s="41"/>
      <c r="H14" s="43" t="s">
        <v>266</v>
      </c>
      <c r="I14" s="43">
        <v>4232974</v>
      </c>
      <c r="J14" s="120">
        <f>E40</f>
        <v>0</v>
      </c>
      <c r="K14">
        <v>4215870</v>
      </c>
      <c r="L14">
        <v>21.89</v>
      </c>
    </row>
    <row r="15" spans="1:13" x14ac:dyDescent="0.3">
      <c r="A15" s="383"/>
      <c r="B15" s="78" t="s">
        <v>232</v>
      </c>
      <c r="C15" s="74">
        <v>40</v>
      </c>
      <c r="D15" s="79">
        <v>499</v>
      </c>
      <c r="E15" s="75">
        <f>D15*C15</f>
        <v>19960</v>
      </c>
      <c r="F15" s="75">
        <f>E15*12</f>
        <v>239520</v>
      </c>
      <c r="G15" s="41"/>
      <c r="H15" s="43"/>
      <c r="I15" s="43"/>
      <c r="J15" s="43"/>
      <c r="L15">
        <v>12.57</v>
      </c>
    </row>
    <row r="16" spans="1:13" x14ac:dyDescent="0.3">
      <c r="A16" s="381">
        <v>4</v>
      </c>
      <c r="B16" s="69" t="s">
        <v>535</v>
      </c>
      <c r="C16" s="80">
        <v>1</v>
      </c>
      <c r="D16" s="71"/>
      <c r="E16" s="71"/>
      <c r="F16" s="72">
        <f>SUM(F17:F19)*C16</f>
        <v>330348</v>
      </c>
      <c r="G16" s="41"/>
      <c r="H16" s="43"/>
      <c r="I16" s="121">
        <f>SUM(I12:I14)</f>
        <v>24300240</v>
      </c>
      <c r="J16" s="121">
        <f>SUM(J12:J14)</f>
        <v>0</v>
      </c>
    </row>
    <row r="17" spans="1:9" x14ac:dyDescent="0.3">
      <c r="A17" s="382"/>
      <c r="B17" s="73" t="s">
        <v>229</v>
      </c>
      <c r="C17" s="74">
        <v>1</v>
      </c>
      <c r="D17" s="75">
        <v>13349</v>
      </c>
      <c r="E17" s="75">
        <f>D17*C17</f>
        <v>13349</v>
      </c>
      <c r="F17" s="75">
        <f>E17*12</f>
        <v>160188</v>
      </c>
      <c r="G17" s="41"/>
    </row>
    <row r="18" spans="1:9" x14ac:dyDescent="0.3">
      <c r="A18" s="382"/>
      <c r="B18" s="76" t="s">
        <v>230</v>
      </c>
      <c r="C18" s="74">
        <v>12</v>
      </c>
      <c r="D18" s="77">
        <v>849</v>
      </c>
      <c r="E18" s="75">
        <f>D18*C18</f>
        <v>10188</v>
      </c>
      <c r="F18" s="75">
        <f>E18*12</f>
        <v>122256</v>
      </c>
      <c r="G18" s="41"/>
      <c r="I18" t="s">
        <v>263</v>
      </c>
    </row>
    <row r="19" spans="1:9" x14ac:dyDescent="0.3">
      <c r="A19" s="383"/>
      <c r="B19" s="78" t="s">
        <v>232</v>
      </c>
      <c r="C19" s="74">
        <v>8</v>
      </c>
      <c r="D19" s="79">
        <v>499</v>
      </c>
      <c r="E19" s="75">
        <f>D19*C19</f>
        <v>3992</v>
      </c>
      <c r="F19" s="75">
        <f>E19*12</f>
        <v>47904</v>
      </c>
      <c r="G19" s="41"/>
      <c r="I19" t="s">
        <v>265</v>
      </c>
    </row>
    <row r="20" spans="1:9" x14ac:dyDescent="0.3">
      <c r="A20" s="88"/>
      <c r="B20" s="89"/>
      <c r="C20" s="74"/>
      <c r="D20" s="79"/>
      <c r="E20" s="75"/>
      <c r="F20" s="75"/>
      <c r="G20" s="41"/>
      <c r="I20" t="s">
        <v>266</v>
      </c>
    </row>
    <row r="21" spans="1:9" x14ac:dyDescent="0.3">
      <c r="A21" s="87"/>
      <c r="B21" s="66" t="s">
        <v>240</v>
      </c>
      <c r="C21" s="87"/>
      <c r="D21" s="87"/>
      <c r="E21" s="87"/>
      <c r="F21" s="303">
        <f>SUM(F16,F12,F8,F4,F20)</f>
        <v>4479084</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v>9</v>
      </c>
      <c r="D24" s="79">
        <v>2083</v>
      </c>
      <c r="E24" s="75">
        <f>D24*C24</f>
        <v>18747</v>
      </c>
      <c r="F24" s="75">
        <f>E24*12</f>
        <v>224964</v>
      </c>
      <c r="G24" s="41"/>
    </row>
    <row r="25" spans="1:9" x14ac:dyDescent="0.3">
      <c r="A25" s="81">
        <v>2</v>
      </c>
      <c r="B25" s="82" t="s">
        <v>267</v>
      </c>
      <c r="C25" s="74">
        <v>9</v>
      </c>
      <c r="D25" s="79">
        <v>4670</v>
      </c>
      <c r="E25" s="75">
        <f>D25*C25</f>
        <v>42030</v>
      </c>
      <c r="F25" s="75">
        <f>E25*12</f>
        <v>504360</v>
      </c>
      <c r="G25" s="41"/>
    </row>
    <row r="26" spans="1:9" x14ac:dyDescent="0.3">
      <c r="A26" s="81">
        <v>3</v>
      </c>
      <c r="B26" s="82" t="s">
        <v>530</v>
      </c>
      <c r="C26" s="74">
        <v>64</v>
      </c>
      <c r="D26" s="79">
        <v>1950</v>
      </c>
      <c r="E26" s="75">
        <f>C26*D26</f>
        <v>124800</v>
      </c>
      <c r="F26" s="75">
        <f>E26*12</f>
        <v>1497600</v>
      </c>
      <c r="G26" s="41"/>
    </row>
    <row r="27" spans="1:9" x14ac:dyDescent="0.3">
      <c r="A27" s="83">
        <v>5</v>
      </c>
      <c r="B27" s="84" t="s">
        <v>287</v>
      </c>
      <c r="C27" s="74">
        <v>4</v>
      </c>
      <c r="D27" s="79">
        <v>1340</v>
      </c>
      <c r="E27" s="75">
        <f>D27*C27</f>
        <v>5360</v>
      </c>
      <c r="F27" s="75">
        <f>E27*12</f>
        <v>64320</v>
      </c>
      <c r="G27" s="41"/>
      <c r="H27" t="s">
        <v>256</v>
      </c>
      <c r="I27" s="95">
        <v>2644848</v>
      </c>
    </row>
    <row r="28" spans="1:9" x14ac:dyDescent="0.3">
      <c r="A28" s="83">
        <v>6</v>
      </c>
      <c r="B28" s="84" t="s">
        <v>244</v>
      </c>
      <c r="C28" s="74">
        <v>2</v>
      </c>
      <c r="D28" s="79">
        <v>13440</v>
      </c>
      <c r="E28" s="75">
        <f>D28*C28</f>
        <v>26880</v>
      </c>
      <c r="F28" s="75">
        <f>E28*12</f>
        <v>322560</v>
      </c>
      <c r="G28" s="41"/>
      <c r="H28" t="s">
        <v>257</v>
      </c>
      <c r="I28" s="95">
        <v>6988430</v>
      </c>
    </row>
    <row r="29" spans="1:9" x14ac:dyDescent="0.3">
      <c r="A29" s="83">
        <v>7</v>
      </c>
      <c r="B29" s="75" t="s">
        <v>561</v>
      </c>
      <c r="C29" s="75">
        <v>1</v>
      </c>
      <c r="D29" s="75"/>
      <c r="E29" s="75"/>
      <c r="F29" s="304">
        <v>120000</v>
      </c>
    </row>
    <row r="30" spans="1:9" x14ac:dyDescent="0.3">
      <c r="I30" s="96">
        <f>SUM(I27:I28)</f>
        <v>9633278</v>
      </c>
    </row>
    <row r="31" spans="1:9" x14ac:dyDescent="0.3">
      <c r="A31" s="87"/>
      <c r="B31" s="66" t="s">
        <v>242</v>
      </c>
      <c r="C31" s="87"/>
      <c r="D31" s="87"/>
      <c r="E31" s="87"/>
      <c r="F31" s="303">
        <f>SUM(F24:F28)</f>
        <v>2613804</v>
      </c>
    </row>
    <row r="32" spans="1:9" x14ac:dyDescent="0.3">
      <c r="A32" s="87"/>
      <c r="B32" s="87" t="s">
        <v>246</v>
      </c>
      <c r="C32" s="87"/>
      <c r="D32" s="87"/>
      <c r="E32" s="87"/>
      <c r="F32" s="75">
        <f>F31+F21</f>
        <v>7092888</v>
      </c>
    </row>
    <row r="33" spans="1:15" x14ac:dyDescent="0.3">
      <c r="A33" s="87"/>
      <c r="B33" s="87" t="s">
        <v>536</v>
      </c>
      <c r="C33" s="74"/>
      <c r="D33" s="87"/>
      <c r="E33" s="87"/>
      <c r="F33" s="75">
        <f>F32*0.3</f>
        <v>2127866.4</v>
      </c>
    </row>
    <row r="34" spans="1:15" x14ac:dyDescent="0.3">
      <c r="A34" s="87"/>
      <c r="B34" s="93" t="s">
        <v>248</v>
      </c>
      <c r="C34" s="87"/>
      <c r="D34" s="87"/>
      <c r="E34" s="87"/>
      <c r="F34" s="92">
        <f>F32-F33+F29</f>
        <v>5085021.5999999996</v>
      </c>
    </row>
    <row r="35" spans="1:15" x14ac:dyDescent="0.3">
      <c r="F35" s="92"/>
    </row>
    <row r="37" spans="1:15" ht="15" thickBot="1" x14ac:dyDescent="0.35">
      <c r="F37" s="289">
        <f>SUM(F34:F35)</f>
        <v>5085021.5999999996</v>
      </c>
      <c r="J37" s="298" t="s">
        <v>556</v>
      </c>
      <c r="K37" s="298" t="s">
        <v>557</v>
      </c>
      <c r="L37" s="298" t="s">
        <v>308</v>
      </c>
      <c r="M37" s="298" t="s">
        <v>309</v>
      </c>
      <c r="N37" s="298" t="s">
        <v>558</v>
      </c>
      <c r="O37" s="298" t="s">
        <v>559</v>
      </c>
    </row>
    <row r="38" spans="1:15" ht="86.4" x14ac:dyDescent="0.3">
      <c r="B38" s="100"/>
      <c r="C38" s="103"/>
      <c r="D38" s="91"/>
      <c r="E38" s="91"/>
      <c r="H38" s="100"/>
      <c r="I38" s="292"/>
      <c r="J38" s="299">
        <v>1</v>
      </c>
      <c r="K38" s="299" t="s">
        <v>539</v>
      </c>
      <c r="L38" s="300" t="s">
        <v>541</v>
      </c>
      <c r="M38" s="299">
        <v>2</v>
      </c>
      <c r="N38" s="301">
        <v>480000</v>
      </c>
      <c r="O38" s="299">
        <f>M38*N38</f>
        <v>960000</v>
      </c>
    </row>
    <row r="39" spans="1:15" ht="86.4" x14ac:dyDescent="0.3">
      <c r="B39" s="101"/>
      <c r="C39" s="98"/>
      <c r="H39" s="101"/>
      <c r="I39" s="293"/>
      <c r="J39" s="299">
        <v>2</v>
      </c>
      <c r="K39" s="299" t="s">
        <v>333</v>
      </c>
      <c r="L39" s="300" t="s">
        <v>542</v>
      </c>
      <c r="M39" s="299">
        <v>2</v>
      </c>
      <c r="N39" s="301">
        <v>720000</v>
      </c>
      <c r="O39" s="299">
        <f t="shared" ref="O39:O45" si="0">M39*N39</f>
        <v>1440000</v>
      </c>
    </row>
    <row r="40" spans="1:15" ht="100.8" x14ac:dyDescent="0.3">
      <c r="B40" s="101"/>
      <c r="C40" s="98"/>
      <c r="H40" s="101"/>
      <c r="I40" s="293"/>
      <c r="J40" s="299">
        <v>3</v>
      </c>
      <c r="K40" s="299" t="s">
        <v>540</v>
      </c>
      <c r="L40" s="300" t="s">
        <v>547</v>
      </c>
      <c r="M40" s="299">
        <v>2</v>
      </c>
      <c r="N40" s="301">
        <v>840000</v>
      </c>
      <c r="O40" s="299">
        <f t="shared" si="0"/>
        <v>1680000</v>
      </c>
    </row>
    <row r="41" spans="1:15" ht="28.8" x14ac:dyDescent="0.3">
      <c r="B41" s="101"/>
      <c r="C41" s="98"/>
      <c r="D41" s="98"/>
      <c r="E41" s="91"/>
      <c r="H41" s="101"/>
      <c r="I41" s="293"/>
      <c r="J41" s="299">
        <v>4</v>
      </c>
      <c r="K41" s="299" t="s">
        <v>543</v>
      </c>
      <c r="L41" s="300" t="s">
        <v>544</v>
      </c>
      <c r="M41" s="299">
        <v>1</v>
      </c>
      <c r="N41" s="301">
        <v>3480000</v>
      </c>
      <c r="O41" s="299">
        <f t="shared" si="0"/>
        <v>3480000</v>
      </c>
    </row>
    <row r="42" spans="1:15" x14ac:dyDescent="0.3">
      <c r="B42" s="101"/>
      <c r="C42" s="98"/>
      <c r="D42" s="98"/>
      <c r="F42" s="91"/>
      <c r="H42" s="101"/>
      <c r="I42" s="293"/>
      <c r="J42" s="299">
        <v>5</v>
      </c>
      <c r="K42" s="299" t="s">
        <v>545</v>
      </c>
      <c r="L42" s="300" t="s">
        <v>546</v>
      </c>
      <c r="M42" s="299">
        <v>2</v>
      </c>
      <c r="N42" s="301">
        <v>480000</v>
      </c>
      <c r="O42" s="299">
        <f t="shared" si="0"/>
        <v>960000</v>
      </c>
    </row>
    <row r="43" spans="1:15" ht="43.8" thickBot="1" x14ac:dyDescent="0.35">
      <c r="B43" s="102"/>
      <c r="C43" s="99"/>
      <c r="D43" s="99"/>
      <c r="H43" s="101"/>
      <c r="I43" s="293"/>
      <c r="J43" s="299">
        <v>6</v>
      </c>
      <c r="K43" s="299" t="s">
        <v>548</v>
      </c>
      <c r="L43" s="300" t="s">
        <v>549</v>
      </c>
      <c r="M43" s="299">
        <v>2</v>
      </c>
      <c r="N43" s="301">
        <v>620000</v>
      </c>
      <c r="O43" s="299">
        <f t="shared" si="0"/>
        <v>1240000</v>
      </c>
    </row>
    <row r="44" spans="1:15" x14ac:dyDescent="0.3">
      <c r="H44" s="101"/>
      <c r="I44" s="294"/>
      <c r="J44" s="299">
        <v>7</v>
      </c>
      <c r="K44" s="299" t="s">
        <v>554</v>
      </c>
      <c r="L44" s="299"/>
      <c r="M44" s="299">
        <v>6</v>
      </c>
      <c r="N44" s="301">
        <v>220000</v>
      </c>
      <c r="O44" s="299">
        <f t="shared" si="0"/>
        <v>1320000</v>
      </c>
    </row>
    <row r="45" spans="1:15" x14ac:dyDescent="0.3">
      <c r="H45" s="101"/>
      <c r="I45" s="295"/>
      <c r="J45" s="299">
        <v>8</v>
      </c>
      <c r="K45" s="299" t="s">
        <v>560</v>
      </c>
      <c r="L45" s="299"/>
      <c r="M45" s="299">
        <v>12</v>
      </c>
      <c r="N45" s="301">
        <v>650000</v>
      </c>
      <c r="O45" s="299">
        <f t="shared" si="0"/>
        <v>7800000</v>
      </c>
    </row>
    <row r="46" spans="1:15" ht="15" thickBot="1" x14ac:dyDescent="0.35">
      <c r="A46" s="65"/>
      <c r="B46" s="66"/>
      <c r="C46" s="66"/>
      <c r="D46" s="67"/>
      <c r="E46" s="67"/>
      <c r="F46" s="68"/>
      <c r="H46" s="102"/>
      <c r="I46" s="296"/>
      <c r="J46" s="299"/>
      <c r="K46" s="299"/>
      <c r="L46" s="299"/>
      <c r="M46" s="299"/>
      <c r="N46" s="299"/>
      <c r="O46" s="299"/>
    </row>
    <row r="47" spans="1:15" ht="15" thickBot="1" x14ac:dyDescent="0.35">
      <c r="A47" s="377"/>
      <c r="B47" s="378"/>
      <c r="C47" s="378"/>
      <c r="D47" s="378"/>
      <c r="E47" s="378"/>
      <c r="F47" s="379"/>
      <c r="H47" s="115"/>
      <c r="I47" s="297"/>
      <c r="J47" s="299"/>
      <c r="K47" s="299"/>
      <c r="L47" s="299"/>
      <c r="M47" s="299"/>
      <c r="N47" s="299"/>
      <c r="O47" s="302">
        <f>SUM(O38:O45)</f>
        <v>18880000</v>
      </c>
    </row>
    <row r="48" spans="1:15" ht="15" thickBot="1" x14ac:dyDescent="0.35">
      <c r="A48" s="369"/>
      <c r="B48" s="69"/>
      <c r="C48" s="70"/>
      <c r="D48" s="71"/>
      <c r="E48" s="71"/>
      <c r="F48" s="72"/>
      <c r="H48" s="117"/>
      <c r="I48" s="110"/>
      <c r="J48" s="290"/>
      <c r="K48" s="290"/>
      <c r="L48" s="290"/>
      <c r="M48" s="290"/>
      <c r="N48" s="290"/>
      <c r="O48" s="291"/>
    </row>
    <row r="49" spans="1:15" ht="15" thickBot="1" x14ac:dyDescent="0.35">
      <c r="A49" s="370"/>
      <c r="B49" s="73"/>
      <c r="C49" s="74"/>
      <c r="D49" s="75"/>
      <c r="E49" s="75"/>
      <c r="F49" s="75"/>
      <c r="H49" s="117"/>
      <c r="I49" s="110"/>
      <c r="J49" s="290"/>
      <c r="K49" s="290"/>
      <c r="L49" s="290"/>
      <c r="M49" s="290"/>
      <c r="N49" s="290"/>
      <c r="O49" s="290"/>
    </row>
    <row r="50" spans="1:15" x14ac:dyDescent="0.3">
      <c r="A50" s="370"/>
      <c r="B50" s="76"/>
      <c r="C50" s="74"/>
      <c r="D50" s="77"/>
      <c r="E50" s="75"/>
      <c r="F50" s="75"/>
      <c r="J50" s="290"/>
      <c r="K50" s="290"/>
      <c r="L50" s="290"/>
      <c r="M50" s="290"/>
      <c r="N50" s="290"/>
      <c r="O50" s="290"/>
    </row>
    <row r="51" spans="1:15" x14ac:dyDescent="0.3">
      <c r="A51" s="371"/>
      <c r="B51" s="78"/>
      <c r="C51" s="74"/>
      <c r="D51" s="79"/>
      <c r="E51" s="75"/>
      <c r="F51" s="75"/>
      <c r="J51" s="290"/>
      <c r="K51" s="290"/>
      <c r="L51" s="290"/>
      <c r="M51" s="290"/>
      <c r="N51" s="290"/>
      <c r="O51" s="290"/>
    </row>
    <row r="52" spans="1:15" x14ac:dyDescent="0.3">
      <c r="A52" s="381"/>
      <c r="B52" s="69"/>
      <c r="C52" s="70"/>
      <c r="D52" s="71"/>
      <c r="E52" s="71"/>
      <c r="F52" s="72"/>
      <c r="J52" s="380" t="s">
        <v>550</v>
      </c>
      <c r="K52" s="380"/>
      <c r="L52" s="380"/>
      <c r="M52" s="380"/>
      <c r="N52" s="380"/>
      <c r="O52" s="380"/>
    </row>
    <row r="53" spans="1:15" x14ac:dyDescent="0.3">
      <c r="A53" s="382"/>
      <c r="B53" s="73"/>
      <c r="C53" s="74"/>
      <c r="D53" s="75"/>
      <c r="E53" s="75"/>
      <c r="F53" s="75"/>
      <c r="J53" s="299"/>
      <c r="K53" s="299"/>
      <c r="L53" s="299"/>
      <c r="M53" s="299"/>
      <c r="N53" s="299" t="s">
        <v>553</v>
      </c>
      <c r="O53" s="299"/>
    </row>
    <row r="54" spans="1:15" x14ac:dyDescent="0.3">
      <c r="A54" s="382"/>
      <c r="B54" s="76"/>
      <c r="C54" s="74"/>
      <c r="D54" s="77"/>
      <c r="E54" s="75"/>
      <c r="F54" s="75"/>
      <c r="J54" s="299">
        <v>1</v>
      </c>
      <c r="K54" s="299" t="s">
        <v>551</v>
      </c>
      <c r="L54" s="299"/>
      <c r="M54" s="299">
        <v>2</v>
      </c>
      <c r="N54" s="301">
        <v>840000</v>
      </c>
      <c r="O54" s="299">
        <f>M54*N54</f>
        <v>1680000</v>
      </c>
    </row>
    <row r="55" spans="1:15" x14ac:dyDescent="0.3">
      <c r="A55" s="383"/>
      <c r="B55" s="78"/>
      <c r="C55" s="74"/>
      <c r="D55" s="79"/>
      <c r="E55" s="75"/>
      <c r="F55" s="75"/>
      <c r="J55" s="299">
        <v>2</v>
      </c>
      <c r="K55" s="299" t="s">
        <v>552</v>
      </c>
      <c r="L55" s="299"/>
      <c r="M55" s="299">
        <v>2</v>
      </c>
      <c r="N55" s="301">
        <v>1640000</v>
      </c>
      <c r="O55" s="299">
        <f>M55*N55</f>
        <v>3280000</v>
      </c>
    </row>
    <row r="56" spans="1:15" x14ac:dyDescent="0.3">
      <c r="A56" s="381"/>
      <c r="B56" s="69"/>
      <c r="C56" s="70"/>
      <c r="D56" s="71"/>
      <c r="E56" s="71"/>
      <c r="F56" s="72"/>
      <c r="J56" s="299">
        <v>3</v>
      </c>
      <c r="K56" s="299" t="s">
        <v>555</v>
      </c>
      <c r="L56" s="299"/>
      <c r="M56" s="299">
        <v>6</v>
      </c>
      <c r="N56" s="301">
        <v>600000</v>
      </c>
      <c r="O56" s="299">
        <f>M56*N56</f>
        <v>3600000</v>
      </c>
    </row>
    <row r="57" spans="1:15" x14ac:dyDescent="0.3">
      <c r="A57" s="382"/>
      <c r="B57" s="73"/>
      <c r="C57" s="74"/>
      <c r="D57" s="75"/>
      <c r="E57" s="75"/>
      <c r="F57" s="75"/>
      <c r="J57" s="299"/>
      <c r="K57" s="299"/>
      <c r="L57" s="299"/>
      <c r="M57" s="299"/>
      <c r="N57" s="299"/>
      <c r="O57" s="299"/>
    </row>
    <row r="58" spans="1:15" x14ac:dyDescent="0.3">
      <c r="A58" s="382"/>
      <c r="B58" s="76"/>
      <c r="C58" s="74"/>
      <c r="D58" s="77"/>
      <c r="E58" s="75"/>
      <c r="F58" s="75"/>
      <c r="J58" s="299"/>
      <c r="K58" s="299"/>
      <c r="L58" s="299"/>
      <c r="M58" s="299"/>
      <c r="N58" s="299"/>
      <c r="O58" s="302">
        <f>SUM(O54:O56)</f>
        <v>8560000</v>
      </c>
    </row>
    <row r="59" spans="1:15" x14ac:dyDescent="0.3">
      <c r="A59" s="383"/>
      <c r="B59" s="78"/>
      <c r="C59" s="74"/>
      <c r="D59" s="79"/>
      <c r="E59" s="75"/>
      <c r="F59" s="75"/>
    </row>
    <row r="60" spans="1:15" x14ac:dyDescent="0.3">
      <c r="A60" s="381"/>
      <c r="B60" s="69"/>
      <c r="C60" s="70"/>
      <c r="D60" s="71"/>
      <c r="E60" s="71"/>
      <c r="F60" s="72"/>
    </row>
    <row r="61" spans="1:15" x14ac:dyDescent="0.3">
      <c r="A61" s="382"/>
      <c r="B61" s="73"/>
      <c r="C61" s="74"/>
      <c r="D61" s="75"/>
      <c r="E61" s="75"/>
      <c r="F61" s="75"/>
    </row>
    <row r="62" spans="1:15" x14ac:dyDescent="0.3">
      <c r="A62" s="382"/>
      <c r="B62" s="76"/>
      <c r="C62" s="74"/>
      <c r="D62" s="77"/>
      <c r="E62" s="75"/>
      <c r="F62" s="75"/>
    </row>
    <row r="63" spans="1:15" x14ac:dyDescent="0.3">
      <c r="A63" s="383"/>
      <c r="B63" s="78"/>
      <c r="C63" s="74"/>
      <c r="D63" s="79"/>
      <c r="E63" s="75"/>
      <c r="F63" s="75"/>
    </row>
    <row r="64" spans="1:15" x14ac:dyDescent="0.3">
      <c r="A64" s="88"/>
      <c r="B64" s="89"/>
      <c r="C64" s="74"/>
      <c r="D64" s="79"/>
      <c r="E64" s="75"/>
      <c r="F64" s="75"/>
    </row>
    <row r="65" spans="1:6" x14ac:dyDescent="0.3">
      <c r="A65" s="87"/>
      <c r="B65" s="66"/>
      <c r="C65" s="87"/>
      <c r="D65" s="87"/>
      <c r="E65" s="87"/>
      <c r="F65" s="92"/>
    </row>
    <row r="66" spans="1:6" x14ac:dyDescent="0.3">
      <c r="A66" s="81"/>
      <c r="B66" s="89"/>
      <c r="C66" s="74"/>
      <c r="D66" s="79"/>
      <c r="E66" s="75"/>
      <c r="F66" s="75"/>
    </row>
    <row r="67" spans="1:6" x14ac:dyDescent="0.3">
      <c r="A67" s="81"/>
      <c r="B67" s="90"/>
      <c r="C67" s="74"/>
      <c r="D67" s="79"/>
      <c r="E67" s="75"/>
      <c r="F67" s="75"/>
    </row>
    <row r="68" spans="1:6" x14ac:dyDescent="0.3">
      <c r="A68" s="81"/>
      <c r="B68" s="82"/>
      <c r="C68" s="74"/>
      <c r="D68" s="79"/>
      <c r="E68" s="75"/>
      <c r="F68" s="75"/>
    </row>
    <row r="69" spans="1:6" x14ac:dyDescent="0.3">
      <c r="A69" s="81"/>
      <c r="B69" s="82"/>
      <c r="C69" s="74"/>
      <c r="D69" s="79"/>
      <c r="E69" s="75"/>
      <c r="F69" s="75"/>
    </row>
    <row r="70" spans="1:6" x14ac:dyDescent="0.3">
      <c r="A70" s="83"/>
      <c r="B70" s="84"/>
      <c r="C70" s="74"/>
      <c r="D70" s="79"/>
      <c r="E70" s="75"/>
      <c r="F70" s="75"/>
    </row>
    <row r="71" spans="1:6" x14ac:dyDescent="0.3">
      <c r="A71" s="83"/>
      <c r="B71" s="84"/>
      <c r="C71" s="74"/>
      <c r="D71" s="79"/>
      <c r="E71" s="75"/>
      <c r="F71" s="75"/>
    </row>
    <row r="72" spans="1:6" x14ac:dyDescent="0.3">
      <c r="A72" s="83"/>
      <c r="B72" s="84"/>
      <c r="C72" s="74"/>
      <c r="D72" s="79"/>
      <c r="E72" s="75"/>
      <c r="F72" s="75"/>
    </row>
    <row r="73" spans="1:6" x14ac:dyDescent="0.3">
      <c r="A73" s="83"/>
      <c r="B73" s="68"/>
      <c r="C73" s="74"/>
      <c r="D73" s="75"/>
      <c r="E73" s="85"/>
      <c r="F73" s="75"/>
    </row>
    <row r="74" spans="1:6" x14ac:dyDescent="0.3">
      <c r="A74" s="87"/>
      <c r="B74" s="66"/>
      <c r="C74" s="87"/>
      <c r="D74" s="87"/>
      <c r="E74" s="87"/>
      <c r="F74" s="92"/>
    </row>
    <row r="75" spans="1:6" x14ac:dyDescent="0.3">
      <c r="A75" s="87"/>
      <c r="B75" s="87"/>
      <c r="C75" s="87"/>
      <c r="D75" s="87"/>
      <c r="E75" s="87"/>
      <c r="F75" s="75"/>
    </row>
    <row r="76" spans="1:6" x14ac:dyDescent="0.3">
      <c r="A76" s="87"/>
      <c r="B76" s="87"/>
      <c r="C76" s="87"/>
      <c r="D76" s="87"/>
      <c r="E76" s="87"/>
      <c r="F76" s="75"/>
    </row>
    <row r="77" spans="1:6" x14ac:dyDescent="0.3">
      <c r="A77" s="87"/>
      <c r="B77" s="93"/>
      <c r="C77" s="87"/>
      <c r="D77" s="87"/>
      <c r="E77" s="87"/>
      <c r="F77" s="92"/>
    </row>
    <row r="79" spans="1:6" x14ac:dyDescent="0.3">
      <c r="A79" s="65"/>
      <c r="B79" s="66"/>
      <c r="C79" s="66"/>
      <c r="D79" s="67"/>
      <c r="E79" s="67"/>
      <c r="F79" s="68"/>
    </row>
    <row r="80" spans="1:6" x14ac:dyDescent="0.3">
      <c r="A80" s="377"/>
      <c r="B80" s="378"/>
      <c r="C80" s="378"/>
      <c r="D80" s="378"/>
      <c r="E80" s="378"/>
      <c r="F80" s="379"/>
    </row>
    <row r="81" spans="1:6" x14ac:dyDescent="0.3">
      <c r="A81" s="369"/>
      <c r="B81" s="69"/>
      <c r="C81" s="70"/>
      <c r="D81" s="71"/>
      <c r="E81" s="71"/>
      <c r="F81" s="72"/>
    </row>
    <row r="82" spans="1:6" x14ac:dyDescent="0.3">
      <c r="A82" s="370"/>
      <c r="B82" s="73"/>
      <c r="C82" s="74"/>
      <c r="D82" s="75"/>
      <c r="E82" s="75"/>
      <c r="F82" s="75"/>
    </row>
    <row r="83" spans="1:6" x14ac:dyDescent="0.3">
      <c r="A83" s="370"/>
      <c r="B83" s="76"/>
      <c r="C83" s="74"/>
      <c r="D83" s="77"/>
      <c r="E83" s="75"/>
      <c r="F83" s="75"/>
    </row>
    <row r="84" spans="1:6" x14ac:dyDescent="0.3">
      <c r="A84" s="371"/>
      <c r="B84" s="78"/>
      <c r="C84" s="74"/>
      <c r="D84" s="79"/>
      <c r="E84" s="75"/>
      <c r="F84" s="75"/>
    </row>
    <row r="85" spans="1:6" x14ac:dyDescent="0.3">
      <c r="A85" s="369"/>
      <c r="B85" s="69"/>
      <c r="C85" s="70"/>
      <c r="D85" s="71"/>
      <c r="E85" s="71"/>
      <c r="F85" s="72"/>
    </row>
    <row r="86" spans="1:6" x14ac:dyDescent="0.3">
      <c r="A86" s="370"/>
      <c r="B86" s="73"/>
      <c r="C86" s="74"/>
      <c r="D86" s="75"/>
      <c r="E86" s="75"/>
      <c r="F86" s="75"/>
    </row>
    <row r="87" spans="1:6" x14ac:dyDescent="0.3">
      <c r="A87" s="370"/>
      <c r="B87" s="76"/>
      <c r="C87" s="74"/>
      <c r="D87" s="77"/>
      <c r="E87" s="75"/>
      <c r="F87" s="75"/>
    </row>
    <row r="88" spans="1:6" x14ac:dyDescent="0.3">
      <c r="A88" s="371"/>
      <c r="B88" s="78"/>
      <c r="C88" s="74"/>
      <c r="D88" s="79"/>
      <c r="E88" s="75"/>
      <c r="F88" s="75"/>
    </row>
    <row r="89" spans="1:6" x14ac:dyDescent="0.3">
      <c r="A89" s="381"/>
      <c r="B89" s="69"/>
      <c r="C89" s="70"/>
      <c r="D89" s="71"/>
      <c r="E89" s="71"/>
      <c r="F89" s="72"/>
    </row>
    <row r="90" spans="1:6" x14ac:dyDescent="0.3">
      <c r="A90" s="382"/>
      <c r="B90" s="73"/>
      <c r="C90" s="74"/>
      <c r="D90" s="75"/>
      <c r="E90" s="75"/>
      <c r="F90" s="75"/>
    </row>
    <row r="91" spans="1:6" x14ac:dyDescent="0.3">
      <c r="A91" s="382"/>
      <c r="B91" s="76"/>
      <c r="C91" s="74"/>
      <c r="D91" s="77"/>
      <c r="E91" s="75"/>
      <c r="F91" s="75"/>
    </row>
    <row r="92" spans="1:6" x14ac:dyDescent="0.3">
      <c r="A92" s="383"/>
      <c r="B92" s="78"/>
      <c r="C92" s="74"/>
      <c r="D92" s="79"/>
      <c r="E92" s="75"/>
      <c r="F92" s="75"/>
    </row>
    <row r="93" spans="1:6" x14ac:dyDescent="0.3">
      <c r="A93" s="381"/>
      <c r="B93" s="69"/>
      <c r="C93" s="70"/>
      <c r="D93" s="71"/>
      <c r="E93" s="71"/>
      <c r="F93" s="72"/>
    </row>
    <row r="94" spans="1:6" x14ac:dyDescent="0.3">
      <c r="A94" s="382"/>
      <c r="B94" s="73"/>
      <c r="C94" s="74"/>
      <c r="D94" s="75"/>
      <c r="E94" s="75"/>
      <c r="F94" s="75"/>
    </row>
    <row r="95" spans="1:6" x14ac:dyDescent="0.3">
      <c r="A95" s="382"/>
      <c r="B95" s="76"/>
      <c r="C95" s="74"/>
      <c r="D95" s="77"/>
      <c r="E95" s="75"/>
      <c r="F95" s="75"/>
    </row>
    <row r="96" spans="1:6" x14ac:dyDescent="0.3">
      <c r="A96" s="383"/>
      <c r="B96" s="78"/>
      <c r="C96" s="74"/>
      <c r="D96" s="79"/>
      <c r="E96" s="75"/>
      <c r="F96" s="75"/>
    </row>
    <row r="97" spans="1:6" x14ac:dyDescent="0.3">
      <c r="A97" s="381"/>
      <c r="B97" s="69"/>
      <c r="C97" s="70"/>
      <c r="D97" s="71"/>
      <c r="E97" s="71"/>
      <c r="F97" s="72"/>
    </row>
    <row r="98" spans="1:6" x14ac:dyDescent="0.3">
      <c r="A98" s="382"/>
      <c r="B98" s="73"/>
      <c r="C98" s="74"/>
      <c r="D98" s="75"/>
      <c r="E98" s="75"/>
      <c r="F98" s="75"/>
    </row>
    <row r="99" spans="1:6" x14ac:dyDescent="0.3">
      <c r="A99" s="382"/>
      <c r="B99" s="76"/>
      <c r="C99" s="74"/>
      <c r="D99" s="77"/>
      <c r="E99" s="75"/>
      <c r="F99" s="75"/>
    </row>
    <row r="100" spans="1:6" x14ac:dyDescent="0.3">
      <c r="A100" s="383"/>
      <c r="B100" s="78"/>
      <c r="C100" s="74"/>
      <c r="D100" s="79"/>
      <c r="E100" s="75"/>
      <c r="F100" s="75"/>
    </row>
    <row r="101" spans="1:6" x14ac:dyDescent="0.3">
      <c r="A101" s="88"/>
      <c r="B101" s="89"/>
      <c r="C101" s="74"/>
      <c r="D101" s="79"/>
      <c r="E101" s="75"/>
      <c r="F101" s="75"/>
    </row>
    <row r="102" spans="1:6" x14ac:dyDescent="0.3">
      <c r="A102" s="87"/>
      <c r="B102" s="66"/>
      <c r="C102" s="87"/>
      <c r="D102" s="87"/>
      <c r="E102" s="87"/>
      <c r="F102" s="92"/>
    </row>
    <row r="103" spans="1:6" x14ac:dyDescent="0.3">
      <c r="A103" s="81"/>
      <c r="B103" s="89"/>
      <c r="C103" s="74"/>
      <c r="D103" s="79"/>
      <c r="E103" s="75"/>
      <c r="F103" s="75"/>
    </row>
    <row r="104" spans="1:6" x14ac:dyDescent="0.3">
      <c r="A104" s="81"/>
      <c r="B104" s="90"/>
      <c r="C104" s="74"/>
      <c r="D104" s="79"/>
      <c r="E104" s="75"/>
      <c r="F104" s="75"/>
    </row>
    <row r="105" spans="1:6" x14ac:dyDescent="0.3">
      <c r="A105" s="81"/>
      <c r="B105" s="82"/>
      <c r="C105" s="74"/>
      <c r="D105" s="79"/>
      <c r="E105" s="75"/>
      <c r="F105" s="75"/>
    </row>
    <row r="106" spans="1:6" x14ac:dyDescent="0.3">
      <c r="A106" s="81"/>
      <c r="B106" s="82"/>
      <c r="C106" s="74"/>
      <c r="D106" s="79"/>
      <c r="E106" s="75"/>
      <c r="F106" s="75"/>
    </row>
    <row r="107" spans="1:6" x14ac:dyDescent="0.3">
      <c r="A107" s="83"/>
      <c r="B107" s="84"/>
      <c r="C107" s="74"/>
      <c r="D107" s="79"/>
      <c r="E107" s="75"/>
      <c r="F107" s="75"/>
    </row>
    <row r="108" spans="1:6" x14ac:dyDescent="0.3">
      <c r="A108" s="83"/>
      <c r="B108" s="84"/>
      <c r="C108" s="74"/>
      <c r="D108" s="79"/>
      <c r="E108" s="75"/>
      <c r="F108" s="75"/>
    </row>
    <row r="109" spans="1:6" x14ac:dyDescent="0.3">
      <c r="A109" s="83"/>
      <c r="B109" s="84"/>
      <c r="C109" s="74"/>
      <c r="D109" s="79"/>
      <c r="E109" s="75"/>
      <c r="F109" s="75"/>
    </row>
    <row r="110" spans="1:6" x14ac:dyDescent="0.3">
      <c r="A110" s="83"/>
      <c r="B110" s="68"/>
      <c r="C110" s="74"/>
      <c r="D110" s="75"/>
      <c r="E110" s="85"/>
      <c r="F110" s="75"/>
    </row>
    <row r="111" spans="1:6" x14ac:dyDescent="0.3">
      <c r="A111" s="87"/>
      <c r="B111" s="66"/>
      <c r="C111" s="87"/>
      <c r="D111" s="87"/>
      <c r="E111" s="87"/>
      <c r="F111" s="92"/>
    </row>
    <row r="112" spans="1:6" x14ac:dyDescent="0.3">
      <c r="A112" s="87"/>
      <c r="B112" s="87"/>
      <c r="C112" s="87"/>
      <c r="D112" s="87"/>
      <c r="E112" s="87"/>
      <c r="F112" s="75"/>
    </row>
    <row r="113" spans="1:6" x14ac:dyDescent="0.3">
      <c r="A113" s="87"/>
      <c r="B113" s="87"/>
      <c r="C113" s="87"/>
      <c r="D113" s="87"/>
      <c r="E113" s="87"/>
      <c r="F113" s="75"/>
    </row>
    <row r="114" spans="1:6" x14ac:dyDescent="0.3">
      <c r="A114" s="87"/>
      <c r="B114" s="93"/>
      <c r="C114" s="87"/>
      <c r="D114" s="87"/>
      <c r="E114" s="87"/>
      <c r="F114" s="92"/>
    </row>
  </sheetData>
  <mergeCells count="17">
    <mergeCell ref="A47:F47"/>
    <mergeCell ref="A48:A51"/>
    <mergeCell ref="A52:A55"/>
    <mergeCell ref="A3:F3"/>
    <mergeCell ref="A4:A7"/>
    <mergeCell ref="A8:A11"/>
    <mergeCell ref="A12:A15"/>
    <mergeCell ref="A16:A19"/>
    <mergeCell ref="A89:A92"/>
    <mergeCell ref="A93:A96"/>
    <mergeCell ref="A97:A100"/>
    <mergeCell ref="J52:O52"/>
    <mergeCell ref="A56:A59"/>
    <mergeCell ref="A60:A63"/>
    <mergeCell ref="A81:A84"/>
    <mergeCell ref="A85:A88"/>
    <mergeCell ref="A80:F80"/>
  </mergeCells>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375E4-2693-430B-93C4-15A59F7346E1}">
  <sheetPr>
    <pageSetUpPr fitToPage="1"/>
  </sheetPr>
  <dimension ref="A1:O116"/>
  <sheetViews>
    <sheetView topLeftCell="A6" zoomScale="130" zoomScaleNormal="130" workbookViewId="0">
      <selection activeCell="A28" sqref="A28:XFD28"/>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1" max="11" width="21" customWidth="1"/>
    <col min="12" max="12" width="24.33203125" customWidth="1"/>
    <col min="15" max="15" width="14" bestFit="1"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526</v>
      </c>
      <c r="B3" s="378"/>
      <c r="C3" s="378"/>
      <c r="D3" s="378"/>
      <c r="E3" s="378"/>
      <c r="F3" s="379"/>
      <c r="G3" s="1"/>
      <c r="H3" s="1"/>
      <c r="I3" s="1"/>
    </row>
    <row r="4" spans="1:13" x14ac:dyDescent="0.3">
      <c r="A4" s="369">
        <v>1</v>
      </c>
      <c r="B4" s="69" t="s">
        <v>532</v>
      </c>
      <c r="C4" s="70">
        <v>2</v>
      </c>
      <c r="D4" s="71"/>
      <c r="E4" s="71"/>
      <c r="F4" s="72">
        <f>SUM(F5:F7)*C4</f>
        <v>1174056</v>
      </c>
      <c r="G4" s="41"/>
      <c r="L4" t="s">
        <v>213</v>
      </c>
      <c r="M4" s="40">
        <v>4449</v>
      </c>
    </row>
    <row r="5" spans="1:13" x14ac:dyDescent="0.3">
      <c r="A5" s="370"/>
      <c r="B5" s="73" t="s">
        <v>234</v>
      </c>
      <c r="C5" s="74">
        <v>1</v>
      </c>
      <c r="D5" s="75">
        <v>25549</v>
      </c>
      <c r="E5" s="75">
        <f>D5*C5</f>
        <v>25549</v>
      </c>
      <c r="F5" s="75">
        <f>E5*12</f>
        <v>306588</v>
      </c>
      <c r="G5" s="41"/>
      <c r="L5" t="s">
        <v>214</v>
      </c>
      <c r="M5" s="40">
        <v>7349</v>
      </c>
    </row>
    <row r="6" spans="1:13" x14ac:dyDescent="0.3">
      <c r="A6" s="370"/>
      <c r="B6" s="76" t="s">
        <v>230</v>
      </c>
      <c r="C6" s="74">
        <v>24</v>
      </c>
      <c r="D6" s="77">
        <v>849</v>
      </c>
      <c r="E6" s="75">
        <f>D6*C6</f>
        <v>20376</v>
      </c>
      <c r="F6" s="75">
        <f>E6*12</f>
        <v>244512</v>
      </c>
      <c r="G6" s="41"/>
      <c r="L6" t="s">
        <v>215</v>
      </c>
      <c r="M6">
        <v>13349</v>
      </c>
    </row>
    <row r="7" spans="1:13" x14ac:dyDescent="0.3">
      <c r="A7" s="371"/>
      <c r="B7" s="78" t="s">
        <v>231</v>
      </c>
      <c r="C7" s="74">
        <v>6</v>
      </c>
      <c r="D7" s="79">
        <v>499</v>
      </c>
      <c r="E7" s="75">
        <f>D7*C7</f>
        <v>2994</v>
      </c>
      <c r="F7" s="75">
        <f>E7*12</f>
        <v>35928</v>
      </c>
      <c r="G7" s="41"/>
      <c r="L7" t="s">
        <v>216</v>
      </c>
      <c r="M7">
        <v>19949</v>
      </c>
    </row>
    <row r="8" spans="1:13" x14ac:dyDescent="0.3">
      <c r="A8" s="381">
        <v>2</v>
      </c>
      <c r="B8" s="69" t="s">
        <v>533</v>
      </c>
      <c r="C8" s="80">
        <v>2</v>
      </c>
      <c r="D8" s="71"/>
      <c r="E8" s="71"/>
      <c r="F8" s="72">
        <f>SUM(F9:F11)*C8</f>
        <v>1826088</v>
      </c>
      <c r="G8" s="41"/>
      <c r="L8" t="s">
        <v>217</v>
      </c>
      <c r="M8">
        <v>25549</v>
      </c>
    </row>
    <row r="9" spans="1:13" x14ac:dyDescent="0.3">
      <c r="A9" s="382"/>
      <c r="B9" s="73" t="s">
        <v>234</v>
      </c>
      <c r="C9" s="74">
        <v>1</v>
      </c>
      <c r="D9" s="75">
        <v>25549</v>
      </c>
      <c r="E9" s="75">
        <f>D9*C9</f>
        <v>25549</v>
      </c>
      <c r="F9" s="75">
        <f>E9*12</f>
        <v>306588</v>
      </c>
      <c r="G9" s="41"/>
      <c r="L9" t="s">
        <v>218</v>
      </c>
      <c r="M9">
        <v>49649</v>
      </c>
    </row>
    <row r="10" spans="1:13" x14ac:dyDescent="0.3">
      <c r="A10" s="382"/>
      <c r="B10" s="76" t="s">
        <v>230</v>
      </c>
      <c r="C10" s="74">
        <v>56</v>
      </c>
      <c r="D10" s="77">
        <v>849</v>
      </c>
      <c r="E10" s="75">
        <f>D10*C10</f>
        <v>47544</v>
      </c>
      <c r="F10" s="75">
        <f>E10*12</f>
        <v>570528</v>
      </c>
      <c r="G10" s="41"/>
    </row>
    <row r="11" spans="1:13" x14ac:dyDescent="0.3">
      <c r="A11" s="383"/>
      <c r="B11" s="78" t="s">
        <v>232</v>
      </c>
      <c r="C11" s="74">
        <v>6</v>
      </c>
      <c r="D11" s="79">
        <v>499</v>
      </c>
      <c r="E11" s="75">
        <f>D11*C11</f>
        <v>2994</v>
      </c>
      <c r="F11" s="75">
        <f>E11*12</f>
        <v>35928</v>
      </c>
      <c r="G11" s="41"/>
      <c r="H11" s="43"/>
      <c r="I11" s="44" t="s">
        <v>304</v>
      </c>
      <c r="J11" s="44" t="s">
        <v>305</v>
      </c>
      <c r="L11" t="s">
        <v>220</v>
      </c>
      <c r="M11">
        <v>2110</v>
      </c>
    </row>
    <row r="12" spans="1:13" x14ac:dyDescent="0.3">
      <c r="A12" s="381">
        <v>3</v>
      </c>
      <c r="B12" s="69" t="s">
        <v>534</v>
      </c>
      <c r="C12" s="80">
        <v>2</v>
      </c>
      <c r="D12" s="71"/>
      <c r="E12" s="71"/>
      <c r="F12" s="72">
        <f>SUM(F13:F15)*C12</f>
        <v>2648664</v>
      </c>
      <c r="G12" s="41"/>
      <c r="H12" s="43" t="s">
        <v>263</v>
      </c>
      <c r="I12" s="118">
        <f>I32+744000</f>
        <v>25488758</v>
      </c>
      <c r="J12" s="119">
        <f>E40</f>
        <v>0</v>
      </c>
      <c r="L12" t="s">
        <v>219</v>
      </c>
      <c r="M12">
        <v>849</v>
      </c>
    </row>
    <row r="13" spans="1:13" x14ac:dyDescent="0.3">
      <c r="A13" s="382"/>
      <c r="B13" s="73" t="s">
        <v>236</v>
      </c>
      <c r="C13" s="74">
        <v>1</v>
      </c>
      <c r="D13" s="75">
        <v>49649</v>
      </c>
      <c r="E13" s="75">
        <f>D13*C13</f>
        <v>49649</v>
      </c>
      <c r="F13" s="75">
        <f>E13*12</f>
        <v>595788</v>
      </c>
      <c r="G13" s="41"/>
      <c r="H13" s="43" t="s">
        <v>265</v>
      </c>
      <c r="I13" s="43">
        <v>9689988</v>
      </c>
      <c r="J13" s="120">
        <f>E41</f>
        <v>0</v>
      </c>
      <c r="K13">
        <v>9701553</v>
      </c>
      <c r="L13" t="s">
        <v>221</v>
      </c>
      <c r="M13" s="42">
        <v>499</v>
      </c>
    </row>
    <row r="14" spans="1:13" x14ac:dyDescent="0.3">
      <c r="A14" s="382"/>
      <c r="B14" s="76" t="s">
        <v>230</v>
      </c>
      <c r="C14" s="74">
        <v>48</v>
      </c>
      <c r="D14" s="77">
        <v>849</v>
      </c>
      <c r="E14" s="75">
        <f>D14*C14</f>
        <v>40752</v>
      </c>
      <c r="F14" s="75">
        <f>E14*12</f>
        <v>489024</v>
      </c>
      <c r="G14" s="41"/>
      <c r="H14" s="43" t="s">
        <v>266</v>
      </c>
      <c r="I14" s="43">
        <v>4232974</v>
      </c>
      <c r="J14" s="120">
        <f>E42</f>
        <v>0</v>
      </c>
      <c r="K14">
        <v>4215870</v>
      </c>
      <c r="L14">
        <v>21.89</v>
      </c>
    </row>
    <row r="15" spans="1:13" x14ac:dyDescent="0.3">
      <c r="A15" s="383"/>
      <c r="B15" s="78" t="s">
        <v>232</v>
      </c>
      <c r="C15" s="74">
        <v>40</v>
      </c>
      <c r="D15" s="79">
        <v>499</v>
      </c>
      <c r="E15" s="75">
        <f>D15*C15</f>
        <v>19960</v>
      </c>
      <c r="F15" s="75">
        <f>E15*12</f>
        <v>239520</v>
      </c>
      <c r="G15" s="41"/>
      <c r="H15" s="43"/>
      <c r="I15" s="43"/>
      <c r="J15" s="43"/>
      <c r="L15">
        <v>12.57</v>
      </c>
    </row>
    <row r="16" spans="1:13" x14ac:dyDescent="0.3">
      <c r="A16" s="381">
        <v>4</v>
      </c>
      <c r="B16" s="69" t="s">
        <v>535</v>
      </c>
      <c r="C16" s="80">
        <v>3</v>
      </c>
      <c r="D16" s="71"/>
      <c r="E16" s="71"/>
      <c r="F16" s="72">
        <f>SUM(F17:F19)*C16</f>
        <v>991044</v>
      </c>
      <c r="G16" s="41"/>
      <c r="H16" s="43"/>
      <c r="I16" s="121">
        <f>SUM(I12:I14)</f>
        <v>39411720</v>
      </c>
      <c r="J16" s="121">
        <f>SUM(J12:J14)</f>
        <v>0</v>
      </c>
    </row>
    <row r="17" spans="1:9" x14ac:dyDescent="0.3">
      <c r="A17" s="382"/>
      <c r="B17" s="73" t="s">
        <v>229</v>
      </c>
      <c r="C17" s="74">
        <v>1</v>
      </c>
      <c r="D17" s="75">
        <v>13349</v>
      </c>
      <c r="E17" s="75">
        <f>D17*C17</f>
        <v>13349</v>
      </c>
      <c r="F17" s="75">
        <f>E17*12</f>
        <v>160188</v>
      </c>
      <c r="G17" s="41"/>
    </row>
    <row r="18" spans="1:9" x14ac:dyDescent="0.3">
      <c r="A18" s="382"/>
      <c r="B18" s="76" t="s">
        <v>230</v>
      </c>
      <c r="C18" s="74">
        <v>12</v>
      </c>
      <c r="D18" s="77">
        <v>849</v>
      </c>
      <c r="E18" s="75">
        <f>D18*C18</f>
        <v>10188</v>
      </c>
      <c r="F18" s="75">
        <f>E18*12</f>
        <v>122256</v>
      </c>
      <c r="G18" s="41"/>
      <c r="I18" t="s">
        <v>263</v>
      </c>
    </row>
    <row r="19" spans="1:9" x14ac:dyDescent="0.3">
      <c r="A19" s="383"/>
      <c r="B19" s="78" t="s">
        <v>232</v>
      </c>
      <c r="C19" s="74">
        <v>8</v>
      </c>
      <c r="D19" s="79">
        <v>499</v>
      </c>
      <c r="E19" s="75">
        <f>D19*C19</f>
        <v>3992</v>
      </c>
      <c r="F19" s="75">
        <f>E19*12</f>
        <v>47904</v>
      </c>
      <c r="G19" s="41"/>
      <c r="I19" t="s">
        <v>265</v>
      </c>
    </row>
    <row r="20" spans="1:9" x14ac:dyDescent="0.3">
      <c r="A20" s="88"/>
      <c r="B20" s="89"/>
      <c r="C20" s="74"/>
      <c r="D20" s="79"/>
      <c r="E20" s="75"/>
      <c r="F20" s="75"/>
      <c r="G20" s="41"/>
      <c r="I20" t="s">
        <v>266</v>
      </c>
    </row>
    <row r="21" spans="1:9" x14ac:dyDescent="0.3">
      <c r="A21" s="87"/>
      <c r="B21" s="66" t="s">
        <v>240</v>
      </c>
      <c r="C21" s="87"/>
      <c r="D21" s="87"/>
      <c r="E21" s="87"/>
      <c r="F21" s="92">
        <f>SUM(F16,F12,F8,F4,F20)</f>
        <v>6639852</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v>9</v>
      </c>
      <c r="D24" s="79">
        <v>2083</v>
      </c>
      <c r="E24" s="75">
        <f>D24*C24</f>
        <v>18747</v>
      </c>
      <c r="F24" s="75">
        <f t="shared" ref="F24:F30" si="0">E24*12</f>
        <v>224964</v>
      </c>
      <c r="G24" s="41"/>
    </row>
    <row r="25" spans="1:9" x14ac:dyDescent="0.3">
      <c r="A25" s="81">
        <v>2</v>
      </c>
      <c r="B25" s="82" t="s">
        <v>267</v>
      </c>
      <c r="C25" s="74">
        <v>9</v>
      </c>
      <c r="D25" s="79">
        <v>4670</v>
      </c>
      <c r="E25" s="75">
        <f>D25*C25</f>
        <v>42030</v>
      </c>
      <c r="F25" s="75">
        <f t="shared" si="0"/>
        <v>504360</v>
      </c>
      <c r="G25" s="41"/>
    </row>
    <row r="26" spans="1:9" x14ac:dyDescent="0.3">
      <c r="A26" s="81">
        <v>3</v>
      </c>
      <c r="B26" s="82" t="s">
        <v>538</v>
      </c>
      <c r="C26" s="74">
        <v>16</v>
      </c>
      <c r="D26" s="79">
        <v>15540</v>
      </c>
      <c r="E26" s="75">
        <f>D26*C26</f>
        <v>248640</v>
      </c>
      <c r="F26" s="75">
        <f t="shared" si="0"/>
        <v>2983680</v>
      </c>
      <c r="G26" s="41"/>
    </row>
    <row r="27" spans="1:9" x14ac:dyDescent="0.3">
      <c r="A27" s="81">
        <v>3</v>
      </c>
      <c r="B27" s="82" t="s">
        <v>530</v>
      </c>
      <c r="C27" s="74">
        <v>64</v>
      </c>
      <c r="D27" s="79">
        <v>1950</v>
      </c>
      <c r="E27" s="75">
        <f>C27*D27</f>
        <v>124800</v>
      </c>
      <c r="F27" s="75">
        <f t="shared" si="0"/>
        <v>1497600</v>
      </c>
      <c r="G27" s="41"/>
    </row>
    <row r="28" spans="1:9" ht="15.6" x14ac:dyDescent="0.3">
      <c r="A28" s="83">
        <v>4</v>
      </c>
      <c r="B28" s="84" t="s">
        <v>239</v>
      </c>
      <c r="C28" s="74">
        <v>5</v>
      </c>
      <c r="D28" s="79">
        <v>22200</v>
      </c>
      <c r="E28" s="75">
        <f>D28*C28</f>
        <v>111000</v>
      </c>
      <c r="F28" s="75">
        <f t="shared" si="0"/>
        <v>1332000</v>
      </c>
      <c r="G28" s="41"/>
      <c r="H28" t="s">
        <v>255</v>
      </c>
      <c r="I28" s="94">
        <v>15111480</v>
      </c>
    </row>
    <row r="29" spans="1:9" x14ac:dyDescent="0.3">
      <c r="A29" s="83">
        <v>5</v>
      </c>
      <c r="B29" s="84" t="s">
        <v>287</v>
      </c>
      <c r="C29" s="74">
        <v>4</v>
      </c>
      <c r="D29" s="79">
        <v>1340</v>
      </c>
      <c r="E29" s="75">
        <f>D29*C29</f>
        <v>5360</v>
      </c>
      <c r="F29" s="75">
        <f t="shared" si="0"/>
        <v>64320</v>
      </c>
      <c r="G29" s="41"/>
      <c r="H29" t="s">
        <v>256</v>
      </c>
      <c r="I29" s="95">
        <v>2644848</v>
      </c>
    </row>
    <row r="30" spans="1:9" x14ac:dyDescent="0.3">
      <c r="A30" s="83">
        <v>6</v>
      </c>
      <c r="B30" s="84" t="s">
        <v>244</v>
      </c>
      <c r="C30" s="74">
        <v>2</v>
      </c>
      <c r="D30" s="79">
        <v>13440</v>
      </c>
      <c r="E30" s="75">
        <f>D30*C30</f>
        <v>26880</v>
      </c>
      <c r="F30" s="75">
        <f t="shared" si="0"/>
        <v>322560</v>
      </c>
      <c r="G30" s="41"/>
      <c r="H30" t="s">
        <v>257</v>
      </c>
      <c r="I30" s="95">
        <v>6988430</v>
      </c>
    </row>
    <row r="31" spans="1:9" x14ac:dyDescent="0.3">
      <c r="A31" s="83">
        <v>7</v>
      </c>
      <c r="B31" s="75" t="s">
        <v>529</v>
      </c>
      <c r="C31" s="75"/>
      <c r="D31" s="75"/>
      <c r="E31" s="75"/>
      <c r="F31" s="75"/>
    </row>
    <row r="32" spans="1:9" x14ac:dyDescent="0.3">
      <c r="I32" s="96">
        <f>SUM(I28:I30)</f>
        <v>24744758</v>
      </c>
    </row>
    <row r="33" spans="1:15" x14ac:dyDescent="0.3">
      <c r="A33" s="87"/>
      <c r="B33" s="66" t="s">
        <v>242</v>
      </c>
      <c r="C33" s="87"/>
      <c r="D33" s="87"/>
      <c r="E33" s="87"/>
      <c r="F33" s="92">
        <f>SUM(F24:F31)</f>
        <v>6929484</v>
      </c>
    </row>
    <row r="34" spans="1:15" x14ac:dyDescent="0.3">
      <c r="A34" s="87"/>
      <c r="B34" s="87" t="s">
        <v>246</v>
      </c>
      <c r="C34" s="87"/>
      <c r="D34" s="87"/>
      <c r="E34" s="87"/>
      <c r="F34" s="75">
        <f>F33+F21</f>
        <v>13569336</v>
      </c>
    </row>
    <row r="35" spans="1:15" x14ac:dyDescent="0.3">
      <c r="A35" s="87"/>
      <c r="B35" s="87" t="s">
        <v>536</v>
      </c>
      <c r="C35" s="87"/>
      <c r="D35" s="87"/>
      <c r="E35" s="87"/>
      <c r="F35" s="75">
        <f>F34*0.3</f>
        <v>4070800.8</v>
      </c>
    </row>
    <row r="36" spans="1:15" x14ac:dyDescent="0.3">
      <c r="A36" s="87"/>
      <c r="B36" s="93" t="s">
        <v>248</v>
      </c>
      <c r="C36" s="87"/>
      <c r="D36" s="87"/>
      <c r="E36" s="87"/>
      <c r="F36" s="92">
        <f>F34-F35</f>
        <v>9498535.1999999993</v>
      </c>
    </row>
    <row r="37" spans="1:15" x14ac:dyDescent="0.3">
      <c r="B37" t="s">
        <v>537</v>
      </c>
      <c r="F37" s="92"/>
    </row>
    <row r="39" spans="1:15" ht="15" thickBot="1" x14ac:dyDescent="0.35">
      <c r="F39" s="289">
        <f>SUM(F36:F37)</f>
        <v>9498535.1999999993</v>
      </c>
      <c r="J39" s="298" t="s">
        <v>556</v>
      </c>
      <c r="K39" s="298" t="s">
        <v>557</v>
      </c>
      <c r="L39" s="298" t="s">
        <v>308</v>
      </c>
      <c r="M39" s="298" t="s">
        <v>309</v>
      </c>
      <c r="N39" s="298" t="s">
        <v>558</v>
      </c>
      <c r="O39" s="298" t="s">
        <v>559</v>
      </c>
    </row>
    <row r="40" spans="1:15" ht="86.4" x14ac:dyDescent="0.3">
      <c r="B40" s="100"/>
      <c r="C40" s="103"/>
      <c r="D40" s="91"/>
      <c r="E40" s="91"/>
      <c r="H40" s="100"/>
      <c r="I40" s="292"/>
      <c r="J40" s="299">
        <v>1</v>
      </c>
      <c r="K40" s="299" t="s">
        <v>539</v>
      </c>
      <c r="L40" s="300" t="s">
        <v>541</v>
      </c>
      <c r="M40" s="299">
        <v>2</v>
      </c>
      <c r="N40" s="301">
        <v>480000</v>
      </c>
      <c r="O40" s="299">
        <f>M40*N40</f>
        <v>960000</v>
      </c>
    </row>
    <row r="41" spans="1:15" ht="86.4" x14ac:dyDescent="0.3">
      <c r="B41" s="101"/>
      <c r="C41" s="98"/>
      <c r="H41" s="101"/>
      <c r="I41" s="293"/>
      <c r="J41" s="299">
        <v>2</v>
      </c>
      <c r="K41" s="299" t="s">
        <v>333</v>
      </c>
      <c r="L41" s="300" t="s">
        <v>542</v>
      </c>
      <c r="M41" s="299">
        <v>2</v>
      </c>
      <c r="N41" s="301">
        <v>720000</v>
      </c>
      <c r="O41" s="299">
        <f t="shared" ref="O41:O47" si="1">M41*N41</f>
        <v>1440000</v>
      </c>
    </row>
    <row r="42" spans="1:15" ht="100.8" x14ac:dyDescent="0.3">
      <c r="B42" s="101"/>
      <c r="C42" s="98"/>
      <c r="H42" s="101"/>
      <c r="I42" s="293"/>
      <c r="J42" s="299">
        <v>3</v>
      </c>
      <c r="K42" s="299" t="s">
        <v>540</v>
      </c>
      <c r="L42" s="300" t="s">
        <v>547</v>
      </c>
      <c r="M42" s="299">
        <v>2</v>
      </c>
      <c r="N42" s="301">
        <v>840000</v>
      </c>
      <c r="O42" s="299">
        <f t="shared" si="1"/>
        <v>1680000</v>
      </c>
    </row>
    <row r="43" spans="1:15" ht="28.8" x14ac:dyDescent="0.3">
      <c r="B43" s="101"/>
      <c r="C43" s="98"/>
      <c r="D43" s="98"/>
      <c r="E43" s="91"/>
      <c r="H43" s="101"/>
      <c r="I43" s="293"/>
      <c r="J43" s="299">
        <v>4</v>
      </c>
      <c r="K43" s="299" t="s">
        <v>543</v>
      </c>
      <c r="L43" s="300" t="s">
        <v>544</v>
      </c>
      <c r="M43" s="299">
        <v>1</v>
      </c>
      <c r="N43" s="301">
        <v>3480000</v>
      </c>
      <c r="O43" s="299">
        <f t="shared" si="1"/>
        <v>3480000</v>
      </c>
    </row>
    <row r="44" spans="1:15" x14ac:dyDescent="0.3">
      <c r="B44" s="101"/>
      <c r="C44" s="98"/>
      <c r="D44" s="98"/>
      <c r="F44" s="91"/>
      <c r="H44" s="101"/>
      <c r="I44" s="293"/>
      <c r="J44" s="299">
        <v>5</v>
      </c>
      <c r="K44" s="299" t="s">
        <v>545</v>
      </c>
      <c r="L44" s="300" t="s">
        <v>546</v>
      </c>
      <c r="M44" s="299">
        <v>2</v>
      </c>
      <c r="N44" s="301">
        <v>480000</v>
      </c>
      <c r="O44" s="299">
        <f t="shared" si="1"/>
        <v>960000</v>
      </c>
    </row>
    <row r="45" spans="1:15" ht="43.8" thickBot="1" x14ac:dyDescent="0.35">
      <c r="B45" s="102"/>
      <c r="C45" s="99"/>
      <c r="D45" s="99"/>
      <c r="H45" s="101"/>
      <c r="I45" s="293"/>
      <c r="J45" s="299">
        <v>6</v>
      </c>
      <c r="K45" s="299" t="s">
        <v>548</v>
      </c>
      <c r="L45" s="300" t="s">
        <v>549</v>
      </c>
      <c r="M45" s="299">
        <v>2</v>
      </c>
      <c r="N45" s="301">
        <v>620000</v>
      </c>
      <c r="O45" s="299">
        <f t="shared" si="1"/>
        <v>1240000</v>
      </c>
    </row>
    <row r="46" spans="1:15" x14ac:dyDescent="0.3">
      <c r="H46" s="101"/>
      <c r="I46" s="294"/>
      <c r="J46" s="299">
        <v>7</v>
      </c>
      <c r="K46" s="299" t="s">
        <v>554</v>
      </c>
      <c r="L46" s="299"/>
      <c r="M46" s="299">
        <v>6</v>
      </c>
      <c r="N46" s="301">
        <v>220000</v>
      </c>
      <c r="O46" s="299">
        <f t="shared" si="1"/>
        <v>1320000</v>
      </c>
    </row>
    <row r="47" spans="1:15" x14ac:dyDescent="0.3">
      <c r="H47" s="101"/>
      <c r="I47" s="295"/>
      <c r="J47" s="299">
        <v>8</v>
      </c>
      <c r="K47" s="299" t="s">
        <v>560</v>
      </c>
      <c r="L47" s="299"/>
      <c r="M47" s="299">
        <v>12</v>
      </c>
      <c r="N47" s="301">
        <v>650000</v>
      </c>
      <c r="O47" s="299">
        <f t="shared" si="1"/>
        <v>7800000</v>
      </c>
    </row>
    <row r="48" spans="1:15" ht="15" thickBot="1" x14ac:dyDescent="0.35">
      <c r="A48" s="65"/>
      <c r="B48" s="66"/>
      <c r="C48" s="66"/>
      <c r="D48" s="67"/>
      <c r="E48" s="67"/>
      <c r="F48" s="68"/>
      <c r="H48" s="102"/>
      <c r="I48" s="296"/>
      <c r="J48" s="299"/>
      <c r="K48" s="299"/>
      <c r="L48" s="299"/>
      <c r="M48" s="299"/>
      <c r="N48" s="299"/>
      <c r="O48" s="299"/>
    </row>
    <row r="49" spans="1:15" ht="15" thickBot="1" x14ac:dyDescent="0.35">
      <c r="A49" s="377"/>
      <c r="B49" s="378"/>
      <c r="C49" s="378"/>
      <c r="D49" s="378"/>
      <c r="E49" s="378"/>
      <c r="F49" s="379"/>
      <c r="H49" s="115"/>
      <c r="I49" s="297"/>
      <c r="J49" s="299"/>
      <c r="K49" s="299"/>
      <c r="L49" s="299"/>
      <c r="M49" s="299"/>
      <c r="N49" s="299"/>
      <c r="O49" s="302">
        <f>SUM(O40:O47)</f>
        <v>18880000</v>
      </c>
    </row>
    <row r="50" spans="1:15" ht="15" thickBot="1" x14ac:dyDescent="0.35">
      <c r="A50" s="369"/>
      <c r="B50" s="69"/>
      <c r="C50" s="70"/>
      <c r="D50" s="71"/>
      <c r="E50" s="71"/>
      <c r="F50" s="72"/>
      <c r="H50" s="117"/>
      <c r="I50" s="110"/>
      <c r="J50" s="290"/>
      <c r="K50" s="290"/>
      <c r="L50" s="290"/>
      <c r="M50" s="290"/>
      <c r="N50" s="290"/>
      <c r="O50" s="291"/>
    </row>
    <row r="51" spans="1:15" ht="15" thickBot="1" x14ac:dyDescent="0.35">
      <c r="A51" s="370"/>
      <c r="B51" s="73"/>
      <c r="C51" s="74"/>
      <c r="D51" s="75"/>
      <c r="E51" s="75"/>
      <c r="F51" s="75"/>
      <c r="H51" s="117"/>
      <c r="I51" s="110"/>
      <c r="J51" s="290"/>
      <c r="K51" s="290"/>
      <c r="L51" s="290"/>
      <c r="M51" s="290"/>
      <c r="N51" s="290"/>
      <c r="O51" s="290"/>
    </row>
    <row r="52" spans="1:15" x14ac:dyDescent="0.3">
      <c r="A52" s="370"/>
      <c r="B52" s="76"/>
      <c r="C52" s="74"/>
      <c r="D52" s="77"/>
      <c r="E52" s="75"/>
      <c r="F52" s="75"/>
      <c r="J52" s="290"/>
      <c r="K52" s="290"/>
      <c r="L52" s="290"/>
      <c r="M52" s="290"/>
      <c r="N52" s="290"/>
      <c r="O52" s="290"/>
    </row>
    <row r="53" spans="1:15" x14ac:dyDescent="0.3">
      <c r="A53" s="371"/>
      <c r="B53" s="78"/>
      <c r="C53" s="74"/>
      <c r="D53" s="79"/>
      <c r="E53" s="75"/>
      <c r="F53" s="75"/>
      <c r="J53" s="290"/>
      <c r="K53" s="290"/>
      <c r="L53" s="290"/>
      <c r="M53" s="290"/>
      <c r="N53" s="290"/>
      <c r="O53" s="290"/>
    </row>
    <row r="54" spans="1:15" x14ac:dyDescent="0.3">
      <c r="A54" s="381"/>
      <c r="B54" s="69"/>
      <c r="C54" s="70"/>
      <c r="D54" s="71"/>
      <c r="E54" s="71"/>
      <c r="F54" s="72"/>
      <c r="J54" s="380" t="s">
        <v>550</v>
      </c>
      <c r="K54" s="380"/>
      <c r="L54" s="380"/>
      <c r="M54" s="380"/>
      <c r="N54" s="380"/>
      <c r="O54" s="380"/>
    </row>
    <row r="55" spans="1:15" x14ac:dyDescent="0.3">
      <c r="A55" s="382"/>
      <c r="B55" s="73"/>
      <c r="C55" s="74"/>
      <c r="D55" s="75"/>
      <c r="E55" s="75"/>
      <c r="F55" s="75"/>
      <c r="J55" s="299"/>
      <c r="K55" s="299"/>
      <c r="L55" s="299"/>
      <c r="M55" s="299"/>
      <c r="N55" s="299" t="s">
        <v>553</v>
      </c>
      <c r="O55" s="299"/>
    </row>
    <row r="56" spans="1:15" x14ac:dyDescent="0.3">
      <c r="A56" s="382"/>
      <c r="B56" s="76"/>
      <c r="C56" s="74"/>
      <c r="D56" s="77"/>
      <c r="E56" s="75"/>
      <c r="F56" s="75"/>
      <c r="J56" s="299">
        <v>1</v>
      </c>
      <c r="K56" s="299" t="s">
        <v>551</v>
      </c>
      <c r="L56" s="299"/>
      <c r="M56" s="299">
        <v>2</v>
      </c>
      <c r="N56" s="301">
        <v>840000</v>
      </c>
      <c r="O56" s="299">
        <f>M56*N56</f>
        <v>1680000</v>
      </c>
    </row>
    <row r="57" spans="1:15" x14ac:dyDescent="0.3">
      <c r="A57" s="383"/>
      <c r="B57" s="78"/>
      <c r="C57" s="74"/>
      <c r="D57" s="79"/>
      <c r="E57" s="75"/>
      <c r="F57" s="75"/>
      <c r="J57" s="299">
        <v>2</v>
      </c>
      <c r="K57" s="299" t="s">
        <v>552</v>
      </c>
      <c r="L57" s="299"/>
      <c r="M57" s="299">
        <v>2</v>
      </c>
      <c r="N57" s="301">
        <v>1640000</v>
      </c>
      <c r="O57" s="299">
        <f>M57*N57</f>
        <v>3280000</v>
      </c>
    </row>
    <row r="58" spans="1:15" x14ac:dyDescent="0.3">
      <c r="A58" s="381"/>
      <c r="B58" s="69"/>
      <c r="C58" s="70"/>
      <c r="D58" s="71"/>
      <c r="E58" s="71"/>
      <c r="F58" s="72"/>
      <c r="J58" s="299">
        <v>3</v>
      </c>
      <c r="K58" s="299" t="s">
        <v>555</v>
      </c>
      <c r="L58" s="299"/>
      <c r="M58" s="299">
        <v>6</v>
      </c>
      <c r="N58" s="301">
        <v>600000</v>
      </c>
      <c r="O58" s="299">
        <f>M58*N58</f>
        <v>3600000</v>
      </c>
    </row>
    <row r="59" spans="1:15" x14ac:dyDescent="0.3">
      <c r="A59" s="382"/>
      <c r="B59" s="73"/>
      <c r="C59" s="74"/>
      <c r="D59" s="75"/>
      <c r="E59" s="75"/>
      <c r="F59" s="75"/>
      <c r="J59" s="299"/>
      <c r="K59" s="299"/>
      <c r="L59" s="299"/>
      <c r="M59" s="299"/>
      <c r="N59" s="299"/>
      <c r="O59" s="299"/>
    </row>
    <row r="60" spans="1:15" x14ac:dyDescent="0.3">
      <c r="A60" s="382"/>
      <c r="B60" s="76"/>
      <c r="C60" s="74"/>
      <c r="D60" s="77"/>
      <c r="E60" s="75"/>
      <c r="F60" s="75"/>
      <c r="J60" s="299"/>
      <c r="K60" s="299"/>
      <c r="L60" s="299"/>
      <c r="M60" s="299"/>
      <c r="N60" s="299"/>
      <c r="O60" s="302">
        <f>SUM(O56:O58)</f>
        <v>8560000</v>
      </c>
    </row>
    <row r="61" spans="1:15" x14ac:dyDescent="0.3">
      <c r="A61" s="383"/>
      <c r="B61" s="78"/>
      <c r="C61" s="74"/>
      <c r="D61" s="79"/>
      <c r="E61" s="75"/>
      <c r="F61" s="75"/>
    </row>
    <row r="62" spans="1:15" x14ac:dyDescent="0.3">
      <c r="A62" s="381"/>
      <c r="B62" s="69"/>
      <c r="C62" s="70"/>
      <c r="D62" s="71"/>
      <c r="E62" s="71"/>
      <c r="F62" s="72"/>
    </row>
    <row r="63" spans="1:15" x14ac:dyDescent="0.3">
      <c r="A63" s="382"/>
      <c r="B63" s="73"/>
      <c r="C63" s="74"/>
      <c r="D63" s="75"/>
      <c r="E63" s="75"/>
      <c r="F63" s="75"/>
    </row>
    <row r="64" spans="1:15" x14ac:dyDescent="0.3">
      <c r="A64" s="382"/>
      <c r="B64" s="76"/>
      <c r="C64" s="74"/>
      <c r="D64" s="77"/>
      <c r="E64" s="75"/>
      <c r="F64" s="75"/>
    </row>
    <row r="65" spans="1:6" x14ac:dyDescent="0.3">
      <c r="A65" s="383"/>
      <c r="B65" s="78"/>
      <c r="C65" s="74"/>
      <c r="D65" s="79"/>
      <c r="E65" s="75"/>
      <c r="F65" s="75"/>
    </row>
    <row r="66" spans="1:6" x14ac:dyDescent="0.3">
      <c r="A66" s="88"/>
      <c r="B66" s="89"/>
      <c r="C66" s="74"/>
      <c r="D66" s="79"/>
      <c r="E66" s="75"/>
      <c r="F66" s="75"/>
    </row>
    <row r="67" spans="1:6" x14ac:dyDescent="0.3">
      <c r="A67" s="87"/>
      <c r="B67" s="66"/>
      <c r="C67" s="87"/>
      <c r="D67" s="87"/>
      <c r="E67" s="87"/>
      <c r="F67" s="92"/>
    </row>
    <row r="68" spans="1:6" x14ac:dyDescent="0.3">
      <c r="A68" s="81"/>
      <c r="B68" s="89"/>
      <c r="C68" s="74"/>
      <c r="D68" s="79"/>
      <c r="E68" s="75"/>
      <c r="F68" s="75"/>
    </row>
    <row r="69" spans="1:6" x14ac:dyDescent="0.3">
      <c r="A69" s="81"/>
      <c r="B69" s="90"/>
      <c r="C69" s="74"/>
      <c r="D69" s="79"/>
      <c r="E69" s="75"/>
      <c r="F69" s="75"/>
    </row>
    <row r="70" spans="1:6" x14ac:dyDescent="0.3">
      <c r="A70" s="81"/>
      <c r="B70" s="82"/>
      <c r="C70" s="74"/>
      <c r="D70" s="79"/>
      <c r="E70" s="75"/>
      <c r="F70" s="75"/>
    </row>
    <row r="71" spans="1:6" x14ac:dyDescent="0.3">
      <c r="A71" s="81"/>
      <c r="B71" s="82"/>
      <c r="C71" s="74"/>
      <c r="D71" s="79"/>
      <c r="E71" s="75"/>
      <c r="F71" s="75"/>
    </row>
    <row r="72" spans="1:6" x14ac:dyDescent="0.3">
      <c r="A72" s="83"/>
      <c r="B72" s="84"/>
      <c r="C72" s="74"/>
      <c r="D72" s="79"/>
      <c r="E72" s="75"/>
      <c r="F72" s="75"/>
    </row>
    <row r="73" spans="1:6" x14ac:dyDescent="0.3">
      <c r="A73" s="83"/>
      <c r="B73" s="84"/>
      <c r="C73" s="74"/>
      <c r="D73" s="79"/>
      <c r="E73" s="75"/>
      <c r="F73" s="75"/>
    </row>
    <row r="74" spans="1:6" x14ac:dyDescent="0.3">
      <c r="A74" s="83"/>
      <c r="B74" s="84"/>
      <c r="C74" s="74"/>
      <c r="D74" s="79"/>
      <c r="E74" s="75"/>
      <c r="F74" s="75"/>
    </row>
    <row r="75" spans="1:6" x14ac:dyDescent="0.3">
      <c r="A75" s="83"/>
      <c r="B75" s="68"/>
      <c r="C75" s="74"/>
      <c r="D75" s="75"/>
      <c r="E75" s="85"/>
      <c r="F75" s="75"/>
    </row>
    <row r="76" spans="1:6" x14ac:dyDescent="0.3">
      <c r="A76" s="87"/>
      <c r="B76" s="66"/>
      <c r="C76" s="87"/>
      <c r="D76" s="87"/>
      <c r="E76" s="87"/>
      <c r="F76" s="92"/>
    </row>
    <row r="77" spans="1:6" x14ac:dyDescent="0.3">
      <c r="A77" s="87"/>
      <c r="B77" s="87"/>
      <c r="C77" s="87"/>
      <c r="D77" s="87"/>
      <c r="E77" s="87"/>
      <c r="F77" s="75"/>
    </row>
    <row r="78" spans="1:6" x14ac:dyDescent="0.3">
      <c r="A78" s="87"/>
      <c r="B78" s="87"/>
      <c r="C78" s="87"/>
      <c r="D78" s="87"/>
      <c r="E78" s="87"/>
      <c r="F78" s="75"/>
    </row>
    <row r="79" spans="1:6" x14ac:dyDescent="0.3">
      <c r="A79" s="87"/>
      <c r="B79" s="93"/>
      <c r="C79" s="87"/>
      <c r="D79" s="87"/>
      <c r="E79" s="87"/>
      <c r="F79" s="92"/>
    </row>
    <row r="81" spans="1:6" x14ac:dyDescent="0.3">
      <c r="A81" s="65"/>
      <c r="B81" s="66"/>
      <c r="C81" s="66"/>
      <c r="D81" s="67"/>
      <c r="E81" s="67"/>
      <c r="F81" s="68"/>
    </row>
    <row r="82" spans="1:6" x14ac:dyDescent="0.3">
      <c r="A82" s="377"/>
      <c r="B82" s="378"/>
      <c r="C82" s="378"/>
      <c r="D82" s="378"/>
      <c r="E82" s="378"/>
      <c r="F82" s="379"/>
    </row>
    <row r="83" spans="1:6" x14ac:dyDescent="0.3">
      <c r="A83" s="369"/>
      <c r="B83" s="69"/>
      <c r="C83" s="70"/>
      <c r="D83" s="71"/>
      <c r="E83" s="71"/>
      <c r="F83" s="72"/>
    </row>
    <row r="84" spans="1:6" x14ac:dyDescent="0.3">
      <c r="A84" s="370"/>
      <c r="B84" s="73"/>
      <c r="C84" s="74"/>
      <c r="D84" s="75"/>
      <c r="E84" s="75"/>
      <c r="F84" s="75"/>
    </row>
    <row r="85" spans="1:6" x14ac:dyDescent="0.3">
      <c r="A85" s="370"/>
      <c r="B85" s="76"/>
      <c r="C85" s="74"/>
      <c r="D85" s="77"/>
      <c r="E85" s="75"/>
      <c r="F85" s="75"/>
    </row>
    <row r="86" spans="1:6" x14ac:dyDescent="0.3">
      <c r="A86" s="371"/>
      <c r="B86" s="78"/>
      <c r="C86" s="74"/>
      <c r="D86" s="79"/>
      <c r="E86" s="75"/>
      <c r="F86" s="75"/>
    </row>
    <row r="87" spans="1:6" x14ac:dyDescent="0.3">
      <c r="A87" s="369"/>
      <c r="B87" s="69"/>
      <c r="C87" s="70"/>
      <c r="D87" s="71"/>
      <c r="E87" s="71"/>
      <c r="F87" s="72"/>
    </row>
    <row r="88" spans="1:6" x14ac:dyDescent="0.3">
      <c r="A88" s="370"/>
      <c r="B88" s="73"/>
      <c r="C88" s="74"/>
      <c r="D88" s="75"/>
      <c r="E88" s="75"/>
      <c r="F88" s="75"/>
    </row>
    <row r="89" spans="1:6" x14ac:dyDescent="0.3">
      <c r="A89" s="370"/>
      <c r="B89" s="76"/>
      <c r="C89" s="74"/>
      <c r="D89" s="77"/>
      <c r="E89" s="75"/>
      <c r="F89" s="75"/>
    </row>
    <row r="90" spans="1:6" x14ac:dyDescent="0.3">
      <c r="A90" s="371"/>
      <c r="B90" s="78"/>
      <c r="C90" s="74"/>
      <c r="D90" s="79"/>
      <c r="E90" s="75"/>
      <c r="F90" s="75"/>
    </row>
    <row r="91" spans="1:6" x14ac:dyDescent="0.3">
      <c r="A91" s="381"/>
      <c r="B91" s="69"/>
      <c r="C91" s="70"/>
      <c r="D91" s="71"/>
      <c r="E91" s="71"/>
      <c r="F91" s="72"/>
    </row>
    <row r="92" spans="1:6" x14ac:dyDescent="0.3">
      <c r="A92" s="382"/>
      <c r="B92" s="73"/>
      <c r="C92" s="74"/>
      <c r="D92" s="75"/>
      <c r="E92" s="75"/>
      <c r="F92" s="75"/>
    </row>
    <row r="93" spans="1:6" x14ac:dyDescent="0.3">
      <c r="A93" s="382"/>
      <c r="B93" s="76"/>
      <c r="C93" s="74"/>
      <c r="D93" s="77"/>
      <c r="E93" s="75"/>
      <c r="F93" s="75"/>
    </row>
    <row r="94" spans="1:6" x14ac:dyDescent="0.3">
      <c r="A94" s="383"/>
      <c r="B94" s="78"/>
      <c r="C94" s="74"/>
      <c r="D94" s="79"/>
      <c r="E94" s="75"/>
      <c r="F94" s="75"/>
    </row>
    <row r="95" spans="1:6" x14ac:dyDescent="0.3">
      <c r="A95" s="381"/>
      <c r="B95" s="69"/>
      <c r="C95" s="70"/>
      <c r="D95" s="71"/>
      <c r="E95" s="71"/>
      <c r="F95" s="72"/>
    </row>
    <row r="96" spans="1:6" x14ac:dyDescent="0.3">
      <c r="A96" s="382"/>
      <c r="B96" s="73"/>
      <c r="C96" s="74"/>
      <c r="D96" s="75"/>
      <c r="E96" s="75"/>
      <c r="F96" s="75"/>
    </row>
    <row r="97" spans="1:6" x14ac:dyDescent="0.3">
      <c r="A97" s="382"/>
      <c r="B97" s="76"/>
      <c r="C97" s="74"/>
      <c r="D97" s="77"/>
      <c r="E97" s="75"/>
      <c r="F97" s="75"/>
    </row>
    <row r="98" spans="1:6" x14ac:dyDescent="0.3">
      <c r="A98" s="383"/>
      <c r="B98" s="78"/>
      <c r="C98" s="74"/>
      <c r="D98" s="79"/>
      <c r="E98" s="75"/>
      <c r="F98" s="75"/>
    </row>
    <row r="99" spans="1:6" x14ac:dyDescent="0.3">
      <c r="A99" s="381"/>
      <c r="B99" s="69"/>
      <c r="C99" s="70"/>
      <c r="D99" s="71"/>
      <c r="E99" s="71"/>
      <c r="F99" s="72"/>
    </row>
    <row r="100" spans="1:6" x14ac:dyDescent="0.3">
      <c r="A100" s="382"/>
      <c r="B100" s="73"/>
      <c r="C100" s="74"/>
      <c r="D100" s="75"/>
      <c r="E100" s="75"/>
      <c r="F100" s="75"/>
    </row>
    <row r="101" spans="1:6" x14ac:dyDescent="0.3">
      <c r="A101" s="382"/>
      <c r="B101" s="76"/>
      <c r="C101" s="74"/>
      <c r="D101" s="77"/>
      <c r="E101" s="75"/>
      <c r="F101" s="75"/>
    </row>
    <row r="102" spans="1:6" x14ac:dyDescent="0.3">
      <c r="A102" s="383"/>
      <c r="B102" s="78"/>
      <c r="C102" s="74"/>
      <c r="D102" s="79"/>
      <c r="E102" s="75"/>
      <c r="F102" s="75"/>
    </row>
    <row r="103" spans="1:6" x14ac:dyDescent="0.3">
      <c r="A103" s="88"/>
      <c r="B103" s="89"/>
      <c r="C103" s="74"/>
      <c r="D103" s="79"/>
      <c r="E103" s="75"/>
      <c r="F103" s="75"/>
    </row>
    <row r="104" spans="1:6" x14ac:dyDescent="0.3">
      <c r="A104" s="87"/>
      <c r="B104" s="66"/>
      <c r="C104" s="87"/>
      <c r="D104" s="87"/>
      <c r="E104" s="87"/>
      <c r="F104" s="92"/>
    </row>
    <row r="105" spans="1:6" x14ac:dyDescent="0.3">
      <c r="A105" s="81"/>
      <c r="B105" s="89"/>
      <c r="C105" s="74"/>
      <c r="D105" s="79"/>
      <c r="E105" s="75"/>
      <c r="F105" s="75"/>
    </row>
    <row r="106" spans="1:6" x14ac:dyDescent="0.3">
      <c r="A106" s="81"/>
      <c r="B106" s="90"/>
      <c r="C106" s="74"/>
      <c r="D106" s="79"/>
      <c r="E106" s="75"/>
      <c r="F106" s="75"/>
    </row>
    <row r="107" spans="1:6" x14ac:dyDescent="0.3">
      <c r="A107" s="81"/>
      <c r="B107" s="82"/>
      <c r="C107" s="74"/>
      <c r="D107" s="79"/>
      <c r="E107" s="75"/>
      <c r="F107" s="75"/>
    </row>
    <row r="108" spans="1:6" x14ac:dyDescent="0.3">
      <c r="A108" s="81"/>
      <c r="B108" s="82"/>
      <c r="C108" s="74"/>
      <c r="D108" s="79"/>
      <c r="E108" s="75"/>
      <c r="F108" s="75"/>
    </row>
    <row r="109" spans="1:6" x14ac:dyDescent="0.3">
      <c r="A109" s="83"/>
      <c r="B109" s="84"/>
      <c r="C109" s="74"/>
      <c r="D109" s="79"/>
      <c r="E109" s="75"/>
      <c r="F109" s="75"/>
    </row>
    <row r="110" spans="1:6" x14ac:dyDescent="0.3">
      <c r="A110" s="83"/>
      <c r="B110" s="84"/>
      <c r="C110" s="74"/>
      <c r="D110" s="79"/>
      <c r="E110" s="75"/>
      <c r="F110" s="75"/>
    </row>
    <row r="111" spans="1:6" x14ac:dyDescent="0.3">
      <c r="A111" s="83"/>
      <c r="B111" s="84"/>
      <c r="C111" s="74"/>
      <c r="D111" s="79"/>
      <c r="E111" s="75"/>
      <c r="F111" s="75"/>
    </row>
    <row r="112" spans="1:6" x14ac:dyDescent="0.3">
      <c r="A112" s="83"/>
      <c r="B112" s="68"/>
      <c r="C112" s="74"/>
      <c r="D112" s="75"/>
      <c r="E112" s="85"/>
      <c r="F112" s="75"/>
    </row>
    <row r="113" spans="1:6" x14ac:dyDescent="0.3">
      <c r="A113" s="87"/>
      <c r="B113" s="66"/>
      <c r="C113" s="87"/>
      <c r="D113" s="87"/>
      <c r="E113" s="87"/>
      <c r="F113" s="92"/>
    </row>
    <row r="114" spans="1:6" x14ac:dyDescent="0.3">
      <c r="A114" s="87"/>
      <c r="B114" s="87"/>
      <c r="C114" s="87"/>
      <c r="D114" s="87"/>
      <c r="E114" s="87"/>
      <c r="F114" s="75"/>
    </row>
    <row r="115" spans="1:6" x14ac:dyDescent="0.3">
      <c r="A115" s="87"/>
      <c r="B115" s="87"/>
      <c r="C115" s="87"/>
      <c r="D115" s="87"/>
      <c r="E115" s="87"/>
      <c r="F115" s="75"/>
    </row>
    <row r="116" spans="1:6" x14ac:dyDescent="0.3">
      <c r="A116" s="87"/>
      <c r="B116" s="93"/>
      <c r="C116" s="87"/>
      <c r="D116" s="87"/>
      <c r="E116" s="87"/>
      <c r="F116" s="92"/>
    </row>
  </sheetData>
  <mergeCells count="17">
    <mergeCell ref="A49:F49"/>
    <mergeCell ref="J54:O54"/>
    <mergeCell ref="A3:F3"/>
    <mergeCell ref="A4:A7"/>
    <mergeCell ref="A8:A11"/>
    <mergeCell ref="A12:A15"/>
    <mergeCell ref="A16:A19"/>
    <mergeCell ref="A87:A90"/>
    <mergeCell ref="A91:A94"/>
    <mergeCell ref="A95:A98"/>
    <mergeCell ref="A99:A102"/>
    <mergeCell ref="A50:A53"/>
    <mergeCell ref="A54:A57"/>
    <mergeCell ref="A58:A61"/>
    <mergeCell ref="A62:A65"/>
    <mergeCell ref="A82:F82"/>
    <mergeCell ref="A83:A86"/>
  </mergeCells>
  <pageMargins left="0.7" right="0.7" top="0.75" bottom="0.75" header="0.3" footer="0.3"/>
  <pageSetup paperSize="9"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A5A8-31DA-4A32-B2E0-1B10AB695D44}">
  <dimension ref="B2:H14"/>
  <sheetViews>
    <sheetView topLeftCell="B2" workbookViewId="0">
      <selection activeCell="J9" sqref="J9"/>
    </sheetView>
  </sheetViews>
  <sheetFormatPr defaultRowHeight="14.4" x14ac:dyDescent="0.3"/>
  <cols>
    <col min="3" max="3" width="18.6640625" customWidth="1"/>
    <col min="4" max="4" width="13.44140625" customWidth="1"/>
    <col min="6" max="6" width="14" customWidth="1"/>
  </cols>
  <sheetData>
    <row r="2" spans="2:8" ht="57.6" x14ac:dyDescent="0.3">
      <c r="B2" s="288"/>
      <c r="C2" s="288"/>
      <c r="D2" s="288" t="s">
        <v>512</v>
      </c>
      <c r="E2" s="288" t="s">
        <v>513</v>
      </c>
      <c r="F2" s="288" t="s">
        <v>511</v>
      </c>
      <c r="G2" s="288" t="s">
        <v>516</v>
      </c>
      <c r="H2" s="288"/>
    </row>
    <row r="3" spans="2:8" x14ac:dyDescent="0.3">
      <c r="B3" s="43"/>
      <c r="C3" s="43"/>
      <c r="D3" s="43"/>
      <c r="E3" s="43"/>
      <c r="F3" s="43"/>
      <c r="G3" s="43"/>
      <c r="H3" s="43"/>
    </row>
    <row r="4" spans="2:8" x14ac:dyDescent="0.3">
      <c r="B4" s="43">
        <v>1</v>
      </c>
      <c r="C4" s="43" t="s">
        <v>508</v>
      </c>
      <c r="D4" s="43">
        <v>600</v>
      </c>
      <c r="E4" s="43">
        <v>90</v>
      </c>
      <c r="F4" s="43">
        <v>10</v>
      </c>
      <c r="G4" s="43" t="s">
        <v>514</v>
      </c>
      <c r="H4" s="43"/>
    </row>
    <row r="5" spans="2:8" x14ac:dyDescent="0.3">
      <c r="B5" s="43">
        <v>2</v>
      </c>
      <c r="C5" s="43" t="s">
        <v>515</v>
      </c>
      <c r="D5" s="43">
        <v>200</v>
      </c>
      <c r="E5" s="43">
        <v>30</v>
      </c>
      <c r="F5" s="43">
        <v>0</v>
      </c>
      <c r="G5" s="43" t="s">
        <v>517</v>
      </c>
      <c r="H5" s="43"/>
    </row>
    <row r="6" spans="2:8" x14ac:dyDescent="0.3">
      <c r="B6" s="43">
        <v>3</v>
      </c>
      <c r="C6" s="43" t="s">
        <v>518</v>
      </c>
      <c r="D6" s="43">
        <v>200</v>
      </c>
      <c r="E6" s="43">
        <v>40</v>
      </c>
      <c r="F6" s="43">
        <v>10</v>
      </c>
      <c r="G6" s="43" t="s">
        <v>519</v>
      </c>
      <c r="H6" s="43"/>
    </row>
    <row r="7" spans="2:8" x14ac:dyDescent="0.3">
      <c r="B7" s="43">
        <v>4</v>
      </c>
      <c r="C7" s="43" t="s">
        <v>520</v>
      </c>
      <c r="D7" s="43">
        <v>200</v>
      </c>
      <c r="E7" s="43">
        <v>40</v>
      </c>
      <c r="F7" s="43">
        <v>10</v>
      </c>
      <c r="G7" s="43" t="s">
        <v>521</v>
      </c>
      <c r="H7" s="43"/>
    </row>
    <row r="8" spans="2:8" x14ac:dyDescent="0.3">
      <c r="B8" s="43">
        <v>5</v>
      </c>
      <c r="C8" s="43" t="s">
        <v>522</v>
      </c>
      <c r="D8" s="43" t="s">
        <v>523</v>
      </c>
      <c r="E8" s="43"/>
      <c r="F8" s="43"/>
      <c r="G8" s="43"/>
      <c r="H8" s="43"/>
    </row>
    <row r="9" spans="2:8" x14ac:dyDescent="0.3">
      <c r="B9" s="43"/>
      <c r="C9" s="43"/>
      <c r="D9" s="43"/>
      <c r="E9" s="43"/>
      <c r="F9" s="43"/>
      <c r="G9" s="43"/>
      <c r="H9" s="43"/>
    </row>
    <row r="10" spans="2:8" x14ac:dyDescent="0.3">
      <c r="B10" s="43"/>
      <c r="C10" s="43"/>
      <c r="D10" s="43"/>
      <c r="E10" s="43"/>
      <c r="F10" s="43"/>
      <c r="G10" s="43"/>
      <c r="H10" s="43"/>
    </row>
    <row r="11" spans="2:8" x14ac:dyDescent="0.3">
      <c r="B11" s="43"/>
      <c r="C11" s="43"/>
      <c r="D11" s="43"/>
      <c r="E11" s="43"/>
      <c r="F11" s="43"/>
      <c r="G11" s="43"/>
      <c r="H11" s="43"/>
    </row>
    <row r="12" spans="2:8" x14ac:dyDescent="0.3">
      <c r="B12" s="43"/>
      <c r="C12" s="43"/>
      <c r="D12" s="43"/>
      <c r="E12" s="43"/>
      <c r="F12" s="43"/>
      <c r="G12" s="43"/>
      <c r="H12" s="43"/>
    </row>
    <row r="13" spans="2:8" x14ac:dyDescent="0.3">
      <c r="B13" s="43"/>
      <c r="C13" s="43"/>
      <c r="D13" s="43"/>
      <c r="E13" s="43"/>
      <c r="F13" s="43"/>
      <c r="G13" s="43"/>
      <c r="H13" s="43"/>
    </row>
    <row r="14" spans="2:8" x14ac:dyDescent="0.3">
      <c r="B14" s="43" t="s">
        <v>509</v>
      </c>
      <c r="C14" s="43" t="s">
        <v>510</v>
      </c>
      <c r="D14" s="43"/>
      <c r="E14" s="43"/>
      <c r="F14" s="43"/>
      <c r="G14" s="43"/>
      <c r="H14" s="43"/>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workbookViewId="0">
      <selection activeCell="B24" sqref="B24"/>
    </sheetView>
  </sheetViews>
  <sheetFormatPr defaultRowHeight="14.4" x14ac:dyDescent="0.3"/>
  <cols>
    <col min="2" max="2" width="36.6640625" customWidth="1"/>
    <col min="5" max="5" width="11.33203125" customWidth="1"/>
    <col min="7" max="7" width="9.88671875" bestFit="1" customWidth="1"/>
    <col min="8" max="8" width="11.33203125" customWidth="1"/>
    <col min="9" max="9" width="15.33203125" customWidth="1"/>
    <col min="10" max="10" width="12.5546875" customWidth="1"/>
  </cols>
  <sheetData>
    <row r="1" spans="1:6" ht="40.799999999999997" x14ac:dyDescent="0.3">
      <c r="A1" s="65" t="s">
        <v>222</v>
      </c>
      <c r="B1" s="66" t="s">
        <v>223</v>
      </c>
      <c r="C1" s="66" t="s">
        <v>224</v>
      </c>
      <c r="D1" s="67" t="s">
        <v>225</v>
      </c>
      <c r="E1" s="67" t="s">
        <v>226</v>
      </c>
      <c r="F1" s="68" t="s">
        <v>227</v>
      </c>
    </row>
    <row r="2" spans="1:6" x14ac:dyDescent="0.3">
      <c r="A2" s="377" t="s">
        <v>258</v>
      </c>
      <c r="B2" s="378"/>
      <c r="C2" s="378"/>
      <c r="D2" s="378"/>
      <c r="E2" s="378"/>
      <c r="F2" s="379"/>
    </row>
    <row r="3" spans="1:6" x14ac:dyDescent="0.3">
      <c r="A3" s="369">
        <v>1</v>
      </c>
      <c r="B3" s="69" t="s">
        <v>259</v>
      </c>
      <c r="C3" s="70">
        <v>4</v>
      </c>
      <c r="D3" s="71"/>
      <c r="E3" s="71"/>
      <c r="F3" s="72">
        <f>SUM(F4:F6)*C3</f>
        <v>1249536</v>
      </c>
    </row>
    <row r="4" spans="1:6" x14ac:dyDescent="0.3">
      <c r="A4" s="370"/>
      <c r="B4" s="73" t="s">
        <v>229</v>
      </c>
      <c r="C4" s="74">
        <v>1</v>
      </c>
      <c r="D4" s="75">
        <v>13349</v>
      </c>
      <c r="E4" s="75">
        <f>D4*C4</f>
        <v>13349</v>
      </c>
      <c r="F4" s="75">
        <f t="shared" ref="F4:F19" si="0">E4*12</f>
        <v>160188</v>
      </c>
    </row>
    <row r="5" spans="1:6" x14ac:dyDescent="0.3">
      <c r="A5" s="370"/>
      <c r="B5" s="76" t="s">
        <v>230</v>
      </c>
      <c r="C5" s="74">
        <v>12</v>
      </c>
      <c r="D5" s="77">
        <v>849</v>
      </c>
      <c r="E5" s="75">
        <f>D5*C5</f>
        <v>10188</v>
      </c>
      <c r="F5" s="75">
        <f t="shared" si="0"/>
        <v>122256</v>
      </c>
    </row>
    <row r="6" spans="1:6" x14ac:dyDescent="0.3">
      <c r="A6" s="371"/>
      <c r="B6" s="78" t="s">
        <v>231</v>
      </c>
      <c r="C6" s="74">
        <v>5</v>
      </c>
      <c r="D6" s="79">
        <v>499</v>
      </c>
      <c r="E6" s="75">
        <f>D6*C6</f>
        <v>2495</v>
      </c>
      <c r="F6" s="75">
        <f t="shared" si="0"/>
        <v>29940</v>
      </c>
    </row>
    <row r="7" spans="1:6" x14ac:dyDescent="0.3">
      <c r="A7" s="381">
        <v>2</v>
      </c>
      <c r="B7" s="69" t="s">
        <v>290</v>
      </c>
      <c r="C7" s="70">
        <v>3</v>
      </c>
      <c r="D7" s="71"/>
      <c r="E7" s="71"/>
      <c r="F7" s="72">
        <f>SUM(F8:F10)*C7</f>
        <v>1689228</v>
      </c>
    </row>
    <row r="8" spans="1:6" x14ac:dyDescent="0.3">
      <c r="A8" s="382"/>
      <c r="B8" s="73" t="s">
        <v>234</v>
      </c>
      <c r="C8" s="74">
        <v>1</v>
      </c>
      <c r="D8" s="75">
        <v>25549</v>
      </c>
      <c r="E8" s="75">
        <f>D8*C8</f>
        <v>25549</v>
      </c>
      <c r="F8" s="75">
        <f t="shared" si="0"/>
        <v>306588</v>
      </c>
    </row>
    <row r="9" spans="1:6" x14ac:dyDescent="0.3">
      <c r="A9" s="382"/>
      <c r="B9" s="76" t="s">
        <v>230</v>
      </c>
      <c r="C9" s="74">
        <v>24</v>
      </c>
      <c r="D9" s="77">
        <v>849</v>
      </c>
      <c r="E9" s="75">
        <f>D9*C9</f>
        <v>20376</v>
      </c>
      <c r="F9" s="75">
        <f t="shared" si="0"/>
        <v>244512</v>
      </c>
    </row>
    <row r="10" spans="1:6" x14ac:dyDescent="0.3">
      <c r="A10" s="383"/>
      <c r="B10" s="78" t="s">
        <v>232</v>
      </c>
      <c r="C10" s="74">
        <v>2</v>
      </c>
      <c r="D10" s="79">
        <v>499</v>
      </c>
      <c r="E10" s="75">
        <f>D10*C10</f>
        <v>998</v>
      </c>
      <c r="F10" s="75">
        <f t="shared" si="0"/>
        <v>11976</v>
      </c>
    </row>
    <row r="11" spans="1:6" x14ac:dyDescent="0.3">
      <c r="A11" s="88">
        <v>4</v>
      </c>
      <c r="B11" s="89" t="s">
        <v>260</v>
      </c>
      <c r="C11" s="74">
        <v>10</v>
      </c>
      <c r="D11" s="79">
        <v>499</v>
      </c>
      <c r="E11" s="75">
        <f>D11*C11</f>
        <v>4990</v>
      </c>
      <c r="F11" s="75">
        <f t="shared" si="0"/>
        <v>59880</v>
      </c>
    </row>
    <row r="12" spans="1:6" x14ac:dyDescent="0.3">
      <c r="A12" s="87"/>
      <c r="B12" s="66" t="s">
        <v>240</v>
      </c>
      <c r="C12" s="87"/>
      <c r="D12" s="87"/>
      <c r="E12" s="87"/>
      <c r="F12" s="92">
        <f>SUM(F11,F7,F3)</f>
        <v>2998644</v>
      </c>
    </row>
    <row r="13" spans="1:6" x14ac:dyDescent="0.3">
      <c r="A13" s="81"/>
      <c r="B13" s="89"/>
      <c r="C13" s="74"/>
      <c r="D13" s="79"/>
      <c r="E13" s="75"/>
      <c r="F13" s="75"/>
    </row>
    <row r="14" spans="1:6" x14ac:dyDescent="0.3">
      <c r="A14" s="81"/>
      <c r="B14" s="90" t="s">
        <v>241</v>
      </c>
      <c r="C14" s="74"/>
      <c r="D14" s="79"/>
      <c r="E14" s="75"/>
      <c r="F14" s="75"/>
    </row>
    <row r="15" spans="1:6" x14ac:dyDescent="0.3">
      <c r="A15" s="81">
        <v>1</v>
      </c>
      <c r="B15" s="82" t="s">
        <v>237</v>
      </c>
      <c r="C15" s="74">
        <f>SUM(C7,C3)</f>
        <v>7</v>
      </c>
      <c r="D15" s="79">
        <v>2083</v>
      </c>
      <c r="E15" s="75">
        <f>D15*C15</f>
        <v>14581</v>
      </c>
      <c r="F15" s="75">
        <f>E15*12</f>
        <v>174972</v>
      </c>
    </row>
    <row r="16" spans="1:6" x14ac:dyDescent="0.3">
      <c r="A16" s="81">
        <v>2</v>
      </c>
      <c r="B16" s="82" t="s">
        <v>267</v>
      </c>
      <c r="C16" s="74">
        <f>C15</f>
        <v>7</v>
      </c>
      <c r="D16" s="79">
        <v>4560</v>
      </c>
      <c r="E16" s="75">
        <f>D16*C16</f>
        <v>31920</v>
      </c>
      <c r="F16" s="75">
        <f>E16*12</f>
        <v>383040</v>
      </c>
    </row>
    <row r="17" spans="1:9" x14ac:dyDescent="0.3">
      <c r="A17" s="83">
        <v>3</v>
      </c>
      <c r="B17" s="84" t="s">
        <v>239</v>
      </c>
      <c r="C17" s="74">
        <v>0</v>
      </c>
      <c r="D17" s="79">
        <v>22200</v>
      </c>
      <c r="E17" s="75">
        <f>D17*C17</f>
        <v>0</v>
      </c>
      <c r="F17" s="75">
        <f t="shared" si="0"/>
        <v>0</v>
      </c>
    </row>
    <row r="18" spans="1:9" x14ac:dyDescent="0.3">
      <c r="A18" s="83">
        <v>4</v>
      </c>
      <c r="B18" s="84" t="s">
        <v>287</v>
      </c>
      <c r="C18" s="74">
        <v>10</v>
      </c>
      <c r="D18" s="79">
        <v>1340</v>
      </c>
      <c r="E18" s="75">
        <f>D18*C18</f>
        <v>13400</v>
      </c>
      <c r="F18" s="75">
        <f t="shared" si="0"/>
        <v>160800</v>
      </c>
    </row>
    <row r="19" spans="1:9" x14ac:dyDescent="0.3">
      <c r="A19" s="83">
        <v>5</v>
      </c>
      <c r="B19" s="84" t="s">
        <v>244</v>
      </c>
      <c r="C19" s="74">
        <v>8</v>
      </c>
      <c r="D19" s="79">
        <v>13440</v>
      </c>
      <c r="E19" s="75">
        <f>D19*C19</f>
        <v>107520</v>
      </c>
      <c r="F19" s="75">
        <f t="shared" si="0"/>
        <v>1290240</v>
      </c>
    </row>
    <row r="20" spans="1:9" x14ac:dyDescent="0.3">
      <c r="A20" s="86">
        <v>6</v>
      </c>
      <c r="B20" s="68" t="s">
        <v>440</v>
      </c>
      <c r="C20" s="74">
        <v>1</v>
      </c>
      <c r="D20" s="75">
        <v>1</v>
      </c>
      <c r="E20" s="85">
        <v>1</v>
      </c>
      <c r="F20" s="75">
        <v>1800000</v>
      </c>
    </row>
    <row r="21" spans="1:9" x14ac:dyDescent="0.3">
      <c r="A21" s="87"/>
      <c r="B21" s="66" t="s">
        <v>242</v>
      </c>
      <c r="C21" s="87"/>
      <c r="D21" s="87"/>
      <c r="E21" s="87"/>
      <c r="F21" s="92">
        <f>SUM(F15:F20)</f>
        <v>3809052</v>
      </c>
    </row>
    <row r="22" spans="1:9" x14ac:dyDescent="0.3">
      <c r="A22" s="87"/>
      <c r="B22" s="87" t="s">
        <v>246</v>
      </c>
      <c r="C22" s="87"/>
      <c r="D22" s="87"/>
      <c r="E22" s="87"/>
      <c r="F22" s="75">
        <f>F21+F12</f>
        <v>6807696</v>
      </c>
    </row>
    <row r="23" spans="1:9" x14ac:dyDescent="0.3">
      <c r="A23" s="87"/>
      <c r="B23" s="87" t="s">
        <v>247</v>
      </c>
      <c r="C23" s="87"/>
      <c r="D23" s="87"/>
      <c r="E23" s="87"/>
      <c r="F23" s="75">
        <f>F22*0.25</f>
        <v>1701924</v>
      </c>
    </row>
    <row r="24" spans="1:9" x14ac:dyDescent="0.3">
      <c r="A24" s="87"/>
      <c r="B24" s="93" t="s">
        <v>248</v>
      </c>
      <c r="C24" s="87"/>
      <c r="D24" s="87"/>
      <c r="E24" s="87"/>
      <c r="F24" s="92">
        <f>F22-F23</f>
        <v>5105772</v>
      </c>
    </row>
    <row r="25" spans="1:9" ht="15" thickBot="1" x14ac:dyDescent="0.35"/>
    <row r="26" spans="1:9" ht="15" thickBot="1" x14ac:dyDescent="0.35">
      <c r="A26" s="56"/>
      <c r="B26" s="268"/>
      <c r="C26" s="268"/>
      <c r="D26" s="268"/>
      <c r="E26" s="268"/>
      <c r="F26" s="268" t="s">
        <v>352</v>
      </c>
      <c r="G26" s="268" t="s">
        <v>444</v>
      </c>
      <c r="H26" s="268" t="s">
        <v>447</v>
      </c>
      <c r="I26" s="269" t="s">
        <v>446</v>
      </c>
    </row>
    <row r="27" spans="1:9" ht="15" thickBot="1" x14ac:dyDescent="0.35">
      <c r="A27" s="56" t="s">
        <v>454</v>
      </c>
      <c r="B27" s="268" t="s">
        <v>455</v>
      </c>
      <c r="C27" s="271"/>
      <c r="D27" s="271"/>
      <c r="E27" s="271"/>
      <c r="F27" s="271"/>
      <c r="G27" s="271"/>
      <c r="H27" s="271"/>
      <c r="I27" s="272"/>
    </row>
    <row r="28" spans="1:9" x14ac:dyDescent="0.3">
      <c r="A28" s="270"/>
      <c r="B28" s="54"/>
      <c r="C28" s="270" t="s">
        <v>206</v>
      </c>
      <c r="D28" s="54" t="s">
        <v>442</v>
      </c>
      <c r="E28" s="54" t="s">
        <v>443</v>
      </c>
      <c r="F28" s="54"/>
      <c r="G28" s="54"/>
      <c r="H28" s="54"/>
      <c r="I28" s="54"/>
    </row>
    <row r="29" spans="1:9" x14ac:dyDescent="0.3">
      <c r="A29" s="264">
        <v>1</v>
      </c>
      <c r="B29" s="43" t="s">
        <v>441</v>
      </c>
      <c r="C29" s="43">
        <v>8</v>
      </c>
      <c r="D29" s="43">
        <v>16</v>
      </c>
      <c r="E29" s="43">
        <v>300</v>
      </c>
      <c r="F29" s="43">
        <v>4</v>
      </c>
      <c r="G29" s="265">
        <f>25549+(D29-8)*849+CEILING((E29-240)/50,1)*499</f>
        <v>33339</v>
      </c>
      <c r="H29" s="266">
        <f>F29*G29</f>
        <v>133356</v>
      </c>
      <c r="I29" s="266">
        <f>H29*12</f>
        <v>1600272</v>
      </c>
    </row>
    <row r="30" spans="1:9" x14ac:dyDescent="0.3">
      <c r="A30" s="264">
        <v>2</v>
      </c>
      <c r="B30" s="43" t="s">
        <v>329</v>
      </c>
      <c r="C30" s="43">
        <v>16</v>
      </c>
      <c r="D30" s="43">
        <v>32</v>
      </c>
      <c r="E30" s="43">
        <v>2280</v>
      </c>
      <c r="F30" s="43">
        <v>3</v>
      </c>
      <c r="G30" s="265">
        <f>49649+(D30-16)*849+CEILING((E30-480)/50,1)*499</f>
        <v>81197</v>
      </c>
      <c r="H30" s="266">
        <f>F30*G30</f>
        <v>243591</v>
      </c>
      <c r="I30" s="266">
        <f>H30*12</f>
        <v>2923092</v>
      </c>
    </row>
    <row r="31" spans="1:9" ht="15" thickBot="1" x14ac:dyDescent="0.35">
      <c r="A31" s="273"/>
      <c r="B31" s="50"/>
      <c r="C31" s="50"/>
      <c r="D31" s="50"/>
      <c r="E31" s="50"/>
      <c r="F31" s="50"/>
      <c r="G31" s="50"/>
      <c r="H31" s="50"/>
      <c r="I31" s="50"/>
    </row>
    <row r="32" spans="1:9" ht="15" thickBot="1" x14ac:dyDescent="0.35">
      <c r="A32" s="274"/>
      <c r="B32" s="271" t="s">
        <v>240</v>
      </c>
      <c r="C32" s="271"/>
      <c r="D32" s="271"/>
      <c r="E32" s="271"/>
      <c r="F32" s="271"/>
      <c r="G32" s="271"/>
      <c r="H32" s="271"/>
      <c r="I32" s="275">
        <f>SUM(I29:I31)</f>
        <v>4523364</v>
      </c>
    </row>
    <row r="33" spans="1:9" x14ac:dyDescent="0.3">
      <c r="A33" s="277" t="s">
        <v>456</v>
      </c>
      <c r="B33" s="52" t="s">
        <v>241</v>
      </c>
      <c r="C33" s="52"/>
      <c r="D33" s="52"/>
      <c r="E33" s="52"/>
      <c r="F33" s="52"/>
      <c r="G33" s="52"/>
      <c r="H33" s="52"/>
      <c r="I33" s="278"/>
    </row>
    <row r="34" spans="1:9" x14ac:dyDescent="0.3">
      <c r="A34" s="183"/>
      <c r="B34" s="43"/>
      <c r="C34" s="43"/>
      <c r="D34" s="43"/>
      <c r="E34" s="43"/>
      <c r="F34" s="43"/>
      <c r="G34" s="43"/>
      <c r="H34" s="43"/>
      <c r="I34" s="47"/>
    </row>
    <row r="35" spans="1:9" x14ac:dyDescent="0.3">
      <c r="A35" s="183">
        <v>1</v>
      </c>
      <c r="B35" s="43" t="s">
        <v>448</v>
      </c>
      <c r="C35" s="43"/>
      <c r="D35" s="43"/>
      <c r="E35" s="43"/>
      <c r="F35" s="43">
        <f>SUM(F29:F30)</f>
        <v>7</v>
      </c>
      <c r="G35" s="43">
        <v>749</v>
      </c>
      <c r="H35" s="266">
        <f>F35*G35</f>
        <v>5243</v>
      </c>
      <c r="I35" s="113">
        <f>H35*12</f>
        <v>62916</v>
      </c>
    </row>
    <row r="36" spans="1:9" x14ac:dyDescent="0.3">
      <c r="A36" s="183">
        <v>2</v>
      </c>
      <c r="B36" s="43" t="s">
        <v>449</v>
      </c>
      <c r="C36" s="43"/>
      <c r="D36" s="43"/>
      <c r="E36" s="43"/>
      <c r="F36" s="43">
        <f>F35</f>
        <v>7</v>
      </c>
      <c r="G36" s="43">
        <v>4560</v>
      </c>
      <c r="H36" s="266">
        <f>F36*G36</f>
        <v>31920</v>
      </c>
      <c r="I36" s="113">
        <f>H36*12</f>
        <v>383040</v>
      </c>
    </row>
    <row r="37" spans="1:9" x14ac:dyDescent="0.3">
      <c r="A37" s="183">
        <v>3</v>
      </c>
      <c r="B37" s="43" t="s">
        <v>450</v>
      </c>
      <c r="C37" s="43"/>
      <c r="D37" s="43"/>
      <c r="E37" s="43"/>
      <c r="F37" s="43">
        <f>F30</f>
        <v>3</v>
      </c>
      <c r="G37" s="43">
        <v>104500</v>
      </c>
      <c r="H37" s="266">
        <f>F37*G37</f>
        <v>313500</v>
      </c>
      <c r="I37" s="113">
        <f>H37*12</f>
        <v>3762000</v>
      </c>
    </row>
    <row r="38" spans="1:9" x14ac:dyDescent="0.3">
      <c r="A38" s="183">
        <v>4</v>
      </c>
      <c r="B38" s="43" t="s">
        <v>451</v>
      </c>
      <c r="C38" s="43"/>
      <c r="D38" s="43"/>
      <c r="E38" s="43"/>
      <c r="F38" s="43">
        <f>F37</f>
        <v>3</v>
      </c>
      <c r="G38" s="43">
        <v>13440</v>
      </c>
      <c r="H38" s="266">
        <f>F38*G38</f>
        <v>40320</v>
      </c>
      <c r="I38" s="113">
        <f>H38*12</f>
        <v>483840</v>
      </c>
    </row>
    <row r="39" spans="1:9" ht="15" thickBot="1" x14ac:dyDescent="0.35">
      <c r="A39" s="279"/>
      <c r="B39" s="50"/>
      <c r="C39" s="50"/>
      <c r="D39" s="50"/>
      <c r="E39" s="50"/>
      <c r="F39" s="50"/>
      <c r="G39" s="50"/>
      <c r="H39" s="50"/>
      <c r="I39" s="51"/>
    </row>
    <row r="40" spans="1:9" ht="15" thickBot="1" x14ac:dyDescent="0.35">
      <c r="A40" s="282"/>
      <c r="B40" s="271" t="s">
        <v>242</v>
      </c>
      <c r="C40" s="271"/>
      <c r="D40" s="271"/>
      <c r="E40" s="271"/>
      <c r="F40" s="271"/>
      <c r="G40" s="271"/>
      <c r="H40" s="271"/>
      <c r="I40" s="275">
        <f>SUM(I35:I39)</f>
        <v>4691796</v>
      </c>
    </row>
    <row r="41" spans="1:9" x14ac:dyDescent="0.3">
      <c r="A41" s="280"/>
      <c r="B41" s="54" t="s">
        <v>457</v>
      </c>
      <c r="C41" s="54"/>
      <c r="D41" s="54"/>
      <c r="E41" s="54"/>
      <c r="F41" s="54"/>
      <c r="G41" s="54"/>
      <c r="H41" s="54"/>
      <c r="I41" s="281">
        <f>I32+I40</f>
        <v>9215160</v>
      </c>
    </row>
    <row r="42" spans="1:9" ht="15" thickBot="1" x14ac:dyDescent="0.35">
      <c r="A42" s="279"/>
      <c r="B42" s="50" t="s">
        <v>247</v>
      </c>
      <c r="C42" s="50"/>
      <c r="D42" s="50"/>
      <c r="E42" s="50"/>
      <c r="F42" s="50"/>
      <c r="G42" s="50"/>
      <c r="H42" s="50"/>
      <c r="I42" s="283">
        <f>I41*0.25</f>
        <v>2303790</v>
      </c>
    </row>
    <row r="43" spans="1:9" ht="15" thickBot="1" x14ac:dyDescent="0.35">
      <c r="A43" s="282"/>
      <c r="B43" s="271" t="s">
        <v>460</v>
      </c>
      <c r="C43" s="271"/>
      <c r="D43" s="271"/>
      <c r="E43" s="271"/>
      <c r="F43" s="271"/>
      <c r="G43" s="271"/>
      <c r="H43" s="271"/>
      <c r="I43" s="275">
        <f>I41-I42</f>
        <v>6911370</v>
      </c>
    </row>
    <row r="44" spans="1:9" x14ac:dyDescent="0.3">
      <c r="A44" s="54"/>
      <c r="B44" s="54"/>
      <c r="C44" s="54"/>
      <c r="D44" s="54"/>
      <c r="E44" s="54"/>
      <c r="F44" s="54"/>
      <c r="G44" s="54"/>
      <c r="H44" s="54"/>
      <c r="I44" s="276"/>
    </row>
    <row r="45" spans="1:9" x14ac:dyDescent="0.3">
      <c r="A45" s="44" t="s">
        <v>459</v>
      </c>
      <c r="B45" s="44" t="s">
        <v>453</v>
      </c>
      <c r="C45" s="43"/>
      <c r="D45" s="43"/>
      <c r="E45" s="43"/>
      <c r="F45" s="43">
        <v>1</v>
      </c>
      <c r="G45" s="43"/>
      <c r="H45" s="43"/>
      <c r="I45" s="266">
        <v>1800000</v>
      </c>
    </row>
    <row r="46" spans="1:9" x14ac:dyDescent="0.3">
      <c r="A46" s="43"/>
      <c r="B46" s="43"/>
      <c r="C46" s="43"/>
      <c r="D46" s="43"/>
      <c r="E46" s="43"/>
      <c r="F46" s="43"/>
      <c r="G46" s="43"/>
      <c r="H46" s="43"/>
      <c r="I46" s="43"/>
    </row>
    <row r="47" spans="1:9" x14ac:dyDescent="0.3">
      <c r="A47" s="43"/>
      <c r="B47" s="43" t="s">
        <v>452</v>
      </c>
      <c r="C47" s="43"/>
      <c r="D47" s="43"/>
      <c r="E47" s="43"/>
      <c r="F47" s="43"/>
      <c r="G47" s="43"/>
      <c r="H47" s="43"/>
      <c r="I47" s="267">
        <f>I43+I45</f>
        <v>8711370</v>
      </c>
    </row>
    <row r="48" spans="1:9" x14ac:dyDescent="0.3">
      <c r="A48" s="43"/>
      <c r="B48" s="43" t="s">
        <v>269</v>
      </c>
      <c r="C48" s="43"/>
      <c r="D48" s="43"/>
      <c r="E48" s="43"/>
      <c r="F48" s="43"/>
      <c r="G48" s="43"/>
      <c r="H48" s="43"/>
      <c r="I48" s="266">
        <f>I47*0.18</f>
        <v>1568046.5999999999</v>
      </c>
    </row>
    <row r="49" spans="1:13" ht="15" thickBot="1" x14ac:dyDescent="0.35">
      <c r="A49" s="50"/>
      <c r="B49" s="50"/>
      <c r="C49" s="50"/>
      <c r="D49" s="50"/>
      <c r="E49" s="50"/>
      <c r="F49" s="50"/>
      <c r="G49" s="50"/>
      <c r="H49" s="50"/>
      <c r="I49" s="50"/>
    </row>
    <row r="50" spans="1:13" x14ac:dyDescent="0.3">
      <c r="A50" s="284"/>
      <c r="B50" s="285" t="s">
        <v>458</v>
      </c>
      <c r="C50" s="52"/>
      <c r="D50" s="52"/>
      <c r="E50" s="52"/>
      <c r="F50" s="52"/>
      <c r="G50" s="52"/>
      <c r="H50" s="52"/>
      <c r="I50" s="53">
        <f>I47+I48</f>
        <v>10279416.6</v>
      </c>
    </row>
    <row r="51" spans="1:13" ht="15" thickBot="1" x14ac:dyDescent="0.35">
      <c r="A51" s="186"/>
      <c r="B51" s="48"/>
      <c r="C51" s="48"/>
      <c r="D51" s="48"/>
      <c r="E51" s="48"/>
      <c r="F51" s="48"/>
      <c r="G51" s="48"/>
      <c r="H51" s="48"/>
      <c r="I51" s="107"/>
    </row>
    <row r="53" spans="1:13" ht="15" thickBot="1" x14ac:dyDescent="0.35"/>
    <row r="54" spans="1:13" ht="15" thickBot="1" x14ac:dyDescent="0.35">
      <c r="B54" s="44" t="s">
        <v>462</v>
      </c>
      <c r="C54" s="286" t="s">
        <v>206</v>
      </c>
      <c r="D54" s="44" t="s">
        <v>442</v>
      </c>
      <c r="E54" s="44" t="s">
        <v>443</v>
      </c>
      <c r="F54" s="268" t="s">
        <v>352</v>
      </c>
      <c r="G54" s="268" t="s">
        <v>444</v>
      </c>
      <c r="H54" s="268" t="s">
        <v>447</v>
      </c>
      <c r="I54" s="269" t="s">
        <v>446</v>
      </c>
    </row>
    <row r="55" spans="1:13" x14ac:dyDescent="0.3">
      <c r="B55" s="43" t="s">
        <v>461</v>
      </c>
      <c r="C55" s="43">
        <v>8</v>
      </c>
      <c r="D55" s="43">
        <v>16</v>
      </c>
      <c r="E55" s="43">
        <v>300</v>
      </c>
      <c r="F55" s="43">
        <v>1</v>
      </c>
      <c r="G55" s="265">
        <f>25549+(D55-8)*849+CEILING((E55-240)/50,1)*499</f>
        <v>33339</v>
      </c>
      <c r="H55" s="266">
        <f>F55*G55</f>
        <v>33339</v>
      </c>
      <c r="I55" s="266">
        <f>H55*12</f>
        <v>400068</v>
      </c>
    </row>
    <row r="56" spans="1:13" x14ac:dyDescent="0.3">
      <c r="B56" s="43" t="s">
        <v>463</v>
      </c>
      <c r="C56" s="43"/>
      <c r="D56" s="43"/>
      <c r="E56" s="43">
        <v>499</v>
      </c>
      <c r="F56" s="43">
        <v>20</v>
      </c>
      <c r="G56" s="43">
        <f>E56*F56</f>
        <v>9980</v>
      </c>
      <c r="H56" s="266">
        <f>F56*G56</f>
        <v>199600</v>
      </c>
      <c r="I56" s="266">
        <f>H56*12</f>
        <v>2395200</v>
      </c>
      <c r="K56">
        <v>50</v>
      </c>
      <c r="L56">
        <v>200</v>
      </c>
      <c r="M56">
        <f>K56*L56</f>
        <v>10000</v>
      </c>
    </row>
    <row r="57" spans="1:13" x14ac:dyDescent="0.3">
      <c r="H57" s="266"/>
      <c r="I57" s="266"/>
    </row>
    <row r="58" spans="1:13" x14ac:dyDescent="0.3">
      <c r="B58" s="43" t="s">
        <v>448</v>
      </c>
      <c r="C58" s="43"/>
      <c r="D58" s="43"/>
      <c r="E58" s="43"/>
      <c r="F58" s="43">
        <v>1</v>
      </c>
      <c r="G58" s="43">
        <v>749</v>
      </c>
      <c r="H58" s="266">
        <f>F58*G58</f>
        <v>749</v>
      </c>
      <c r="I58" s="266">
        <f>H58*12</f>
        <v>8988</v>
      </c>
    </row>
    <row r="59" spans="1:13" x14ac:dyDescent="0.3">
      <c r="B59" s="43" t="s">
        <v>464</v>
      </c>
      <c r="C59" s="43"/>
      <c r="D59" s="43"/>
      <c r="E59" s="43"/>
      <c r="F59" s="43">
        <v>1</v>
      </c>
      <c r="G59" s="43">
        <v>4560</v>
      </c>
      <c r="H59" s="266">
        <f>F59*G59</f>
        <v>4560</v>
      </c>
      <c r="I59" s="266">
        <f>H59*12</f>
        <v>54720</v>
      </c>
    </row>
    <row r="60" spans="1:13" x14ac:dyDescent="0.3">
      <c r="B60" s="43"/>
      <c r="C60" s="43"/>
      <c r="D60" s="43"/>
      <c r="E60" s="43"/>
      <c r="F60" s="43"/>
      <c r="G60" s="43"/>
      <c r="H60" s="266"/>
      <c r="I60" s="266"/>
    </row>
  </sheetData>
  <mergeCells count="3">
    <mergeCell ref="A2:F2"/>
    <mergeCell ref="A3:A6"/>
    <mergeCell ref="A7:A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14"/>
  <sheetViews>
    <sheetView topLeftCell="A3" zoomScale="130" zoomScaleNormal="130" workbookViewId="0">
      <selection activeCell="B5" sqref="B5:D5"/>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2" max="12" width="24.33203125"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439</v>
      </c>
      <c r="B3" s="378"/>
      <c r="C3" s="378"/>
      <c r="D3" s="378"/>
      <c r="E3" s="378"/>
      <c r="F3" s="379"/>
      <c r="G3" s="1"/>
      <c r="H3" s="1"/>
      <c r="I3" s="1"/>
    </row>
    <row r="4" spans="1:13" x14ac:dyDescent="0.3">
      <c r="A4" s="369">
        <v>1</v>
      </c>
      <c r="B4" s="69" t="s">
        <v>437</v>
      </c>
      <c r="C4" s="70">
        <v>3</v>
      </c>
      <c r="D4" s="71"/>
      <c r="E4" s="71"/>
      <c r="F4" s="72">
        <f>SUM(F5:F7)*C4</f>
        <v>847332</v>
      </c>
      <c r="G4" s="41"/>
      <c r="L4" t="s">
        <v>213</v>
      </c>
      <c r="M4" s="40">
        <v>4449</v>
      </c>
    </row>
    <row r="5" spans="1:13" x14ac:dyDescent="0.3">
      <c r="A5" s="370"/>
      <c r="B5" s="73" t="s">
        <v>229</v>
      </c>
      <c r="C5" s="74">
        <v>1</v>
      </c>
      <c r="D5" s="75">
        <v>13349</v>
      </c>
      <c r="E5" s="75">
        <f>D5*C5</f>
        <v>13349</v>
      </c>
      <c r="F5" s="75">
        <f>E5*12</f>
        <v>160188</v>
      </c>
      <c r="G5" s="41"/>
      <c r="L5" t="s">
        <v>214</v>
      </c>
      <c r="M5" s="40">
        <v>7349</v>
      </c>
    </row>
    <row r="6" spans="1:13" x14ac:dyDescent="0.3">
      <c r="A6" s="370"/>
      <c r="B6" s="76" t="s">
        <v>230</v>
      </c>
      <c r="C6" s="74">
        <v>12</v>
      </c>
      <c r="D6" s="77">
        <v>849</v>
      </c>
      <c r="E6" s="75">
        <f>D6*C6</f>
        <v>10188</v>
      </c>
      <c r="F6" s="75">
        <f>E6*12</f>
        <v>122256</v>
      </c>
      <c r="G6" s="41"/>
      <c r="L6" t="s">
        <v>215</v>
      </c>
      <c r="M6">
        <v>13349</v>
      </c>
    </row>
    <row r="7" spans="1:13" x14ac:dyDescent="0.3">
      <c r="A7" s="371"/>
      <c r="B7" s="78" t="s">
        <v>231</v>
      </c>
      <c r="C7" s="74">
        <v>0</v>
      </c>
      <c r="D7" s="79">
        <v>499</v>
      </c>
      <c r="E7" s="75">
        <f>D7*C7</f>
        <v>0</v>
      </c>
      <c r="F7" s="75">
        <f>E7*12</f>
        <v>0</v>
      </c>
      <c r="G7" s="41"/>
      <c r="L7" t="s">
        <v>216</v>
      </c>
      <c r="M7">
        <v>19949</v>
      </c>
    </row>
    <row r="8" spans="1:13" x14ac:dyDescent="0.3">
      <c r="A8" s="381">
        <v>2</v>
      </c>
      <c r="B8" s="69" t="s">
        <v>436</v>
      </c>
      <c r="C8" s="80">
        <v>3</v>
      </c>
      <c r="D8" s="71"/>
      <c r="E8" s="71"/>
      <c r="F8" s="72">
        <f>SUM(F9:F11)*C8</f>
        <v>2631348</v>
      </c>
      <c r="G8" s="41"/>
      <c r="L8" t="s">
        <v>217</v>
      </c>
      <c r="M8">
        <v>25549</v>
      </c>
    </row>
    <row r="9" spans="1:13" x14ac:dyDescent="0.3">
      <c r="A9" s="382"/>
      <c r="B9" s="73" t="s">
        <v>234</v>
      </c>
      <c r="C9" s="74">
        <v>1</v>
      </c>
      <c r="D9" s="75">
        <v>25549</v>
      </c>
      <c r="E9" s="75">
        <f>D9*C9</f>
        <v>25549</v>
      </c>
      <c r="F9" s="75">
        <f>E9*12</f>
        <v>306588</v>
      </c>
      <c r="G9" s="41"/>
      <c r="L9" t="s">
        <v>218</v>
      </c>
      <c r="M9">
        <v>49649</v>
      </c>
    </row>
    <row r="10" spans="1:13" x14ac:dyDescent="0.3">
      <c r="A10" s="382"/>
      <c r="B10" s="76" t="s">
        <v>230</v>
      </c>
      <c r="C10" s="74">
        <v>56</v>
      </c>
      <c r="D10" s="77">
        <v>849</v>
      </c>
      <c r="E10" s="75">
        <f>D10*C10</f>
        <v>47544</v>
      </c>
      <c r="F10" s="75">
        <f>E10*12</f>
        <v>570528</v>
      </c>
      <c r="G10" s="41"/>
    </row>
    <row r="11" spans="1:13" x14ac:dyDescent="0.3">
      <c r="A11" s="383"/>
      <c r="B11" s="78" t="s">
        <v>232</v>
      </c>
      <c r="C11" s="74">
        <v>0</v>
      </c>
      <c r="D11" s="79">
        <v>499</v>
      </c>
      <c r="E11" s="75">
        <f>D11*C11</f>
        <v>0</v>
      </c>
      <c r="F11" s="75">
        <f>E11*12</f>
        <v>0</v>
      </c>
      <c r="G11" s="41"/>
      <c r="H11" s="43"/>
      <c r="I11" s="44" t="s">
        <v>304</v>
      </c>
      <c r="J11" s="44" t="s">
        <v>305</v>
      </c>
      <c r="L11" t="s">
        <v>220</v>
      </c>
      <c r="M11">
        <v>2110</v>
      </c>
    </row>
    <row r="12" spans="1:13" x14ac:dyDescent="0.3">
      <c r="A12" s="381">
        <v>3</v>
      </c>
      <c r="B12" s="69" t="s">
        <v>438</v>
      </c>
      <c r="C12" s="80">
        <v>4</v>
      </c>
      <c r="D12" s="71"/>
      <c r="E12" s="71"/>
      <c r="F12" s="72">
        <f>SUM(F13:F15)*C12</f>
        <v>3891696</v>
      </c>
      <c r="G12" s="41"/>
      <c r="H12" s="43" t="s">
        <v>263</v>
      </c>
      <c r="I12" s="118">
        <f>I30+744000</f>
        <v>25488758</v>
      </c>
      <c r="J12" s="119">
        <f>E38</f>
        <v>0</v>
      </c>
      <c r="L12" t="s">
        <v>219</v>
      </c>
      <c r="M12">
        <v>849</v>
      </c>
    </row>
    <row r="13" spans="1:13" x14ac:dyDescent="0.3">
      <c r="A13" s="382"/>
      <c r="B13" s="73" t="s">
        <v>234</v>
      </c>
      <c r="C13" s="74">
        <v>1</v>
      </c>
      <c r="D13" s="75">
        <v>25549</v>
      </c>
      <c r="E13" s="75">
        <f>D13*C13</f>
        <v>25549</v>
      </c>
      <c r="F13" s="75">
        <f>E13*12</f>
        <v>306588</v>
      </c>
      <c r="G13" s="41"/>
      <c r="H13" s="43" t="s">
        <v>265</v>
      </c>
      <c r="I13" s="43">
        <v>9689988</v>
      </c>
      <c r="J13" s="120">
        <f>E39</f>
        <v>0</v>
      </c>
      <c r="K13">
        <v>9701553</v>
      </c>
      <c r="L13" t="s">
        <v>221</v>
      </c>
      <c r="M13" s="42">
        <v>499</v>
      </c>
    </row>
    <row r="14" spans="1:13" x14ac:dyDescent="0.3">
      <c r="A14" s="382"/>
      <c r="B14" s="76" t="s">
        <v>230</v>
      </c>
      <c r="C14" s="74">
        <v>56</v>
      </c>
      <c r="D14" s="77">
        <v>849</v>
      </c>
      <c r="E14" s="75">
        <f>D14*C14</f>
        <v>47544</v>
      </c>
      <c r="F14" s="75">
        <f>E14*12</f>
        <v>570528</v>
      </c>
      <c r="G14" s="41"/>
      <c r="H14" s="43" t="s">
        <v>266</v>
      </c>
      <c r="I14" s="43">
        <v>4232974</v>
      </c>
      <c r="J14" s="120">
        <f>E40</f>
        <v>0</v>
      </c>
      <c r="K14">
        <v>4215870</v>
      </c>
      <c r="L14">
        <v>21.89</v>
      </c>
    </row>
    <row r="15" spans="1:13" x14ac:dyDescent="0.3">
      <c r="A15" s="383"/>
      <c r="B15" s="78" t="s">
        <v>232</v>
      </c>
      <c r="C15" s="74">
        <v>16</v>
      </c>
      <c r="D15" s="79">
        <v>499</v>
      </c>
      <c r="E15" s="75">
        <f>D15*C15</f>
        <v>7984</v>
      </c>
      <c r="F15" s="75">
        <f>E15*12</f>
        <v>95808</v>
      </c>
      <c r="G15" s="41"/>
      <c r="H15" s="43"/>
      <c r="I15" s="43"/>
      <c r="J15" s="43"/>
      <c r="L15">
        <v>12.57</v>
      </c>
    </row>
    <row r="16" spans="1:13" x14ac:dyDescent="0.3">
      <c r="A16" s="381">
        <v>4</v>
      </c>
      <c r="B16" s="69" t="s">
        <v>235</v>
      </c>
      <c r="C16" s="80">
        <v>0</v>
      </c>
      <c r="D16" s="71"/>
      <c r="E16" s="71"/>
      <c r="F16" s="72">
        <f>SUM(F17:F19)*C16</f>
        <v>0</v>
      </c>
      <c r="G16" s="41"/>
      <c r="H16" s="43"/>
      <c r="I16" s="121">
        <f>SUM(I12:I14)</f>
        <v>39411720</v>
      </c>
      <c r="J16" s="121">
        <f>SUM(J12:J14)</f>
        <v>0</v>
      </c>
    </row>
    <row r="17" spans="1:9" x14ac:dyDescent="0.3">
      <c r="A17" s="382"/>
      <c r="B17" s="73" t="s">
        <v>236</v>
      </c>
      <c r="C17" s="74">
        <v>1</v>
      </c>
      <c r="D17" s="75">
        <v>49649</v>
      </c>
      <c r="E17" s="75">
        <f>D17*C17</f>
        <v>49649</v>
      </c>
      <c r="F17" s="75">
        <f>E17*12</f>
        <v>595788</v>
      </c>
      <c r="G17" s="41"/>
    </row>
    <row r="18" spans="1:9" x14ac:dyDescent="0.3">
      <c r="A18" s="382"/>
      <c r="B18" s="76" t="s">
        <v>230</v>
      </c>
      <c r="C18" s="74">
        <v>48</v>
      </c>
      <c r="D18" s="77">
        <v>849</v>
      </c>
      <c r="E18" s="75">
        <f>D18*C18</f>
        <v>40752</v>
      </c>
      <c r="F18" s="75">
        <f>E18*12</f>
        <v>489024</v>
      </c>
      <c r="G18" s="41"/>
      <c r="I18" t="s">
        <v>263</v>
      </c>
    </row>
    <row r="19" spans="1:9" x14ac:dyDescent="0.3">
      <c r="A19" s="383"/>
      <c r="B19" s="78" t="s">
        <v>232</v>
      </c>
      <c r="C19" s="74">
        <v>4</v>
      </c>
      <c r="D19" s="79">
        <v>499</v>
      </c>
      <c r="E19" s="75">
        <f>D19*C19</f>
        <v>1996</v>
      </c>
      <c r="F19" s="75">
        <f>E19*12</f>
        <v>23952</v>
      </c>
      <c r="G19" s="41"/>
      <c r="I19" t="s">
        <v>265</v>
      </c>
    </row>
    <row r="20" spans="1:9" x14ac:dyDescent="0.3">
      <c r="A20" s="88">
        <v>3</v>
      </c>
      <c r="B20" s="89" t="s">
        <v>260</v>
      </c>
      <c r="C20" s="74">
        <v>20</v>
      </c>
      <c r="D20" s="79">
        <v>499</v>
      </c>
      <c r="E20" s="75">
        <f>D20*C20</f>
        <v>9980</v>
      </c>
      <c r="F20" s="75">
        <f>E20*12</f>
        <v>119760</v>
      </c>
      <c r="G20" s="41"/>
      <c r="I20" t="s">
        <v>266</v>
      </c>
    </row>
    <row r="21" spans="1:9" x14ac:dyDescent="0.3">
      <c r="A21" s="87"/>
      <c r="B21" s="66" t="s">
        <v>240</v>
      </c>
      <c r="C21" s="87"/>
      <c r="D21" s="87"/>
      <c r="E21" s="87"/>
      <c r="F21" s="92">
        <f>SUM(F16,F12,F8,F4,F20)</f>
        <v>7490136</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f>SUM(C16,C12,C8,C4)</f>
        <v>10</v>
      </c>
      <c r="D24" s="79">
        <v>2083</v>
      </c>
      <c r="E24" s="75">
        <f>D24*C24</f>
        <v>20830</v>
      </c>
      <c r="F24" s="75">
        <f>E24*12</f>
        <v>249960</v>
      </c>
      <c r="G24" s="41"/>
    </row>
    <row r="25" spans="1:9" x14ac:dyDescent="0.3">
      <c r="A25" s="81">
        <v>2</v>
      </c>
      <c r="B25" s="82" t="s">
        <v>267</v>
      </c>
      <c r="C25" s="74">
        <f>C24</f>
        <v>10</v>
      </c>
      <c r="D25" s="79">
        <v>4560</v>
      </c>
      <c r="E25" s="75">
        <f>D25*C25</f>
        <v>45600</v>
      </c>
      <c r="F25" s="75">
        <f>E25*12</f>
        <v>547200</v>
      </c>
      <c r="G25" s="41"/>
    </row>
    <row r="26" spans="1:9" ht="15.6" x14ac:dyDescent="0.3">
      <c r="A26" s="83">
        <v>3</v>
      </c>
      <c r="B26" s="84" t="s">
        <v>239</v>
      </c>
      <c r="C26" s="74">
        <f>C25</f>
        <v>10</v>
      </c>
      <c r="D26" s="79">
        <v>22200</v>
      </c>
      <c r="E26" s="75">
        <f>D26*C26</f>
        <v>222000</v>
      </c>
      <c r="F26" s="75">
        <f>E26*12</f>
        <v>2664000</v>
      </c>
      <c r="G26" s="41"/>
      <c r="H26" t="s">
        <v>255</v>
      </c>
      <c r="I26" s="94">
        <v>15111480</v>
      </c>
    </row>
    <row r="27" spans="1:9" x14ac:dyDescent="0.3">
      <c r="A27" s="83">
        <v>4</v>
      </c>
      <c r="B27" s="84" t="s">
        <v>287</v>
      </c>
      <c r="C27" s="74">
        <v>3</v>
      </c>
      <c r="D27" s="79">
        <v>1340</v>
      </c>
      <c r="E27" s="75">
        <f>D27*C27</f>
        <v>4020</v>
      </c>
      <c r="F27" s="75">
        <f>E27*12</f>
        <v>48240</v>
      </c>
      <c r="G27" s="41"/>
      <c r="H27" t="s">
        <v>256</v>
      </c>
      <c r="I27" s="95">
        <v>2644848</v>
      </c>
    </row>
    <row r="28" spans="1:9" x14ac:dyDescent="0.3">
      <c r="A28" s="83">
        <v>5</v>
      </c>
      <c r="B28" s="84" t="s">
        <v>244</v>
      </c>
      <c r="C28" s="74">
        <v>4</v>
      </c>
      <c r="D28" s="79">
        <v>13440</v>
      </c>
      <c r="E28" s="75">
        <f>D28*C28</f>
        <v>53760</v>
      </c>
      <c r="F28" s="75">
        <f>E28*12</f>
        <v>645120</v>
      </c>
      <c r="G28" s="41"/>
      <c r="H28" t="s">
        <v>257</v>
      </c>
      <c r="I28" s="95">
        <v>6988430</v>
      </c>
    </row>
    <row r="29" spans="1:9" x14ac:dyDescent="0.3">
      <c r="A29" s="83">
        <v>6</v>
      </c>
      <c r="B29" s="75" t="s">
        <v>208</v>
      </c>
      <c r="C29" s="75">
        <v>1</v>
      </c>
      <c r="D29" s="75">
        <v>1</v>
      </c>
      <c r="E29" s="75">
        <v>1</v>
      </c>
      <c r="F29" s="75">
        <v>1249650</v>
      </c>
    </row>
    <row r="30" spans="1:9" x14ac:dyDescent="0.3">
      <c r="I30" s="96">
        <f>SUM(I26:I28)</f>
        <v>24744758</v>
      </c>
    </row>
    <row r="31" spans="1:9" x14ac:dyDescent="0.3">
      <c r="A31" s="87"/>
      <c r="B31" s="66" t="s">
        <v>242</v>
      </c>
      <c r="C31" s="87"/>
      <c r="D31" s="87"/>
      <c r="E31" s="87"/>
      <c r="F31" s="92">
        <f>SUM(F24:F29)</f>
        <v>5404170</v>
      </c>
    </row>
    <row r="32" spans="1:9" x14ac:dyDescent="0.3">
      <c r="A32" s="87"/>
      <c r="B32" s="87" t="s">
        <v>246</v>
      </c>
      <c r="C32" s="87"/>
      <c r="D32" s="87"/>
      <c r="E32" s="87"/>
      <c r="F32" s="75">
        <f>F31+F21</f>
        <v>12894306</v>
      </c>
    </row>
    <row r="33" spans="1:9" x14ac:dyDescent="0.3">
      <c r="A33" s="87"/>
      <c r="B33" s="87" t="s">
        <v>247</v>
      </c>
      <c r="C33" s="87"/>
      <c r="D33" s="87"/>
      <c r="E33" s="87"/>
      <c r="F33" s="75">
        <f>F32*0.25</f>
        <v>3223576.5</v>
      </c>
    </row>
    <row r="34" spans="1:9" x14ac:dyDescent="0.3">
      <c r="A34" s="87"/>
      <c r="B34" s="93" t="s">
        <v>248</v>
      </c>
      <c r="C34" s="87"/>
      <c r="D34" s="87"/>
      <c r="E34" s="87"/>
      <c r="F34" s="92">
        <f>F32-F33</f>
        <v>9670729.5</v>
      </c>
    </row>
    <row r="37" spans="1:9" ht="15" thickBot="1" x14ac:dyDescent="0.35"/>
    <row r="38" spans="1:9" x14ac:dyDescent="0.3">
      <c r="B38" s="100"/>
      <c r="C38" s="103"/>
      <c r="D38" s="91"/>
      <c r="E38" s="91"/>
      <c r="H38" s="100"/>
      <c r="I38" s="111"/>
    </row>
    <row r="39" spans="1:9" x14ac:dyDescent="0.3">
      <c r="B39" s="101"/>
      <c r="C39" s="98"/>
      <c r="H39" s="101"/>
      <c r="I39" s="47"/>
    </row>
    <row r="40" spans="1:9" x14ac:dyDescent="0.3">
      <c r="B40" s="101"/>
      <c r="C40" s="98"/>
      <c r="H40" s="101"/>
      <c r="I40" s="47"/>
    </row>
    <row r="41" spans="1:9" x14ac:dyDescent="0.3">
      <c r="B41" s="101"/>
      <c r="C41" s="98"/>
      <c r="D41" s="98"/>
      <c r="E41" s="91"/>
      <c r="H41" s="101"/>
      <c r="I41" s="47"/>
    </row>
    <row r="42" spans="1:9" x14ac:dyDescent="0.3">
      <c r="B42" s="101"/>
      <c r="C42" s="98"/>
      <c r="D42" s="98"/>
      <c r="F42" s="91"/>
      <c r="H42" s="101"/>
      <c r="I42" s="47"/>
    </row>
    <row r="43" spans="1:9" ht="15" thickBot="1" x14ac:dyDescent="0.35">
      <c r="B43" s="102"/>
      <c r="C43" s="99"/>
      <c r="D43" s="99"/>
      <c r="H43" s="101"/>
      <c r="I43" s="47"/>
    </row>
    <row r="44" spans="1:9" x14ac:dyDescent="0.3">
      <c r="H44" s="101"/>
      <c r="I44" s="112"/>
    </row>
    <row r="45" spans="1:9" x14ac:dyDescent="0.3">
      <c r="H45" s="101"/>
      <c r="I45" s="113"/>
    </row>
    <row r="46" spans="1:9" ht="15" thickBot="1" x14ac:dyDescent="0.35">
      <c r="A46" s="65"/>
      <c r="B46" s="66"/>
      <c r="C46" s="66"/>
      <c r="D46" s="67"/>
      <c r="E46" s="67"/>
      <c r="F46" s="68"/>
      <c r="H46" s="102"/>
      <c r="I46" s="114"/>
    </row>
    <row r="47" spans="1:9" ht="15" thickBot="1" x14ac:dyDescent="0.35">
      <c r="A47" s="377"/>
      <c r="B47" s="378"/>
      <c r="C47" s="378"/>
      <c r="D47" s="378"/>
      <c r="E47" s="378"/>
      <c r="F47" s="379"/>
      <c r="H47" s="115"/>
      <c r="I47" s="116"/>
    </row>
    <row r="48" spans="1:9" ht="15" thickBot="1" x14ac:dyDescent="0.35">
      <c r="A48" s="369"/>
      <c r="B48" s="69"/>
      <c r="C48" s="70"/>
      <c r="D48" s="71"/>
      <c r="E48" s="71"/>
      <c r="F48" s="72"/>
      <c r="H48" s="117"/>
      <c r="I48" s="110"/>
    </row>
    <row r="49" spans="1:9" ht="15" thickBot="1" x14ac:dyDescent="0.35">
      <c r="A49" s="370"/>
      <c r="B49" s="73"/>
      <c r="C49" s="74"/>
      <c r="D49" s="75"/>
      <c r="E49" s="75"/>
      <c r="F49" s="75"/>
      <c r="H49" s="117"/>
      <c r="I49" s="110"/>
    </row>
    <row r="50" spans="1:9" x14ac:dyDescent="0.3">
      <c r="A50" s="370"/>
      <c r="B50" s="76"/>
      <c r="C50" s="74"/>
      <c r="D50" s="77"/>
      <c r="E50" s="75"/>
      <c r="F50" s="75"/>
    </row>
    <row r="51" spans="1:9" x14ac:dyDescent="0.3">
      <c r="A51" s="371"/>
      <c r="B51" s="78"/>
      <c r="C51" s="74"/>
      <c r="D51" s="79"/>
      <c r="E51" s="75"/>
      <c r="F51" s="75"/>
    </row>
    <row r="52" spans="1:9" x14ac:dyDescent="0.3">
      <c r="A52" s="381"/>
      <c r="B52" s="69"/>
      <c r="C52" s="70"/>
      <c r="D52" s="71"/>
      <c r="E52" s="71"/>
      <c r="F52" s="72"/>
    </row>
    <row r="53" spans="1:9" x14ac:dyDescent="0.3">
      <c r="A53" s="382"/>
      <c r="B53" s="73"/>
      <c r="C53" s="74"/>
      <c r="D53" s="75"/>
      <c r="E53" s="75"/>
      <c r="F53" s="75"/>
    </row>
    <row r="54" spans="1:9" x14ac:dyDescent="0.3">
      <c r="A54" s="382"/>
      <c r="B54" s="76"/>
      <c r="C54" s="74"/>
      <c r="D54" s="77"/>
      <c r="E54" s="75"/>
      <c r="F54" s="75"/>
    </row>
    <row r="55" spans="1:9" x14ac:dyDescent="0.3">
      <c r="A55" s="383"/>
      <c r="B55" s="78"/>
      <c r="C55" s="74"/>
      <c r="D55" s="79"/>
      <c r="E55" s="75"/>
      <c r="F55" s="75"/>
    </row>
    <row r="56" spans="1:9" x14ac:dyDescent="0.3">
      <c r="A56" s="381"/>
      <c r="B56" s="69"/>
      <c r="C56" s="70"/>
      <c r="D56" s="71"/>
      <c r="E56" s="71"/>
      <c r="F56" s="72"/>
    </row>
    <row r="57" spans="1:9" x14ac:dyDescent="0.3">
      <c r="A57" s="382"/>
      <c r="B57" s="73"/>
      <c r="C57" s="74"/>
      <c r="D57" s="75"/>
      <c r="E57" s="75"/>
      <c r="F57" s="75"/>
    </row>
    <row r="58" spans="1:9" x14ac:dyDescent="0.3">
      <c r="A58" s="382"/>
      <c r="B58" s="76"/>
      <c r="C58" s="74"/>
      <c r="D58" s="77"/>
      <c r="E58" s="75"/>
      <c r="F58" s="75"/>
    </row>
    <row r="59" spans="1:9" x14ac:dyDescent="0.3">
      <c r="A59" s="383"/>
      <c r="B59" s="78"/>
      <c r="C59" s="74"/>
      <c r="D59" s="79"/>
      <c r="E59" s="75"/>
      <c r="F59" s="75"/>
    </row>
    <row r="60" spans="1:9" x14ac:dyDescent="0.3">
      <c r="A60" s="381"/>
      <c r="B60" s="69"/>
      <c r="C60" s="70"/>
      <c r="D60" s="71"/>
      <c r="E60" s="71"/>
      <c r="F60" s="72"/>
    </row>
    <row r="61" spans="1:9" x14ac:dyDescent="0.3">
      <c r="A61" s="382"/>
      <c r="B61" s="73"/>
      <c r="C61" s="74"/>
      <c r="D61" s="75"/>
      <c r="E61" s="75"/>
      <c r="F61" s="75"/>
    </row>
    <row r="62" spans="1:9" x14ac:dyDescent="0.3">
      <c r="A62" s="382"/>
      <c r="B62" s="76"/>
      <c r="C62" s="74"/>
      <c r="D62" s="77"/>
      <c r="E62" s="75"/>
      <c r="F62" s="75"/>
    </row>
    <row r="63" spans="1:9" x14ac:dyDescent="0.3">
      <c r="A63" s="383"/>
      <c r="B63" s="78"/>
      <c r="C63" s="74"/>
      <c r="D63" s="79"/>
      <c r="E63" s="75"/>
      <c r="F63" s="75"/>
    </row>
    <row r="64" spans="1:9" x14ac:dyDescent="0.3">
      <c r="A64" s="88"/>
      <c r="B64" s="89"/>
      <c r="C64" s="74"/>
      <c r="D64" s="79"/>
      <c r="E64" s="75"/>
      <c r="F64" s="75"/>
    </row>
    <row r="65" spans="1:6" x14ac:dyDescent="0.3">
      <c r="A65" s="87"/>
      <c r="B65" s="66"/>
      <c r="C65" s="87"/>
      <c r="D65" s="87"/>
      <c r="E65" s="87"/>
      <c r="F65" s="92"/>
    </row>
    <row r="66" spans="1:6" x14ac:dyDescent="0.3">
      <c r="A66" s="81"/>
      <c r="B66" s="89"/>
      <c r="C66" s="74"/>
      <c r="D66" s="79"/>
      <c r="E66" s="75"/>
      <c r="F66" s="75"/>
    </row>
    <row r="67" spans="1:6" x14ac:dyDescent="0.3">
      <c r="A67" s="81"/>
      <c r="B67" s="90"/>
      <c r="C67" s="74"/>
      <c r="D67" s="79"/>
      <c r="E67" s="75"/>
      <c r="F67" s="75"/>
    </row>
    <row r="68" spans="1:6" x14ac:dyDescent="0.3">
      <c r="A68" s="81"/>
      <c r="B68" s="82"/>
      <c r="C68" s="74"/>
      <c r="D68" s="79"/>
      <c r="E68" s="75"/>
      <c r="F68" s="75"/>
    </row>
    <row r="69" spans="1:6" x14ac:dyDescent="0.3">
      <c r="A69" s="81"/>
      <c r="B69" s="82"/>
      <c r="C69" s="74"/>
      <c r="D69" s="79"/>
      <c r="E69" s="75"/>
      <c r="F69" s="75"/>
    </row>
    <row r="70" spans="1:6" x14ac:dyDescent="0.3">
      <c r="A70" s="83"/>
      <c r="B70" s="84"/>
      <c r="C70" s="74"/>
      <c r="D70" s="79"/>
      <c r="E70" s="75"/>
      <c r="F70" s="75"/>
    </row>
    <row r="71" spans="1:6" x14ac:dyDescent="0.3">
      <c r="A71" s="83"/>
      <c r="B71" s="84"/>
      <c r="C71" s="74"/>
      <c r="D71" s="79"/>
      <c r="E71" s="75"/>
      <c r="F71" s="75"/>
    </row>
    <row r="72" spans="1:6" x14ac:dyDescent="0.3">
      <c r="A72" s="83"/>
      <c r="B72" s="84"/>
      <c r="C72" s="74"/>
      <c r="D72" s="79"/>
      <c r="E72" s="75"/>
      <c r="F72" s="75"/>
    </row>
    <row r="73" spans="1:6" x14ac:dyDescent="0.3">
      <c r="A73" s="83"/>
      <c r="B73" s="68"/>
      <c r="C73" s="74"/>
      <c r="D73" s="75"/>
      <c r="E73" s="85"/>
      <c r="F73" s="75"/>
    </row>
    <row r="74" spans="1:6" x14ac:dyDescent="0.3">
      <c r="A74" s="87"/>
      <c r="B74" s="66"/>
      <c r="C74" s="87"/>
      <c r="D74" s="87"/>
      <c r="E74" s="87"/>
      <c r="F74" s="92"/>
    </row>
    <row r="75" spans="1:6" x14ac:dyDescent="0.3">
      <c r="A75" s="87"/>
      <c r="B75" s="87"/>
      <c r="C75" s="87"/>
      <c r="D75" s="87"/>
      <c r="E75" s="87"/>
      <c r="F75" s="75"/>
    </row>
    <row r="76" spans="1:6" x14ac:dyDescent="0.3">
      <c r="A76" s="87"/>
      <c r="B76" s="87"/>
      <c r="C76" s="87"/>
      <c r="D76" s="87"/>
      <c r="E76" s="87"/>
      <c r="F76" s="75"/>
    </row>
    <row r="77" spans="1:6" x14ac:dyDescent="0.3">
      <c r="A77" s="87"/>
      <c r="B77" s="93"/>
      <c r="C77" s="87"/>
      <c r="D77" s="87"/>
      <c r="E77" s="87"/>
      <c r="F77" s="92"/>
    </row>
    <row r="79" spans="1:6" x14ac:dyDescent="0.3">
      <c r="A79" s="65"/>
      <c r="B79" s="66"/>
      <c r="C79" s="66"/>
      <c r="D79" s="67"/>
      <c r="E79" s="67"/>
      <c r="F79" s="68"/>
    </row>
    <row r="80" spans="1:6" x14ac:dyDescent="0.3">
      <c r="A80" s="377"/>
      <c r="B80" s="378"/>
      <c r="C80" s="378"/>
      <c r="D80" s="378"/>
      <c r="E80" s="378"/>
      <c r="F80" s="379"/>
    </row>
    <row r="81" spans="1:6" x14ac:dyDescent="0.3">
      <c r="A81" s="369"/>
      <c r="B81" s="69"/>
      <c r="C81" s="70"/>
      <c r="D81" s="71"/>
      <c r="E81" s="71"/>
      <c r="F81" s="72"/>
    </row>
    <row r="82" spans="1:6" x14ac:dyDescent="0.3">
      <c r="A82" s="370"/>
      <c r="B82" s="73"/>
      <c r="C82" s="74"/>
      <c r="D82" s="75"/>
      <c r="E82" s="75"/>
      <c r="F82" s="75"/>
    </row>
    <row r="83" spans="1:6" x14ac:dyDescent="0.3">
      <c r="A83" s="370"/>
      <c r="B83" s="76"/>
      <c r="C83" s="74"/>
      <c r="D83" s="77"/>
      <c r="E83" s="75"/>
      <c r="F83" s="75"/>
    </row>
    <row r="84" spans="1:6" x14ac:dyDescent="0.3">
      <c r="A84" s="371"/>
      <c r="B84" s="78"/>
      <c r="C84" s="74"/>
      <c r="D84" s="79"/>
      <c r="E84" s="75"/>
      <c r="F84" s="75"/>
    </row>
    <row r="85" spans="1:6" x14ac:dyDescent="0.3">
      <c r="A85" s="369"/>
      <c r="B85" s="69"/>
      <c r="C85" s="70"/>
      <c r="D85" s="71"/>
      <c r="E85" s="71"/>
      <c r="F85" s="72"/>
    </row>
    <row r="86" spans="1:6" x14ac:dyDescent="0.3">
      <c r="A86" s="370"/>
      <c r="B86" s="73"/>
      <c r="C86" s="74"/>
      <c r="D86" s="75"/>
      <c r="E86" s="75"/>
      <c r="F86" s="75"/>
    </row>
    <row r="87" spans="1:6" x14ac:dyDescent="0.3">
      <c r="A87" s="370"/>
      <c r="B87" s="76"/>
      <c r="C87" s="74"/>
      <c r="D87" s="77"/>
      <c r="E87" s="75"/>
      <c r="F87" s="75"/>
    </row>
    <row r="88" spans="1:6" x14ac:dyDescent="0.3">
      <c r="A88" s="371"/>
      <c r="B88" s="78"/>
      <c r="C88" s="74"/>
      <c r="D88" s="79"/>
      <c r="E88" s="75"/>
      <c r="F88" s="75"/>
    </row>
    <row r="89" spans="1:6" x14ac:dyDescent="0.3">
      <c r="A89" s="381"/>
      <c r="B89" s="69"/>
      <c r="C89" s="70"/>
      <c r="D89" s="71"/>
      <c r="E89" s="71"/>
      <c r="F89" s="72"/>
    </row>
    <row r="90" spans="1:6" x14ac:dyDescent="0.3">
      <c r="A90" s="382"/>
      <c r="B90" s="73"/>
      <c r="C90" s="74"/>
      <c r="D90" s="75"/>
      <c r="E90" s="75"/>
      <c r="F90" s="75"/>
    </row>
    <row r="91" spans="1:6" x14ac:dyDescent="0.3">
      <c r="A91" s="382"/>
      <c r="B91" s="76"/>
      <c r="C91" s="74"/>
      <c r="D91" s="77"/>
      <c r="E91" s="75"/>
      <c r="F91" s="75"/>
    </row>
    <row r="92" spans="1:6" x14ac:dyDescent="0.3">
      <c r="A92" s="383"/>
      <c r="B92" s="78"/>
      <c r="C92" s="74"/>
      <c r="D92" s="79"/>
      <c r="E92" s="75"/>
      <c r="F92" s="75"/>
    </row>
    <row r="93" spans="1:6" x14ac:dyDescent="0.3">
      <c r="A93" s="381"/>
      <c r="B93" s="69"/>
      <c r="C93" s="70"/>
      <c r="D93" s="71"/>
      <c r="E93" s="71"/>
      <c r="F93" s="72"/>
    </row>
    <row r="94" spans="1:6" x14ac:dyDescent="0.3">
      <c r="A94" s="382"/>
      <c r="B94" s="73"/>
      <c r="C94" s="74"/>
      <c r="D94" s="75"/>
      <c r="E94" s="75"/>
      <c r="F94" s="75"/>
    </row>
    <row r="95" spans="1:6" x14ac:dyDescent="0.3">
      <c r="A95" s="382"/>
      <c r="B95" s="76"/>
      <c r="C95" s="74"/>
      <c r="D95" s="77"/>
      <c r="E95" s="75"/>
      <c r="F95" s="75"/>
    </row>
    <row r="96" spans="1:6" x14ac:dyDescent="0.3">
      <c r="A96" s="383"/>
      <c r="B96" s="78"/>
      <c r="C96" s="74"/>
      <c r="D96" s="79"/>
      <c r="E96" s="75"/>
      <c r="F96" s="75"/>
    </row>
    <row r="97" spans="1:6" x14ac:dyDescent="0.3">
      <c r="A97" s="381"/>
      <c r="B97" s="69"/>
      <c r="C97" s="70"/>
      <c r="D97" s="71"/>
      <c r="E97" s="71"/>
      <c r="F97" s="72"/>
    </row>
    <row r="98" spans="1:6" x14ac:dyDescent="0.3">
      <c r="A98" s="382"/>
      <c r="B98" s="73"/>
      <c r="C98" s="74"/>
      <c r="D98" s="75"/>
      <c r="E98" s="75"/>
      <c r="F98" s="75"/>
    </row>
    <row r="99" spans="1:6" x14ac:dyDescent="0.3">
      <c r="A99" s="382"/>
      <c r="B99" s="76"/>
      <c r="C99" s="74"/>
      <c r="D99" s="77"/>
      <c r="E99" s="75"/>
      <c r="F99" s="75"/>
    </row>
    <row r="100" spans="1:6" x14ac:dyDescent="0.3">
      <c r="A100" s="383"/>
      <c r="B100" s="78"/>
      <c r="C100" s="74"/>
      <c r="D100" s="79"/>
      <c r="E100" s="75"/>
      <c r="F100" s="75"/>
    </row>
    <row r="101" spans="1:6" x14ac:dyDescent="0.3">
      <c r="A101" s="88"/>
      <c r="B101" s="89"/>
      <c r="C101" s="74"/>
      <c r="D101" s="79"/>
      <c r="E101" s="75"/>
      <c r="F101" s="75"/>
    </row>
    <row r="102" spans="1:6" x14ac:dyDescent="0.3">
      <c r="A102" s="87"/>
      <c r="B102" s="66"/>
      <c r="C102" s="87"/>
      <c r="D102" s="87"/>
      <c r="E102" s="87"/>
      <c r="F102" s="92"/>
    </row>
    <row r="103" spans="1:6" x14ac:dyDescent="0.3">
      <c r="A103" s="81"/>
      <c r="B103" s="89"/>
      <c r="C103" s="74"/>
      <c r="D103" s="79"/>
      <c r="E103" s="75"/>
      <c r="F103" s="75"/>
    </row>
    <row r="104" spans="1:6" x14ac:dyDescent="0.3">
      <c r="A104" s="81"/>
      <c r="B104" s="90"/>
      <c r="C104" s="74"/>
      <c r="D104" s="79"/>
      <c r="E104" s="75"/>
      <c r="F104" s="75"/>
    </row>
    <row r="105" spans="1:6" x14ac:dyDescent="0.3">
      <c r="A105" s="81"/>
      <c r="B105" s="82"/>
      <c r="C105" s="74"/>
      <c r="D105" s="79"/>
      <c r="E105" s="75"/>
      <c r="F105" s="75"/>
    </row>
    <row r="106" spans="1:6" x14ac:dyDescent="0.3">
      <c r="A106" s="81"/>
      <c r="B106" s="82"/>
      <c r="C106" s="74"/>
      <c r="D106" s="79"/>
      <c r="E106" s="75"/>
      <c r="F106" s="75"/>
    </row>
    <row r="107" spans="1:6" x14ac:dyDescent="0.3">
      <c r="A107" s="83"/>
      <c r="B107" s="84"/>
      <c r="C107" s="74"/>
      <c r="D107" s="79"/>
      <c r="E107" s="75"/>
      <c r="F107" s="75"/>
    </row>
    <row r="108" spans="1:6" x14ac:dyDescent="0.3">
      <c r="A108" s="83"/>
      <c r="B108" s="84"/>
      <c r="C108" s="74"/>
      <c r="D108" s="79"/>
      <c r="E108" s="75"/>
      <c r="F108" s="75"/>
    </row>
    <row r="109" spans="1:6" x14ac:dyDescent="0.3">
      <c r="A109" s="83"/>
      <c r="B109" s="84"/>
      <c r="C109" s="74"/>
      <c r="D109" s="79"/>
      <c r="E109" s="75"/>
      <c r="F109" s="75"/>
    </row>
    <row r="110" spans="1:6" x14ac:dyDescent="0.3">
      <c r="A110" s="83"/>
      <c r="B110" s="68"/>
      <c r="C110" s="74"/>
      <c r="D110" s="75"/>
      <c r="E110" s="85"/>
      <c r="F110" s="75"/>
    </row>
    <row r="111" spans="1:6" x14ac:dyDescent="0.3">
      <c r="A111" s="87"/>
      <c r="B111" s="66"/>
      <c r="C111" s="87"/>
      <c r="D111" s="87"/>
      <c r="E111" s="87"/>
      <c r="F111" s="92"/>
    </row>
    <row r="112" spans="1:6" x14ac:dyDescent="0.3">
      <c r="A112" s="87"/>
      <c r="B112" s="87"/>
      <c r="C112" s="87"/>
      <c r="D112" s="87"/>
      <c r="E112" s="87"/>
      <c r="F112" s="75"/>
    </row>
    <row r="113" spans="1:6" x14ac:dyDescent="0.3">
      <c r="A113" s="87"/>
      <c r="B113" s="87"/>
      <c r="C113" s="87"/>
      <c r="D113" s="87"/>
      <c r="E113" s="87"/>
      <c r="F113" s="75"/>
    </row>
    <row r="114" spans="1:6" x14ac:dyDescent="0.3">
      <c r="A114" s="87"/>
      <c r="B114" s="93"/>
      <c r="C114" s="87"/>
      <c r="D114" s="87"/>
      <c r="E114" s="87"/>
      <c r="F114" s="92"/>
    </row>
  </sheetData>
  <mergeCells count="16">
    <mergeCell ref="A47:F47"/>
    <mergeCell ref="A3:F3"/>
    <mergeCell ref="A4:A7"/>
    <mergeCell ref="A8:A11"/>
    <mergeCell ref="A12:A15"/>
    <mergeCell ref="A16:A19"/>
    <mergeCell ref="A85:A88"/>
    <mergeCell ref="A89:A92"/>
    <mergeCell ref="A93:A96"/>
    <mergeCell ref="A97:A100"/>
    <mergeCell ref="A48:A51"/>
    <mergeCell ref="A52:A55"/>
    <mergeCell ref="A56:A59"/>
    <mergeCell ref="A60:A63"/>
    <mergeCell ref="A80:F80"/>
    <mergeCell ref="A81:A84"/>
  </mergeCells>
  <pageMargins left="0.7" right="0.7" top="0.75" bottom="0.75" header="0.3" footer="0.3"/>
  <pageSetup paperSize="9"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53"/>
  <sheetViews>
    <sheetView topLeftCell="A12" zoomScale="140" zoomScaleNormal="140" workbookViewId="0">
      <selection activeCell="B53" sqref="B53"/>
    </sheetView>
  </sheetViews>
  <sheetFormatPr defaultRowHeight="14.4" x14ac:dyDescent="0.3"/>
  <cols>
    <col min="2" max="2" width="46.44140625" customWidth="1"/>
    <col min="6" max="6" width="11.88671875" customWidth="1"/>
    <col min="8" max="8" width="15.33203125" customWidth="1"/>
  </cols>
  <sheetData>
    <row r="1" spans="1:6" ht="53.4" thickBot="1" x14ac:dyDescent="0.35">
      <c r="A1" s="227" t="s">
        <v>399</v>
      </c>
      <c r="B1" s="226" t="s">
        <v>398</v>
      </c>
      <c r="C1" s="225" t="s">
        <v>397</v>
      </c>
      <c r="D1" s="224" t="s">
        <v>396</v>
      </c>
      <c r="E1" s="223" t="s">
        <v>395</v>
      </c>
      <c r="F1" s="222" t="s">
        <v>394</v>
      </c>
    </row>
    <row r="2" spans="1:6" ht="15" thickBot="1" x14ac:dyDescent="0.35">
      <c r="A2" s="399" t="s">
        <v>393</v>
      </c>
      <c r="B2" s="400"/>
      <c r="C2" s="400"/>
      <c r="D2" s="400"/>
      <c r="E2" s="400"/>
      <c r="F2" s="401"/>
    </row>
    <row r="3" spans="1:6" ht="15.6" thickTop="1" thickBot="1" x14ac:dyDescent="0.35">
      <c r="A3" s="402">
        <v>1</v>
      </c>
      <c r="B3" s="219" t="s">
        <v>392</v>
      </c>
      <c r="C3" s="218">
        <v>2</v>
      </c>
      <c r="D3" s="221"/>
      <c r="E3" s="221"/>
      <c r="F3" s="220"/>
    </row>
    <row r="4" spans="1:6" ht="23.4" customHeight="1" thickTop="1" x14ac:dyDescent="0.3">
      <c r="A4" s="402"/>
      <c r="B4" s="216" t="s">
        <v>391</v>
      </c>
      <c r="C4" s="212">
        <v>16</v>
      </c>
      <c r="D4" s="212">
        <f>10324*0.4</f>
        <v>4129.6000000000004</v>
      </c>
      <c r="E4" s="212">
        <f>$C$3*C4*D4</f>
        <v>132147.20000000001</v>
      </c>
      <c r="F4" s="215">
        <f>E4*12</f>
        <v>1585766.4000000001</v>
      </c>
    </row>
    <row r="5" spans="1:6" x14ac:dyDescent="0.3">
      <c r="A5" s="402"/>
      <c r="B5" s="216" t="s">
        <v>381</v>
      </c>
      <c r="C5" s="212">
        <v>64</v>
      </c>
      <c r="D5" s="212">
        <f>640</f>
        <v>640</v>
      </c>
      <c r="E5" s="212">
        <f>$C$3*C5*D5</f>
        <v>81920</v>
      </c>
      <c r="F5" s="215">
        <f>E5*12</f>
        <v>983040</v>
      </c>
    </row>
    <row r="6" spans="1:6" ht="15" customHeight="1" thickBot="1" x14ac:dyDescent="0.35">
      <c r="A6" s="403"/>
      <c r="B6" s="214" t="s">
        <v>380</v>
      </c>
      <c r="C6" s="213">
        <v>10</v>
      </c>
      <c r="D6" s="213">
        <f>12000*1.18/5</f>
        <v>2832</v>
      </c>
      <c r="E6" s="212">
        <f>$C$3*C6*D6</f>
        <v>56640</v>
      </c>
      <c r="F6" s="211">
        <f>E6*12</f>
        <v>679680</v>
      </c>
    </row>
    <row r="7" spans="1:6" ht="15.6" thickTop="1" thickBot="1" x14ac:dyDescent="0.35">
      <c r="A7" s="396">
        <v>2</v>
      </c>
      <c r="B7" s="219" t="s">
        <v>390</v>
      </c>
      <c r="C7" s="218">
        <v>2</v>
      </c>
      <c r="D7" s="218"/>
      <c r="E7" s="218"/>
      <c r="F7" s="217"/>
    </row>
    <row r="8" spans="1:6" ht="15" thickTop="1" x14ac:dyDescent="0.3">
      <c r="A8" s="397"/>
      <c r="B8" s="216" t="str">
        <f>B4</f>
        <v>CPU Intel x Architecture (per vCPU)</v>
      </c>
      <c r="C8" s="212">
        <v>16</v>
      </c>
      <c r="D8" s="212">
        <f>D4</f>
        <v>4129.6000000000004</v>
      </c>
      <c r="E8" s="212">
        <f>$C$7*C8*D8</f>
        <v>132147.20000000001</v>
      </c>
      <c r="F8" s="215">
        <f>E8*12</f>
        <v>1585766.4000000001</v>
      </c>
    </row>
    <row r="9" spans="1:6" x14ac:dyDescent="0.3">
      <c r="A9" s="397"/>
      <c r="B9" s="216" t="s">
        <v>381</v>
      </c>
      <c r="C9" s="212">
        <v>32</v>
      </c>
      <c r="D9" s="212">
        <f>D5</f>
        <v>640</v>
      </c>
      <c r="E9" s="212">
        <f>$C$7*C9*D9</f>
        <v>40960</v>
      </c>
      <c r="F9" s="215">
        <f>E9*12</f>
        <v>491520</v>
      </c>
    </row>
    <row r="10" spans="1:6" ht="15" thickBot="1" x14ac:dyDescent="0.35">
      <c r="A10" s="398"/>
      <c r="B10" s="214" t="s">
        <v>380</v>
      </c>
      <c r="C10" s="213">
        <v>10</v>
      </c>
      <c r="D10" s="213">
        <f>12000*1.18/5</f>
        <v>2832</v>
      </c>
      <c r="E10" s="212">
        <f>$C$7*C10*D10</f>
        <v>56640</v>
      </c>
      <c r="F10" s="211">
        <f>E10*12</f>
        <v>679680</v>
      </c>
    </row>
    <row r="11" spans="1:6" ht="15.6" thickTop="1" thickBot="1" x14ac:dyDescent="0.35">
      <c r="A11" s="396">
        <v>3</v>
      </c>
      <c r="B11" s="219" t="s">
        <v>389</v>
      </c>
      <c r="C11" s="218">
        <v>1</v>
      </c>
      <c r="D11" s="218"/>
      <c r="E11" s="218"/>
      <c r="F11" s="217"/>
    </row>
    <row r="12" spans="1:6" ht="15" thickTop="1" x14ac:dyDescent="0.3">
      <c r="A12" s="397"/>
      <c r="B12" s="216" t="str">
        <f>B8</f>
        <v>CPU Intel x Architecture (per vCPU)</v>
      </c>
      <c r="C12" s="212">
        <v>16</v>
      </c>
      <c r="D12" s="212">
        <f>D8</f>
        <v>4129.6000000000004</v>
      </c>
      <c r="E12" s="212">
        <f>$C$11*C12*D12</f>
        <v>66073.600000000006</v>
      </c>
      <c r="F12" s="215">
        <f>E12*12</f>
        <v>792883.20000000007</v>
      </c>
    </row>
    <row r="13" spans="1:6" x14ac:dyDescent="0.3">
      <c r="A13" s="397"/>
      <c r="B13" s="216" t="s">
        <v>381</v>
      </c>
      <c r="C13" s="212">
        <v>32</v>
      </c>
      <c r="D13" s="212">
        <f>D9</f>
        <v>640</v>
      </c>
      <c r="E13" s="212">
        <f>$C$11*C13*D13</f>
        <v>20480</v>
      </c>
      <c r="F13" s="215">
        <f>E13*12</f>
        <v>245760</v>
      </c>
    </row>
    <row r="14" spans="1:6" ht="15" thickBot="1" x14ac:dyDescent="0.35">
      <c r="A14" s="398"/>
      <c r="B14" s="214" t="s">
        <v>380</v>
      </c>
      <c r="C14" s="213">
        <v>11</v>
      </c>
      <c r="D14" s="213">
        <f>12000*1.18/5</f>
        <v>2832</v>
      </c>
      <c r="E14" s="212">
        <f>$C$11*C14*D14</f>
        <v>31152</v>
      </c>
      <c r="F14" s="211">
        <f>E14*12</f>
        <v>373824</v>
      </c>
    </row>
    <row r="15" spans="1:6" ht="15.6" thickTop="1" thickBot="1" x14ac:dyDescent="0.35">
      <c r="A15" s="396">
        <v>4</v>
      </c>
      <c r="B15" s="219" t="s">
        <v>388</v>
      </c>
      <c r="C15" s="218">
        <v>1</v>
      </c>
      <c r="D15" s="218"/>
      <c r="E15" s="218"/>
      <c r="F15" s="217"/>
    </row>
    <row r="16" spans="1:6" ht="15" thickTop="1" x14ac:dyDescent="0.3">
      <c r="A16" s="397"/>
      <c r="B16" s="216" t="str">
        <f>B12</f>
        <v>CPU Intel x Architecture (per vCPU)</v>
      </c>
      <c r="C16" s="212">
        <v>16</v>
      </c>
      <c r="D16" s="212">
        <f>D12</f>
        <v>4129.6000000000004</v>
      </c>
      <c r="E16" s="212">
        <f>$C$15*C16*D16</f>
        <v>66073.600000000006</v>
      </c>
      <c r="F16" s="215">
        <f>E16*12</f>
        <v>792883.20000000007</v>
      </c>
    </row>
    <row r="17" spans="1:6" x14ac:dyDescent="0.3">
      <c r="A17" s="397"/>
      <c r="B17" s="216" t="s">
        <v>381</v>
      </c>
      <c r="C17" s="212">
        <v>32</v>
      </c>
      <c r="D17" s="212">
        <f>D13</f>
        <v>640</v>
      </c>
      <c r="E17" s="212">
        <f>$C$15*C17*D17</f>
        <v>20480</v>
      </c>
      <c r="F17" s="215">
        <f>E17*12</f>
        <v>245760</v>
      </c>
    </row>
    <row r="18" spans="1:6" ht="15" thickBot="1" x14ac:dyDescent="0.35">
      <c r="A18" s="398"/>
      <c r="B18" s="214" t="s">
        <v>380</v>
      </c>
      <c r="C18" s="213">
        <v>5</v>
      </c>
      <c r="D18" s="213">
        <f>12000*1.18/5</f>
        <v>2832</v>
      </c>
      <c r="E18" s="212">
        <f>$C$15*C18*D18</f>
        <v>14160</v>
      </c>
      <c r="F18" s="211">
        <f>E18*12</f>
        <v>169920</v>
      </c>
    </row>
    <row r="19" spans="1:6" ht="15.6" thickTop="1" thickBot="1" x14ac:dyDescent="0.35">
      <c r="A19" s="396">
        <v>5</v>
      </c>
      <c r="B19" s="219" t="s">
        <v>387</v>
      </c>
      <c r="C19" s="218">
        <v>2</v>
      </c>
      <c r="D19" s="218"/>
      <c r="E19" s="218"/>
      <c r="F19" s="217"/>
    </row>
    <row r="20" spans="1:6" ht="15" thickTop="1" x14ac:dyDescent="0.3">
      <c r="A20" s="397"/>
      <c r="B20" s="216" t="str">
        <f>B16</f>
        <v>CPU Intel x Architecture (per vCPU)</v>
      </c>
      <c r="C20" s="212">
        <v>8</v>
      </c>
      <c r="D20" s="212">
        <f>D16</f>
        <v>4129.6000000000004</v>
      </c>
      <c r="E20" s="212">
        <f>$C$19*C20*D20</f>
        <v>66073.600000000006</v>
      </c>
      <c r="F20" s="215">
        <f>E20*12</f>
        <v>792883.20000000007</v>
      </c>
    </row>
    <row r="21" spans="1:6" x14ac:dyDescent="0.3">
      <c r="A21" s="397"/>
      <c r="B21" s="216" t="s">
        <v>381</v>
      </c>
      <c r="C21" s="212">
        <v>32</v>
      </c>
      <c r="D21" s="212">
        <f>D17</f>
        <v>640</v>
      </c>
      <c r="E21" s="212">
        <f>$C$19*C21*D21</f>
        <v>40960</v>
      </c>
      <c r="F21" s="215">
        <f>E21*12</f>
        <v>491520</v>
      </c>
    </row>
    <row r="22" spans="1:6" ht="15" thickBot="1" x14ac:dyDescent="0.35">
      <c r="A22" s="398"/>
      <c r="B22" s="214" t="s">
        <v>380</v>
      </c>
      <c r="C22" s="213">
        <v>5</v>
      </c>
      <c r="D22" s="213">
        <f>12000*1.18/5</f>
        <v>2832</v>
      </c>
      <c r="E22" s="212">
        <f>$C$19*C22*D22</f>
        <v>28320</v>
      </c>
      <c r="F22" s="211">
        <f>E22*12</f>
        <v>339840</v>
      </c>
    </row>
    <row r="23" spans="1:6" ht="15.6" thickTop="1" thickBot="1" x14ac:dyDescent="0.35">
      <c r="A23" s="396">
        <v>6</v>
      </c>
      <c r="B23" s="219" t="s">
        <v>386</v>
      </c>
      <c r="C23" s="218">
        <v>1</v>
      </c>
      <c r="D23" s="218"/>
      <c r="E23" s="218"/>
      <c r="F23" s="217"/>
    </row>
    <row r="24" spans="1:6" ht="15" thickTop="1" x14ac:dyDescent="0.3">
      <c r="A24" s="397"/>
      <c r="B24" s="216" t="str">
        <f>B20</f>
        <v>CPU Intel x Architecture (per vCPU)</v>
      </c>
      <c r="C24" s="212">
        <v>8</v>
      </c>
      <c r="D24" s="212">
        <f>D20</f>
        <v>4129.6000000000004</v>
      </c>
      <c r="E24" s="212">
        <f>$C$23*C24*D24</f>
        <v>33036.800000000003</v>
      </c>
      <c r="F24" s="215">
        <f>E24*12</f>
        <v>396441.60000000003</v>
      </c>
    </row>
    <row r="25" spans="1:6" x14ac:dyDescent="0.3">
      <c r="A25" s="397"/>
      <c r="B25" s="216" t="s">
        <v>381</v>
      </c>
      <c r="C25" s="212">
        <v>32</v>
      </c>
      <c r="D25" s="212">
        <f>D21</f>
        <v>640</v>
      </c>
      <c r="E25" s="212">
        <f>$C$23*C25*D25</f>
        <v>20480</v>
      </c>
      <c r="F25" s="215">
        <f>E25*12</f>
        <v>245760</v>
      </c>
    </row>
    <row r="26" spans="1:6" ht="15" thickBot="1" x14ac:dyDescent="0.35">
      <c r="A26" s="398"/>
      <c r="B26" s="214" t="s">
        <v>380</v>
      </c>
      <c r="C26" s="213">
        <v>10</v>
      </c>
      <c r="D26" s="213">
        <f>12000*1.18/5</f>
        <v>2832</v>
      </c>
      <c r="E26" s="212">
        <f>$C$23*C26*D26</f>
        <v>28320</v>
      </c>
      <c r="F26" s="211">
        <f>E26*12</f>
        <v>339840</v>
      </c>
    </row>
    <row r="27" spans="1:6" ht="15.6" thickTop="1" thickBot="1" x14ac:dyDescent="0.35">
      <c r="A27" s="396">
        <v>7</v>
      </c>
      <c r="B27" s="219" t="s">
        <v>385</v>
      </c>
      <c r="C27" s="218">
        <v>1</v>
      </c>
      <c r="D27" s="218"/>
      <c r="E27" s="218"/>
      <c r="F27" s="217"/>
    </row>
    <row r="28" spans="1:6" ht="15" thickTop="1" x14ac:dyDescent="0.3">
      <c r="A28" s="397"/>
      <c r="B28" s="216" t="str">
        <f>B24</f>
        <v>CPU Intel x Architecture (per vCPU)</v>
      </c>
      <c r="C28" s="212">
        <v>6</v>
      </c>
      <c r="D28" s="212">
        <f>D24</f>
        <v>4129.6000000000004</v>
      </c>
      <c r="E28" s="212">
        <f>$C$27*C28*D28</f>
        <v>24777.600000000002</v>
      </c>
      <c r="F28" s="215">
        <f>E28*12</f>
        <v>297331.20000000001</v>
      </c>
    </row>
    <row r="29" spans="1:6" x14ac:dyDescent="0.3">
      <c r="A29" s="397"/>
      <c r="B29" s="216" t="s">
        <v>381</v>
      </c>
      <c r="C29" s="212">
        <v>28</v>
      </c>
      <c r="D29" s="212">
        <f>D25</f>
        <v>640</v>
      </c>
      <c r="E29" s="212">
        <f>$C$27*C29*D29</f>
        <v>17920</v>
      </c>
      <c r="F29" s="215">
        <f>E29*12</f>
        <v>215040</v>
      </c>
    </row>
    <row r="30" spans="1:6" ht="15" thickBot="1" x14ac:dyDescent="0.35">
      <c r="A30" s="398"/>
      <c r="B30" s="214" t="s">
        <v>380</v>
      </c>
      <c r="C30" s="213">
        <v>5</v>
      </c>
      <c r="D30" s="213">
        <f>12000*1.18/5</f>
        <v>2832</v>
      </c>
      <c r="E30" s="212">
        <f>$C$27*C30*D30</f>
        <v>14160</v>
      </c>
      <c r="F30" s="211">
        <f>E30*12</f>
        <v>169920</v>
      </c>
    </row>
    <row r="31" spans="1:6" ht="15.6" thickTop="1" thickBot="1" x14ac:dyDescent="0.35">
      <c r="A31" s="402">
        <v>8</v>
      </c>
      <c r="B31" s="219" t="s">
        <v>384</v>
      </c>
      <c r="C31" s="218">
        <v>1</v>
      </c>
      <c r="D31" s="218"/>
      <c r="E31" s="218"/>
      <c r="F31" s="217"/>
    </row>
    <row r="32" spans="1:6" ht="15" thickTop="1" x14ac:dyDescent="0.3">
      <c r="A32" s="402"/>
      <c r="B32" s="216" t="str">
        <f>B28</f>
        <v>CPU Intel x Architecture (per vCPU)</v>
      </c>
      <c r="C32" s="212">
        <v>6</v>
      </c>
      <c r="D32" s="212">
        <f>D28</f>
        <v>4129.6000000000004</v>
      </c>
      <c r="E32" s="212">
        <f>$C$31*C32*D32</f>
        <v>24777.600000000002</v>
      </c>
      <c r="F32" s="215">
        <f>E32*12</f>
        <v>297331.20000000001</v>
      </c>
    </row>
    <row r="33" spans="1:6" x14ac:dyDescent="0.3">
      <c r="A33" s="402"/>
      <c r="B33" s="216" t="s">
        <v>381</v>
      </c>
      <c r="C33" s="212">
        <v>16</v>
      </c>
      <c r="D33" s="212">
        <f>D29</f>
        <v>640</v>
      </c>
      <c r="E33" s="212">
        <f>$C$31*C33*D33</f>
        <v>10240</v>
      </c>
      <c r="F33" s="215">
        <f>E33*12</f>
        <v>122880</v>
      </c>
    </row>
    <row r="34" spans="1:6" ht="15" thickBot="1" x14ac:dyDescent="0.35">
      <c r="A34" s="403"/>
      <c r="B34" s="214" t="s">
        <v>380</v>
      </c>
      <c r="C34" s="213">
        <v>5</v>
      </c>
      <c r="D34" s="213">
        <f>12000*1.18/5</f>
        <v>2832</v>
      </c>
      <c r="E34" s="212">
        <f>$C$31*C34*D34</f>
        <v>14160</v>
      </c>
      <c r="F34" s="211">
        <f>E34*12</f>
        <v>169920</v>
      </c>
    </row>
    <row r="35" spans="1:6" ht="15.6" thickTop="1" thickBot="1" x14ac:dyDescent="0.35">
      <c r="A35" s="396">
        <v>9</v>
      </c>
      <c r="B35" s="219" t="s">
        <v>383</v>
      </c>
      <c r="C35" s="218">
        <v>1</v>
      </c>
      <c r="D35" s="218"/>
      <c r="E35" s="218"/>
      <c r="F35" s="217"/>
    </row>
    <row r="36" spans="1:6" ht="15" thickTop="1" x14ac:dyDescent="0.3">
      <c r="A36" s="397"/>
      <c r="B36" s="216" t="str">
        <f>B32</f>
        <v>CPU Intel x Architecture (per vCPU)</v>
      </c>
      <c r="C36" s="212">
        <v>8</v>
      </c>
      <c r="D36" s="212">
        <f>D32</f>
        <v>4129.6000000000004</v>
      </c>
      <c r="E36" s="212">
        <f>$C$35*C36*D36</f>
        <v>33036.800000000003</v>
      </c>
      <c r="F36" s="215">
        <f>E36*12</f>
        <v>396441.60000000003</v>
      </c>
    </row>
    <row r="37" spans="1:6" x14ac:dyDescent="0.3">
      <c r="A37" s="397"/>
      <c r="B37" s="216" t="s">
        <v>381</v>
      </c>
      <c r="C37" s="212">
        <v>16</v>
      </c>
      <c r="D37" s="212">
        <f>D33</f>
        <v>640</v>
      </c>
      <c r="E37" s="212">
        <f>$C$35*C37*D37</f>
        <v>10240</v>
      </c>
      <c r="F37" s="215">
        <f>E37*12</f>
        <v>122880</v>
      </c>
    </row>
    <row r="38" spans="1:6" ht="15" thickBot="1" x14ac:dyDescent="0.35">
      <c r="A38" s="398"/>
      <c r="B38" s="214" t="s">
        <v>380</v>
      </c>
      <c r="C38" s="213">
        <v>10</v>
      </c>
      <c r="D38" s="213">
        <f>12000*1.18/5</f>
        <v>2832</v>
      </c>
      <c r="E38" s="212">
        <f>$C$35*C38*D38</f>
        <v>28320</v>
      </c>
      <c r="F38" s="211">
        <f>E38*12</f>
        <v>339840</v>
      </c>
    </row>
    <row r="39" spans="1:6" ht="15.6" thickTop="1" thickBot="1" x14ac:dyDescent="0.35">
      <c r="A39" s="396">
        <v>10</v>
      </c>
      <c r="B39" s="219" t="s">
        <v>382</v>
      </c>
      <c r="C39" s="218">
        <v>1</v>
      </c>
      <c r="D39" s="218"/>
      <c r="E39" s="218"/>
      <c r="F39" s="217"/>
    </row>
    <row r="40" spans="1:6" ht="15" thickTop="1" x14ac:dyDescent="0.3">
      <c r="A40" s="397"/>
      <c r="B40" s="216" t="str">
        <f>B36</f>
        <v>CPU Intel x Architecture (per vCPU)</v>
      </c>
      <c r="C40" s="212">
        <v>4</v>
      </c>
      <c r="D40" s="212">
        <f>D36</f>
        <v>4129.6000000000004</v>
      </c>
      <c r="E40" s="212">
        <f>$C$39*C40*D40</f>
        <v>16518.400000000001</v>
      </c>
      <c r="F40" s="215">
        <f t="shared" ref="F40:F45" si="0">E40*12</f>
        <v>198220.80000000002</v>
      </c>
    </row>
    <row r="41" spans="1:6" x14ac:dyDescent="0.3">
      <c r="A41" s="397"/>
      <c r="B41" s="216" t="s">
        <v>381</v>
      </c>
      <c r="C41" s="212">
        <v>8</v>
      </c>
      <c r="D41" s="212">
        <f>D37</f>
        <v>640</v>
      </c>
      <c r="E41" s="212">
        <f>$C$39*C41*D41</f>
        <v>5120</v>
      </c>
      <c r="F41" s="215">
        <f t="shared" si="0"/>
        <v>61440</v>
      </c>
    </row>
    <row r="42" spans="1:6" ht="15" thickBot="1" x14ac:dyDescent="0.35">
      <c r="A42" s="398"/>
      <c r="B42" s="214" t="s">
        <v>380</v>
      </c>
      <c r="C42" s="213">
        <v>5</v>
      </c>
      <c r="D42" s="213">
        <f>12000*1.18/5</f>
        <v>2832</v>
      </c>
      <c r="E42" s="212">
        <f>$C$39*C42*D42</f>
        <v>14160</v>
      </c>
      <c r="F42" s="211">
        <f t="shared" si="0"/>
        <v>169920</v>
      </c>
    </row>
    <row r="43" spans="1:6" ht="15" thickBot="1" x14ac:dyDescent="0.35">
      <c r="A43" s="207">
        <v>11</v>
      </c>
      <c r="B43" s="206" t="s">
        <v>201</v>
      </c>
      <c r="C43" s="210">
        <v>18</v>
      </c>
      <c r="D43" s="204">
        <f>4500</f>
        <v>4500</v>
      </c>
      <c r="E43" s="204">
        <f>C43*D43</f>
        <v>81000</v>
      </c>
      <c r="F43" s="204">
        <f t="shared" si="0"/>
        <v>972000</v>
      </c>
    </row>
    <row r="44" spans="1:6" ht="15" thickBot="1" x14ac:dyDescent="0.35">
      <c r="A44" s="209">
        <v>12</v>
      </c>
      <c r="B44" s="208" t="s">
        <v>379</v>
      </c>
      <c r="C44" s="205">
        <f>SUM(C3,C7,C11,C15,C19,C23,C27,C31,C35,C39)</f>
        <v>13</v>
      </c>
      <c r="D44" s="191">
        <f>9200*0.92</f>
        <v>8464</v>
      </c>
      <c r="E44" s="191">
        <f>C44*D44</f>
        <v>110032</v>
      </c>
      <c r="F44" s="191">
        <f t="shared" si="0"/>
        <v>1320384</v>
      </c>
    </row>
    <row r="45" spans="1:6" ht="15" thickBot="1" x14ac:dyDescent="0.35">
      <c r="A45" s="207">
        <v>13</v>
      </c>
      <c r="B45" s="206" t="s">
        <v>378</v>
      </c>
      <c r="C45" s="205">
        <f>(C42*C39+C38*C35+C34*C31+C30*C27+C26*C23+C22*C19+C18*C15+C11+C10*C7+C6*C3)/10</f>
        <v>9.1</v>
      </c>
      <c r="D45" s="204">
        <v>13880</v>
      </c>
      <c r="E45" s="191">
        <f>C45*D45</f>
        <v>126308</v>
      </c>
      <c r="F45" s="191">
        <f t="shared" si="0"/>
        <v>1515696</v>
      </c>
    </row>
    <row r="46" spans="1:6" ht="15" thickBot="1" x14ac:dyDescent="0.35">
      <c r="A46" s="203"/>
      <c r="B46" s="202"/>
      <c r="C46" s="201"/>
      <c r="D46" s="201"/>
      <c r="E46" s="190"/>
      <c r="F46" s="200">
        <f>SUM(F3:F45)</f>
        <v>17602012.799999997</v>
      </c>
    </row>
    <row r="47" spans="1:6" ht="15" thickBot="1" x14ac:dyDescent="0.35">
      <c r="A47" s="393" t="s">
        <v>377</v>
      </c>
      <c r="B47" s="394"/>
      <c r="C47" s="394"/>
      <c r="D47" s="394"/>
      <c r="E47" s="394"/>
      <c r="F47" s="395"/>
    </row>
    <row r="48" spans="1:6" ht="15" thickBot="1" x14ac:dyDescent="0.35">
      <c r="A48" s="199">
        <v>1</v>
      </c>
      <c r="B48" s="198" t="s">
        <v>376</v>
      </c>
      <c r="C48" s="197">
        <v>1</v>
      </c>
      <c r="D48" s="197"/>
      <c r="E48" s="197"/>
      <c r="F48" s="191">
        <v>1528364</v>
      </c>
    </row>
    <row r="49" spans="1:9" ht="15.6" thickTop="1" thickBot="1" x14ac:dyDescent="0.35">
      <c r="A49" s="196"/>
      <c r="B49" s="195"/>
      <c r="C49" s="194"/>
      <c r="D49" s="194"/>
      <c r="E49" s="193"/>
      <c r="F49" s="193">
        <f>F48</f>
        <v>1528364</v>
      </c>
    </row>
    <row r="50" spans="1:9" ht="15.6" thickTop="1" thickBot="1" x14ac:dyDescent="0.35">
      <c r="A50" s="192"/>
      <c r="B50" s="191" t="s">
        <v>375</v>
      </c>
      <c r="C50" s="191"/>
      <c r="D50" s="191"/>
      <c r="E50" s="191" t="s">
        <v>374</v>
      </c>
      <c r="F50" s="190">
        <f>SUM(F49+F46)</f>
        <v>19130376.799999997</v>
      </c>
    </row>
    <row r="51" spans="1:9" ht="15" thickBot="1" x14ac:dyDescent="0.35">
      <c r="A51" s="108"/>
      <c r="B51" s="109" t="s">
        <v>373</v>
      </c>
      <c r="C51" s="109"/>
      <c r="D51" s="109"/>
      <c r="E51" s="109"/>
      <c r="F51" s="189">
        <f>F50*1.18</f>
        <v>22573844.623999994</v>
      </c>
    </row>
    <row r="52" spans="1:9" ht="15" thickBot="1" x14ac:dyDescent="0.35">
      <c r="A52" s="390" t="s">
        <v>372</v>
      </c>
      <c r="B52" s="391"/>
      <c r="C52" s="391"/>
      <c r="D52" s="391"/>
      <c r="E52" s="391"/>
      <c r="F52" s="392"/>
    </row>
    <row r="53" spans="1:9" x14ac:dyDescent="0.3">
      <c r="H53">
        <v>13772</v>
      </c>
      <c r="I53">
        <f>H53*3</f>
        <v>41316</v>
      </c>
    </row>
  </sheetData>
  <mergeCells count="13">
    <mergeCell ref="A52:F52"/>
    <mergeCell ref="A47:F47"/>
    <mergeCell ref="A39:A42"/>
    <mergeCell ref="A2:F2"/>
    <mergeCell ref="A3:A6"/>
    <mergeCell ref="A7:A10"/>
    <mergeCell ref="A11:A14"/>
    <mergeCell ref="A35:A38"/>
    <mergeCell ref="A15:A18"/>
    <mergeCell ref="A19:A22"/>
    <mergeCell ref="A23:A26"/>
    <mergeCell ref="A27:A30"/>
    <mergeCell ref="A31:A34"/>
  </mergeCells>
  <pageMargins left="0.7" right="0.7" top="0.75" bottom="0.75" header="0.3" footer="0.3"/>
  <pageSetup paperSize="9" scale="6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1"/>
  <sheetViews>
    <sheetView topLeftCell="E23" zoomScale="170" zoomScaleNormal="170" workbookViewId="0">
      <selection activeCell="H40" sqref="H40"/>
    </sheetView>
  </sheetViews>
  <sheetFormatPr defaultRowHeight="14.4" x14ac:dyDescent="0.3"/>
  <cols>
    <col min="1" max="1" width="8.88671875" style="59"/>
    <col min="2" max="2" width="35.6640625" customWidth="1"/>
    <col min="4" max="4" width="12.88671875" customWidth="1"/>
    <col min="6" max="6" width="15.88671875" customWidth="1"/>
    <col min="7" max="7" width="13.88671875" customWidth="1"/>
    <col min="8" max="8" width="13.33203125" bestFit="1" customWidth="1"/>
    <col min="9" max="9" width="38" bestFit="1" customWidth="1"/>
    <col min="12" max="12" width="24.33203125" customWidth="1"/>
  </cols>
  <sheetData>
    <row r="1" spans="1:13" x14ac:dyDescent="0.3">
      <c r="F1" s="39"/>
      <c r="G1" s="39"/>
    </row>
    <row r="2" spans="1:13" ht="40.799999999999997" x14ac:dyDescent="0.3">
      <c r="A2" s="65" t="s">
        <v>222</v>
      </c>
      <c r="B2" s="66" t="s">
        <v>223</v>
      </c>
      <c r="C2" s="66" t="s">
        <v>224</v>
      </c>
      <c r="D2" s="67" t="s">
        <v>225</v>
      </c>
      <c r="E2" s="67" t="s">
        <v>226</v>
      </c>
      <c r="F2" s="68" t="s">
        <v>227</v>
      </c>
    </row>
    <row r="3" spans="1:13" x14ac:dyDescent="0.3">
      <c r="A3" s="377" t="s">
        <v>254</v>
      </c>
      <c r="B3" s="378"/>
      <c r="C3" s="378"/>
      <c r="D3" s="378"/>
      <c r="E3" s="378"/>
      <c r="F3" s="379"/>
      <c r="G3" s="1"/>
      <c r="H3" s="1"/>
      <c r="I3" s="1"/>
    </row>
    <row r="4" spans="1:13" x14ac:dyDescent="0.3">
      <c r="A4" s="369">
        <v>1</v>
      </c>
      <c r="B4" s="69" t="s">
        <v>253</v>
      </c>
      <c r="C4" s="70">
        <v>10</v>
      </c>
      <c r="D4" s="71"/>
      <c r="E4" s="71"/>
      <c r="F4" s="72">
        <f>SUM(F5:F7)*C4</f>
        <v>5652120</v>
      </c>
      <c r="G4" s="41"/>
      <c r="L4" t="s">
        <v>213</v>
      </c>
      <c r="M4" s="40">
        <v>4449</v>
      </c>
    </row>
    <row r="5" spans="1:13" x14ac:dyDescent="0.3">
      <c r="A5" s="370"/>
      <c r="B5" s="73" t="s">
        <v>229</v>
      </c>
      <c r="C5" s="74">
        <v>1</v>
      </c>
      <c r="D5" s="75">
        <v>13349</v>
      </c>
      <c r="E5" s="75">
        <f>D5*C5</f>
        <v>13349</v>
      </c>
      <c r="F5" s="75">
        <f t="shared" ref="F5:F14" si="0">E5*12</f>
        <v>160188</v>
      </c>
      <c r="G5" s="41"/>
      <c r="L5" t="s">
        <v>214</v>
      </c>
      <c r="M5" s="40">
        <v>7349</v>
      </c>
    </row>
    <row r="6" spans="1:13" x14ac:dyDescent="0.3">
      <c r="A6" s="370"/>
      <c r="B6" s="76" t="s">
        <v>230</v>
      </c>
      <c r="C6" s="74">
        <v>28</v>
      </c>
      <c r="D6" s="77">
        <v>849</v>
      </c>
      <c r="E6" s="75">
        <f>D6*C6</f>
        <v>23772</v>
      </c>
      <c r="F6" s="75">
        <f t="shared" si="0"/>
        <v>285264</v>
      </c>
      <c r="G6" s="41"/>
      <c r="L6" t="s">
        <v>215</v>
      </c>
      <c r="M6">
        <v>13349</v>
      </c>
    </row>
    <row r="7" spans="1:13" x14ac:dyDescent="0.3">
      <c r="A7" s="371"/>
      <c r="B7" s="78" t="s">
        <v>231</v>
      </c>
      <c r="C7" s="74">
        <v>20</v>
      </c>
      <c r="D7" s="79">
        <v>499</v>
      </c>
      <c r="E7" s="75">
        <f>D7*C7</f>
        <v>9980</v>
      </c>
      <c r="F7" s="75">
        <f t="shared" si="0"/>
        <v>119760</v>
      </c>
      <c r="G7" s="41"/>
      <c r="L7" t="s">
        <v>216</v>
      </c>
      <c r="M7">
        <v>19949</v>
      </c>
    </row>
    <row r="8" spans="1:13" x14ac:dyDescent="0.3">
      <c r="A8" s="87"/>
      <c r="B8" s="66" t="s">
        <v>240</v>
      </c>
      <c r="C8" s="87"/>
      <c r="D8" s="87"/>
      <c r="E8" s="87"/>
      <c r="F8" s="92">
        <f>SUM(F4)</f>
        <v>5652120</v>
      </c>
      <c r="G8" s="41"/>
    </row>
    <row r="9" spans="1:13" x14ac:dyDescent="0.3">
      <c r="A9" s="81"/>
      <c r="B9" s="89"/>
      <c r="C9" s="74"/>
      <c r="D9" s="79"/>
      <c r="E9" s="75"/>
      <c r="F9" s="75"/>
      <c r="G9" s="41"/>
    </row>
    <row r="10" spans="1:13" x14ac:dyDescent="0.3">
      <c r="A10" s="81"/>
      <c r="B10" s="90" t="s">
        <v>241</v>
      </c>
      <c r="C10" s="74"/>
      <c r="D10" s="79"/>
      <c r="E10" s="75"/>
      <c r="F10" s="75"/>
      <c r="G10" s="41"/>
    </row>
    <row r="11" spans="1:13" x14ac:dyDescent="0.3">
      <c r="A11" s="81">
        <v>1</v>
      </c>
      <c r="B11" s="82" t="s">
        <v>237</v>
      </c>
      <c r="C11" s="74">
        <f>C4</f>
        <v>10</v>
      </c>
      <c r="D11" s="79">
        <v>2083</v>
      </c>
      <c r="E11" s="75">
        <f>D11*C11</f>
        <v>20830</v>
      </c>
      <c r="F11" s="75">
        <f>E11*12</f>
        <v>249960</v>
      </c>
      <c r="G11" s="41"/>
    </row>
    <row r="12" spans="1:13" x14ac:dyDescent="0.3">
      <c r="A12" s="81">
        <v>2</v>
      </c>
      <c r="B12" s="82" t="s">
        <v>238</v>
      </c>
      <c r="C12" s="74">
        <f>C11</f>
        <v>10</v>
      </c>
      <c r="D12" s="79">
        <v>4560</v>
      </c>
      <c r="E12" s="75">
        <f>D12*C12</f>
        <v>45600</v>
      </c>
      <c r="F12" s="75">
        <f>E12*12</f>
        <v>547200</v>
      </c>
      <c r="G12" s="41"/>
    </row>
    <row r="13" spans="1:13" x14ac:dyDescent="0.3">
      <c r="A13" s="83">
        <v>3</v>
      </c>
      <c r="B13" s="84" t="s">
        <v>239</v>
      </c>
      <c r="C13" s="74">
        <f>C7</f>
        <v>20</v>
      </c>
      <c r="D13" s="79">
        <v>22200</v>
      </c>
      <c r="E13" s="75">
        <f>D13*C13</f>
        <v>444000</v>
      </c>
      <c r="F13" s="75">
        <f t="shared" si="0"/>
        <v>5328000</v>
      </c>
      <c r="G13" s="41"/>
    </row>
    <row r="14" spans="1:13" x14ac:dyDescent="0.3">
      <c r="A14" s="83">
        <v>4</v>
      </c>
      <c r="B14" s="84" t="s">
        <v>288</v>
      </c>
      <c r="C14" s="74">
        <v>10</v>
      </c>
      <c r="D14" s="79">
        <v>1340</v>
      </c>
      <c r="E14" s="75">
        <f>D14*C14</f>
        <v>13400</v>
      </c>
      <c r="F14" s="75">
        <f t="shared" si="0"/>
        <v>160800</v>
      </c>
      <c r="G14" s="41"/>
    </row>
    <row r="15" spans="1:13" x14ac:dyDescent="0.3">
      <c r="A15" s="86"/>
      <c r="B15" s="68"/>
      <c r="C15" s="74"/>
      <c r="D15" s="75"/>
      <c r="E15" s="85"/>
      <c r="F15" s="75"/>
    </row>
    <row r="16" spans="1:13" ht="15" thickBot="1" x14ac:dyDescent="0.35">
      <c r="A16" s="87"/>
      <c r="B16" s="66" t="s">
        <v>242</v>
      </c>
      <c r="C16" s="87"/>
      <c r="D16" s="87"/>
      <c r="E16" s="87"/>
      <c r="F16" s="92">
        <f>SUM(F11:F15)</f>
        <v>6285960</v>
      </c>
      <c r="G16" s="97">
        <v>4232974</v>
      </c>
    </row>
    <row r="17" spans="1:8" x14ac:dyDescent="0.3">
      <c r="A17" s="87"/>
      <c r="B17" s="87" t="s">
        <v>246</v>
      </c>
      <c r="C17" s="87"/>
      <c r="D17" s="87"/>
      <c r="E17" s="87"/>
      <c r="F17" s="75">
        <f>F16+F8</f>
        <v>11938080</v>
      </c>
    </row>
    <row r="18" spans="1:8" x14ac:dyDescent="0.3">
      <c r="A18" s="87"/>
      <c r="B18" s="87" t="s">
        <v>247</v>
      </c>
      <c r="C18" s="87"/>
      <c r="D18" s="87"/>
      <c r="E18" s="87"/>
      <c r="F18" s="75">
        <f>F17*0.25</f>
        <v>2984520</v>
      </c>
    </row>
    <row r="19" spans="1:8" x14ac:dyDescent="0.3">
      <c r="A19" s="87"/>
      <c r="B19" s="93" t="s">
        <v>248</v>
      </c>
      <c r="C19" s="87"/>
      <c r="D19" s="87"/>
      <c r="E19" s="87"/>
      <c r="F19" s="92">
        <f>F17-F18</f>
        <v>8953560</v>
      </c>
    </row>
    <row r="20" spans="1:8" x14ac:dyDescent="0.3">
      <c r="F20">
        <f>'Hartron DVBHL'!F26</f>
        <v>25266937.5</v>
      </c>
    </row>
    <row r="21" spans="1:8" x14ac:dyDescent="0.3">
      <c r="F21">
        <f>'Hartron HSCC'!F34</f>
        <v>23310013.5</v>
      </c>
    </row>
    <row r="22" spans="1:8" x14ac:dyDescent="0.3">
      <c r="F22" s="91">
        <f>SUM(F19:F21)</f>
        <v>57530511</v>
      </c>
    </row>
    <row r="23" spans="1:8" x14ac:dyDescent="0.3">
      <c r="F23" s="39"/>
    </row>
    <row r="24" spans="1:8" ht="40.799999999999997" x14ac:dyDescent="0.3">
      <c r="A24" s="65" t="s">
        <v>222</v>
      </c>
      <c r="B24" s="66" t="s">
        <v>223</v>
      </c>
      <c r="C24" s="66" t="s">
        <v>224</v>
      </c>
      <c r="D24" s="67" t="s">
        <v>225</v>
      </c>
      <c r="E24" s="67" t="s">
        <v>226</v>
      </c>
      <c r="F24" s="68" t="s">
        <v>227</v>
      </c>
    </row>
    <row r="25" spans="1:8" x14ac:dyDescent="0.3">
      <c r="A25" s="377" t="s">
        <v>254</v>
      </c>
      <c r="B25" s="378"/>
      <c r="C25" s="378"/>
      <c r="D25" s="378"/>
      <c r="E25" s="378"/>
      <c r="F25" s="379"/>
    </row>
    <row r="26" spans="1:8" x14ac:dyDescent="0.3">
      <c r="A26" s="369">
        <v>1</v>
      </c>
      <c r="B26" s="69" t="s">
        <v>253</v>
      </c>
      <c r="C26" s="70">
        <v>10</v>
      </c>
      <c r="D26" s="71"/>
      <c r="E26" s="71"/>
      <c r="F26" s="72">
        <f>SUM(F27:F29)*C26</f>
        <v>5532360</v>
      </c>
      <c r="G26">
        <f>C26*4</f>
        <v>40</v>
      </c>
      <c r="H26">
        <v>320</v>
      </c>
    </row>
    <row r="27" spans="1:8" x14ac:dyDescent="0.3">
      <c r="A27" s="370"/>
      <c r="B27" s="73" t="s">
        <v>229</v>
      </c>
      <c r="C27" s="74">
        <v>1</v>
      </c>
      <c r="D27" s="75">
        <v>13349</v>
      </c>
      <c r="E27" s="75">
        <f>D27*C27</f>
        <v>13349</v>
      </c>
      <c r="F27" s="75">
        <f t="shared" ref="F27:F36" si="1">E27*12</f>
        <v>160188</v>
      </c>
    </row>
    <row r="28" spans="1:8" x14ac:dyDescent="0.3">
      <c r="A28" s="370"/>
      <c r="B28" s="76" t="s">
        <v>230</v>
      </c>
      <c r="C28" s="74">
        <v>28</v>
      </c>
      <c r="D28" s="77">
        <v>849</v>
      </c>
      <c r="E28" s="75">
        <f>D28*C28</f>
        <v>23772</v>
      </c>
      <c r="F28" s="75">
        <f t="shared" si="1"/>
        <v>285264</v>
      </c>
    </row>
    <row r="29" spans="1:8" x14ac:dyDescent="0.3">
      <c r="A29" s="371"/>
      <c r="B29" s="78" t="s">
        <v>231</v>
      </c>
      <c r="C29" s="74">
        <v>18</v>
      </c>
      <c r="D29" s="79">
        <v>499</v>
      </c>
      <c r="E29" s="75">
        <f>D29*C29</f>
        <v>8982</v>
      </c>
      <c r="F29" s="75">
        <f t="shared" si="1"/>
        <v>107784</v>
      </c>
    </row>
    <row r="30" spans="1:8" x14ac:dyDescent="0.3">
      <c r="A30" s="87"/>
      <c r="B30" s="66" t="s">
        <v>240</v>
      </c>
      <c r="C30" s="87"/>
      <c r="D30" s="87"/>
      <c r="E30" s="87"/>
      <c r="F30" s="92">
        <f>SUM(F26)</f>
        <v>5532360</v>
      </c>
    </row>
    <row r="31" spans="1:8" x14ac:dyDescent="0.3">
      <c r="A31" s="81"/>
      <c r="B31" s="89"/>
      <c r="C31" s="74"/>
      <c r="D31" s="79"/>
      <c r="E31" s="75"/>
      <c r="F31" s="75"/>
    </row>
    <row r="32" spans="1:8" x14ac:dyDescent="0.3">
      <c r="A32" s="81"/>
      <c r="B32" s="90" t="s">
        <v>241</v>
      </c>
      <c r="C32" s="74"/>
      <c r="D32" s="79"/>
      <c r="E32" s="75"/>
      <c r="F32" s="75"/>
    </row>
    <row r="33" spans="1:6" x14ac:dyDescent="0.3">
      <c r="A33" s="81">
        <v>1</v>
      </c>
      <c r="B33" s="82" t="s">
        <v>237</v>
      </c>
      <c r="C33" s="74">
        <f>C26</f>
        <v>10</v>
      </c>
      <c r="D33" s="79">
        <v>2083</v>
      </c>
      <c r="E33" s="75">
        <f>D33*C33</f>
        <v>20830</v>
      </c>
      <c r="F33" s="75">
        <f>E33*12</f>
        <v>249960</v>
      </c>
    </row>
    <row r="34" spans="1:6" x14ac:dyDescent="0.3">
      <c r="A34" s="81">
        <v>2</v>
      </c>
      <c r="B34" s="82" t="s">
        <v>289</v>
      </c>
      <c r="C34" s="74">
        <f>C33</f>
        <v>10</v>
      </c>
      <c r="D34" s="79">
        <v>4670</v>
      </c>
      <c r="E34" s="75">
        <f>D34*C34</f>
        <v>46700</v>
      </c>
      <c r="F34" s="75">
        <f>E34*12</f>
        <v>560400</v>
      </c>
    </row>
    <row r="35" spans="1:6" x14ac:dyDescent="0.3">
      <c r="A35" s="83">
        <v>3</v>
      </c>
      <c r="B35" s="84" t="s">
        <v>239</v>
      </c>
      <c r="C35" s="74">
        <v>0</v>
      </c>
      <c r="D35" s="79">
        <v>22200</v>
      </c>
      <c r="E35" s="75">
        <f>D35*C35</f>
        <v>0</v>
      </c>
      <c r="F35" s="75">
        <f t="shared" si="1"/>
        <v>0</v>
      </c>
    </row>
    <row r="36" spans="1:6" x14ac:dyDescent="0.3">
      <c r="A36" s="83">
        <v>4</v>
      </c>
      <c r="B36" s="84" t="s">
        <v>288</v>
      </c>
      <c r="C36" s="74">
        <v>10</v>
      </c>
      <c r="D36" s="79">
        <v>1340</v>
      </c>
      <c r="E36" s="75">
        <f>D36*C36</f>
        <v>13400</v>
      </c>
      <c r="F36" s="75">
        <f t="shared" si="1"/>
        <v>160800</v>
      </c>
    </row>
    <row r="37" spans="1:6" x14ac:dyDescent="0.3">
      <c r="A37" s="86">
        <v>5</v>
      </c>
      <c r="B37" s="68" t="s">
        <v>261</v>
      </c>
      <c r="C37" s="74">
        <v>1</v>
      </c>
      <c r="D37" s="75">
        <v>1</v>
      </c>
      <c r="E37" s="85">
        <f>D37*C37</f>
        <v>1</v>
      </c>
      <c r="F37" s="75">
        <v>600000</v>
      </c>
    </row>
    <row r="38" spans="1:6" x14ac:dyDescent="0.3">
      <c r="A38" s="87"/>
      <c r="B38" s="66" t="s">
        <v>242</v>
      </c>
      <c r="C38" s="87"/>
      <c r="D38" s="87"/>
      <c r="E38" s="87"/>
      <c r="F38" s="92">
        <f>SUM(F33:F37)</f>
        <v>1571160</v>
      </c>
    </row>
    <row r="39" spans="1:6" x14ac:dyDescent="0.3">
      <c r="A39" s="87"/>
      <c r="B39" s="87" t="s">
        <v>246</v>
      </c>
      <c r="C39" s="87"/>
      <c r="D39" s="87"/>
      <c r="E39" s="87"/>
      <c r="F39" s="75">
        <f>F38+F30</f>
        <v>7103520</v>
      </c>
    </row>
    <row r="40" spans="1:6" x14ac:dyDescent="0.3">
      <c r="A40" s="87"/>
      <c r="B40" s="87" t="s">
        <v>247</v>
      </c>
      <c r="C40" s="87"/>
      <c r="D40" s="87"/>
      <c r="E40" s="87"/>
      <c r="F40" s="75">
        <f>F39*0.25</f>
        <v>1775880</v>
      </c>
    </row>
    <row r="41" spans="1:6" x14ac:dyDescent="0.3">
      <c r="A41" s="87"/>
      <c r="B41" s="93" t="s">
        <v>248</v>
      </c>
      <c r="C41" s="87"/>
      <c r="D41" s="87"/>
      <c r="E41" s="87"/>
      <c r="F41" s="92">
        <f>F39-F40</f>
        <v>5327640</v>
      </c>
    </row>
  </sheetData>
  <mergeCells count="4">
    <mergeCell ref="A3:F3"/>
    <mergeCell ref="A4:A7"/>
    <mergeCell ref="A25:F25"/>
    <mergeCell ref="A26:A29"/>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
  <sheetViews>
    <sheetView topLeftCell="A11" zoomScale="170" zoomScaleNormal="170" workbookViewId="0">
      <selection activeCell="B8" sqref="B8"/>
    </sheetView>
  </sheetViews>
  <sheetFormatPr defaultRowHeight="14.4" x14ac:dyDescent="0.3"/>
  <cols>
    <col min="1" max="1" width="8.88671875" style="59"/>
    <col min="2" max="2" width="35.6640625" customWidth="1"/>
    <col min="4" max="4" width="12.88671875" customWidth="1"/>
    <col min="6" max="6" width="15.88671875" customWidth="1"/>
    <col min="7" max="7" width="13.88671875" customWidth="1"/>
    <col min="8" max="8" width="13.33203125" bestFit="1" customWidth="1"/>
    <col min="9" max="9" width="38" bestFit="1" customWidth="1"/>
    <col min="12" max="12" width="24.33203125" customWidth="1"/>
  </cols>
  <sheetData>
    <row r="1" spans="1:13" x14ac:dyDescent="0.3">
      <c r="F1" s="39"/>
      <c r="G1" s="39"/>
    </row>
    <row r="2" spans="1:13" ht="40.799999999999997" x14ac:dyDescent="0.3">
      <c r="A2" s="65" t="s">
        <v>222</v>
      </c>
      <c r="B2" s="66" t="s">
        <v>223</v>
      </c>
      <c r="C2" s="66" t="s">
        <v>224</v>
      </c>
      <c r="D2" s="67" t="s">
        <v>225</v>
      </c>
      <c r="E2" s="67" t="s">
        <v>226</v>
      </c>
      <c r="F2" s="68" t="s">
        <v>227</v>
      </c>
    </row>
    <row r="3" spans="1:13" x14ac:dyDescent="0.3">
      <c r="A3" s="377" t="s">
        <v>250</v>
      </c>
      <c r="B3" s="378"/>
      <c r="C3" s="378"/>
      <c r="D3" s="378"/>
      <c r="E3" s="378"/>
      <c r="F3" s="379"/>
      <c r="G3" s="1"/>
      <c r="H3" s="1"/>
      <c r="I3" s="1"/>
    </row>
    <row r="4" spans="1:13" x14ac:dyDescent="0.3">
      <c r="A4" s="369">
        <v>1</v>
      </c>
      <c r="B4" s="69" t="s">
        <v>251</v>
      </c>
      <c r="C4" s="70">
        <v>12</v>
      </c>
      <c r="D4" s="71"/>
      <c r="E4" s="71"/>
      <c r="F4" s="72">
        <f>SUM(F5:F7)*C4</f>
        <v>4107888</v>
      </c>
      <c r="G4" s="41"/>
      <c r="L4" t="s">
        <v>213</v>
      </c>
      <c r="M4" s="40">
        <v>4449</v>
      </c>
    </row>
    <row r="5" spans="1:13" x14ac:dyDescent="0.3">
      <c r="A5" s="370"/>
      <c r="B5" s="73" t="s">
        <v>229</v>
      </c>
      <c r="C5" s="74">
        <v>1</v>
      </c>
      <c r="D5" s="75">
        <v>13349</v>
      </c>
      <c r="E5" s="75">
        <f>D5*C5</f>
        <v>13349</v>
      </c>
      <c r="F5" s="75">
        <f t="shared" ref="F5:F21" si="0">E5*12</f>
        <v>160188</v>
      </c>
      <c r="G5" s="41"/>
      <c r="L5" t="s">
        <v>214</v>
      </c>
      <c r="M5" s="40">
        <v>7349</v>
      </c>
    </row>
    <row r="6" spans="1:13" x14ac:dyDescent="0.3">
      <c r="A6" s="370"/>
      <c r="B6" s="76" t="s">
        <v>230</v>
      </c>
      <c r="C6" s="74">
        <v>12</v>
      </c>
      <c r="D6" s="77">
        <v>849</v>
      </c>
      <c r="E6" s="75">
        <f>D6*C6</f>
        <v>10188</v>
      </c>
      <c r="F6" s="75">
        <f t="shared" si="0"/>
        <v>122256</v>
      </c>
      <c r="G6" s="41"/>
      <c r="L6" t="s">
        <v>215</v>
      </c>
      <c r="M6">
        <v>13349</v>
      </c>
    </row>
    <row r="7" spans="1:13" x14ac:dyDescent="0.3">
      <c r="A7" s="371"/>
      <c r="B7" s="78" t="s">
        <v>231</v>
      </c>
      <c r="C7" s="74">
        <v>10</v>
      </c>
      <c r="D7" s="79">
        <v>499</v>
      </c>
      <c r="E7" s="75">
        <f>D7*C7</f>
        <v>4990</v>
      </c>
      <c r="F7" s="75">
        <f t="shared" si="0"/>
        <v>59880</v>
      </c>
      <c r="G7" s="41"/>
      <c r="L7" t="s">
        <v>216</v>
      </c>
      <c r="M7">
        <v>19949</v>
      </c>
    </row>
    <row r="8" spans="1:13" x14ac:dyDescent="0.3">
      <c r="A8" s="381">
        <v>2</v>
      </c>
      <c r="B8" s="69" t="s">
        <v>249</v>
      </c>
      <c r="C8" s="80">
        <v>20</v>
      </c>
      <c r="D8" s="71"/>
      <c r="E8" s="71"/>
      <c r="F8" s="72">
        <f>SUM(F9:F11)*C8</f>
        <v>13417200</v>
      </c>
      <c r="G8" s="41"/>
      <c r="L8" t="s">
        <v>217</v>
      </c>
      <c r="M8">
        <v>25549</v>
      </c>
    </row>
    <row r="9" spans="1:13" x14ac:dyDescent="0.3">
      <c r="A9" s="382"/>
      <c r="B9" s="73" t="s">
        <v>234</v>
      </c>
      <c r="C9" s="74">
        <v>1</v>
      </c>
      <c r="D9" s="75">
        <v>25549</v>
      </c>
      <c r="E9" s="75">
        <f>D9*C9</f>
        <v>25549</v>
      </c>
      <c r="F9" s="75">
        <f t="shared" si="0"/>
        <v>306588</v>
      </c>
      <c r="G9" s="41"/>
      <c r="L9" t="s">
        <v>218</v>
      </c>
      <c r="M9">
        <v>49649</v>
      </c>
    </row>
    <row r="10" spans="1:13" x14ac:dyDescent="0.3">
      <c r="A10" s="382"/>
      <c r="B10" s="76" t="s">
        <v>230</v>
      </c>
      <c r="C10" s="74">
        <v>24</v>
      </c>
      <c r="D10" s="77">
        <v>849</v>
      </c>
      <c r="E10" s="75">
        <f>D10*C10</f>
        <v>20376</v>
      </c>
      <c r="F10" s="75">
        <f t="shared" si="0"/>
        <v>244512</v>
      </c>
      <c r="G10" s="41"/>
    </row>
    <row r="11" spans="1:13" x14ac:dyDescent="0.3">
      <c r="A11" s="383"/>
      <c r="B11" s="78" t="s">
        <v>232</v>
      </c>
      <c r="C11" s="74">
        <v>20</v>
      </c>
      <c r="D11" s="79">
        <v>499</v>
      </c>
      <c r="E11" s="75">
        <f>D11*C11</f>
        <v>9980</v>
      </c>
      <c r="F11" s="75">
        <f t="shared" si="0"/>
        <v>119760</v>
      </c>
      <c r="G11" s="41"/>
      <c r="L11" t="s">
        <v>220</v>
      </c>
      <c r="M11">
        <v>2110</v>
      </c>
    </row>
    <row r="12" spans="1:13" x14ac:dyDescent="0.3">
      <c r="A12" s="88">
        <v>3</v>
      </c>
      <c r="B12" s="89" t="s">
        <v>252</v>
      </c>
      <c r="C12" s="74">
        <v>20</v>
      </c>
      <c r="D12" s="79">
        <v>499</v>
      </c>
      <c r="E12" s="75">
        <f>D12*C12</f>
        <v>9980</v>
      </c>
      <c r="F12" s="75">
        <f>E12*12</f>
        <v>119760</v>
      </c>
      <c r="G12" s="41"/>
    </row>
    <row r="13" spans="1:13" x14ac:dyDescent="0.3">
      <c r="A13" s="87"/>
      <c r="B13" s="66" t="s">
        <v>240</v>
      </c>
      <c r="C13" s="87"/>
      <c r="D13" s="87"/>
      <c r="E13" s="87"/>
      <c r="F13" s="92">
        <f>SUM(F8,F4,F12)</f>
        <v>17644848</v>
      </c>
      <c r="G13" s="41"/>
    </row>
    <row r="14" spans="1:13" x14ac:dyDescent="0.3">
      <c r="A14" s="81"/>
      <c r="B14" s="89"/>
      <c r="C14" s="74"/>
      <c r="D14" s="79"/>
      <c r="E14" s="75"/>
      <c r="F14" s="75"/>
      <c r="G14" s="41"/>
    </row>
    <row r="15" spans="1:13" x14ac:dyDescent="0.3">
      <c r="A15" s="81"/>
      <c r="B15" s="90" t="s">
        <v>241</v>
      </c>
      <c r="C15" s="74"/>
      <c r="D15" s="79"/>
      <c r="E15" s="75"/>
      <c r="F15" s="75"/>
      <c r="G15" s="41"/>
    </row>
    <row r="16" spans="1:13" x14ac:dyDescent="0.3">
      <c r="A16" s="81">
        <v>1</v>
      </c>
      <c r="B16" s="82" t="s">
        <v>237</v>
      </c>
      <c r="C16" s="74">
        <f>SUM(C8,C4)</f>
        <v>32</v>
      </c>
      <c r="D16" s="79">
        <v>2083</v>
      </c>
      <c r="E16" s="75">
        <f>D16*C16</f>
        <v>66656</v>
      </c>
      <c r="F16" s="75">
        <f>E16*12</f>
        <v>799872</v>
      </c>
      <c r="G16" s="41"/>
    </row>
    <row r="17" spans="1:7" x14ac:dyDescent="0.3">
      <c r="A17" s="81">
        <v>2</v>
      </c>
      <c r="B17" s="82" t="s">
        <v>238</v>
      </c>
      <c r="C17" s="74">
        <f>C16</f>
        <v>32</v>
      </c>
      <c r="D17" s="79">
        <v>4560</v>
      </c>
      <c r="E17" s="75">
        <f t="shared" ref="E17:E22" si="1">D17*C17</f>
        <v>145920</v>
      </c>
      <c r="F17" s="75">
        <f>E17*12</f>
        <v>1751040</v>
      </c>
      <c r="G17" s="41"/>
    </row>
    <row r="18" spans="1:7" x14ac:dyDescent="0.3">
      <c r="A18" s="83">
        <v>3</v>
      </c>
      <c r="B18" s="84" t="s">
        <v>239</v>
      </c>
      <c r="C18" s="74">
        <v>32</v>
      </c>
      <c r="D18" s="79">
        <v>22200</v>
      </c>
      <c r="E18" s="75">
        <f t="shared" si="1"/>
        <v>710400</v>
      </c>
      <c r="F18" s="75">
        <f t="shared" si="0"/>
        <v>8524800</v>
      </c>
      <c r="G18" s="41"/>
    </row>
    <row r="19" spans="1:7" x14ac:dyDescent="0.3">
      <c r="A19" s="83">
        <v>4</v>
      </c>
      <c r="B19" s="84" t="s">
        <v>243</v>
      </c>
      <c r="C19" s="74">
        <f>C11+C12</f>
        <v>40</v>
      </c>
      <c r="D19" s="79">
        <v>1780</v>
      </c>
      <c r="E19" s="75">
        <f t="shared" si="1"/>
        <v>71200</v>
      </c>
      <c r="F19" s="75">
        <f t="shared" si="0"/>
        <v>854400</v>
      </c>
      <c r="G19" s="41"/>
    </row>
    <row r="20" spans="1:7" x14ac:dyDescent="0.3">
      <c r="A20" s="83">
        <v>5</v>
      </c>
      <c r="B20" s="84" t="s">
        <v>244</v>
      </c>
      <c r="C20" s="74">
        <v>4</v>
      </c>
      <c r="D20" s="79">
        <v>13440</v>
      </c>
      <c r="E20" s="75">
        <f t="shared" si="1"/>
        <v>53760</v>
      </c>
      <c r="F20" s="75">
        <f t="shared" si="0"/>
        <v>645120</v>
      </c>
      <c r="G20" s="41"/>
    </row>
    <row r="21" spans="1:7" x14ac:dyDescent="0.3">
      <c r="A21" s="83">
        <v>6</v>
      </c>
      <c r="B21" s="84" t="s">
        <v>245</v>
      </c>
      <c r="C21" s="74">
        <v>32</v>
      </c>
      <c r="D21" s="79">
        <v>5780</v>
      </c>
      <c r="E21" s="75">
        <f t="shared" si="1"/>
        <v>184960</v>
      </c>
      <c r="F21" s="75">
        <f t="shared" si="0"/>
        <v>2219520</v>
      </c>
      <c r="G21" s="41"/>
    </row>
    <row r="22" spans="1:7" x14ac:dyDescent="0.3">
      <c r="A22" s="86">
        <v>7</v>
      </c>
      <c r="B22" s="68" t="s">
        <v>262</v>
      </c>
      <c r="C22" s="74">
        <v>1</v>
      </c>
      <c r="D22" s="75">
        <v>1</v>
      </c>
      <c r="E22" s="85">
        <f t="shared" si="1"/>
        <v>1</v>
      </c>
      <c r="F22" s="75">
        <v>1249650</v>
      </c>
    </row>
    <row r="23" spans="1:7" x14ac:dyDescent="0.3">
      <c r="A23" s="87"/>
      <c r="B23" s="66" t="s">
        <v>242</v>
      </c>
      <c r="C23" s="87"/>
      <c r="D23" s="87"/>
      <c r="E23" s="87"/>
      <c r="F23" s="92">
        <f>SUM(F16:F22)</f>
        <v>16044402</v>
      </c>
    </row>
    <row r="24" spans="1:7" x14ac:dyDescent="0.3">
      <c r="A24" s="87"/>
      <c r="B24" s="87" t="s">
        <v>246</v>
      </c>
      <c r="C24" s="87"/>
      <c r="D24" s="87"/>
      <c r="E24" s="87"/>
      <c r="F24" s="75">
        <f>F23+F13</f>
        <v>33689250</v>
      </c>
    </row>
    <row r="25" spans="1:7" x14ac:dyDescent="0.3">
      <c r="A25" s="87"/>
      <c r="B25" s="87" t="s">
        <v>247</v>
      </c>
      <c r="C25" s="87"/>
      <c r="D25" s="87"/>
      <c r="E25" s="87"/>
      <c r="F25" s="75">
        <f>F24*0.25</f>
        <v>8422312.5</v>
      </c>
    </row>
    <row r="26" spans="1:7" x14ac:dyDescent="0.3">
      <c r="A26" s="87"/>
      <c r="B26" s="93" t="s">
        <v>248</v>
      </c>
      <c r="C26" s="87"/>
      <c r="D26" s="87"/>
      <c r="E26" s="87"/>
      <c r="F26" s="92">
        <f>F24-F25</f>
        <v>25266937.5</v>
      </c>
    </row>
  </sheetData>
  <mergeCells count="3">
    <mergeCell ref="A3:F3"/>
    <mergeCell ref="A4:A7"/>
    <mergeCell ref="A8:A11"/>
  </mergeCells>
  <pageMargins left="0.7" right="0.7" top="0.75" bottom="0.75" header="0.3" footer="0.3"/>
  <pageSetup paperSize="9"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58"/>
  <sheetViews>
    <sheetView topLeftCell="A30" zoomScale="129" zoomScaleNormal="100" workbookViewId="0">
      <selection activeCell="I35" sqref="I35"/>
    </sheetView>
  </sheetViews>
  <sheetFormatPr defaultRowHeight="14.4" x14ac:dyDescent="0.3"/>
  <cols>
    <col min="1" max="1" width="8.88671875" style="59"/>
    <col min="2" max="2" width="35.6640625" customWidth="1"/>
    <col min="4" max="4" width="12.88671875" customWidth="1"/>
    <col min="6" max="6" width="15.88671875" customWidth="1"/>
    <col min="7" max="7" width="13.88671875" customWidth="1"/>
    <col min="8" max="8" width="13.33203125" customWidth="1"/>
    <col min="9" max="9" width="38" bestFit="1" customWidth="1"/>
    <col min="12" max="12" width="24.33203125" customWidth="1"/>
  </cols>
  <sheetData>
    <row r="1" spans="1:13" x14ac:dyDescent="0.3">
      <c r="F1" s="39"/>
      <c r="G1" s="39"/>
    </row>
    <row r="2" spans="1:13" ht="40.799999999999997" x14ac:dyDescent="0.3">
      <c r="A2" s="65" t="s">
        <v>222</v>
      </c>
      <c r="B2" s="66" t="s">
        <v>223</v>
      </c>
      <c r="C2" s="66" t="s">
        <v>224</v>
      </c>
      <c r="D2" s="67" t="s">
        <v>225</v>
      </c>
      <c r="E2" s="67" t="s">
        <v>226</v>
      </c>
      <c r="F2" s="68" t="s">
        <v>227</v>
      </c>
    </row>
    <row r="3" spans="1:13" x14ac:dyDescent="0.3">
      <c r="A3" s="377" t="s">
        <v>258</v>
      </c>
      <c r="B3" s="378"/>
      <c r="C3" s="378"/>
      <c r="D3" s="378"/>
      <c r="E3" s="378"/>
      <c r="F3" s="379"/>
      <c r="G3" s="1"/>
      <c r="H3" s="1"/>
      <c r="I3" s="1"/>
    </row>
    <row r="4" spans="1:13" x14ac:dyDescent="0.3">
      <c r="A4" s="369">
        <v>1</v>
      </c>
      <c r="B4" s="69" t="s">
        <v>259</v>
      </c>
      <c r="C4" s="70">
        <v>11</v>
      </c>
      <c r="D4" s="71"/>
      <c r="E4" s="71"/>
      <c r="F4" s="72">
        <f>SUM(F5:F7)*C4</f>
        <v>3567960</v>
      </c>
      <c r="G4" s="41"/>
      <c r="L4" t="s">
        <v>213</v>
      </c>
      <c r="M4" s="40">
        <v>4449</v>
      </c>
    </row>
    <row r="5" spans="1:13" x14ac:dyDescent="0.3">
      <c r="A5" s="370"/>
      <c r="B5" s="73" t="s">
        <v>229</v>
      </c>
      <c r="C5" s="74">
        <v>1</v>
      </c>
      <c r="D5" s="75">
        <v>13349</v>
      </c>
      <c r="E5" s="75">
        <f>D5*C5</f>
        <v>13349</v>
      </c>
      <c r="F5" s="75">
        <f t="shared" ref="F5:F21" si="0">E5*12</f>
        <v>160188</v>
      </c>
      <c r="G5" s="41"/>
      <c r="L5" t="s">
        <v>214</v>
      </c>
      <c r="M5" s="40">
        <v>7349</v>
      </c>
    </row>
    <row r="6" spans="1:13" x14ac:dyDescent="0.3">
      <c r="A6" s="370"/>
      <c r="B6" s="76" t="s">
        <v>230</v>
      </c>
      <c r="C6" s="74">
        <v>12</v>
      </c>
      <c r="D6" s="77">
        <v>849</v>
      </c>
      <c r="E6" s="75">
        <f>D6*C6</f>
        <v>10188</v>
      </c>
      <c r="F6" s="75">
        <f t="shared" si="0"/>
        <v>122256</v>
      </c>
      <c r="G6" s="41"/>
      <c r="L6" t="s">
        <v>215</v>
      </c>
      <c r="M6">
        <v>13349</v>
      </c>
    </row>
    <row r="7" spans="1:13" x14ac:dyDescent="0.3">
      <c r="A7" s="371"/>
      <c r="B7" s="78" t="s">
        <v>231</v>
      </c>
      <c r="C7" s="74">
        <v>7</v>
      </c>
      <c r="D7" s="79">
        <v>499</v>
      </c>
      <c r="E7" s="75">
        <f>D7*C7</f>
        <v>3493</v>
      </c>
      <c r="F7" s="75">
        <f t="shared" si="0"/>
        <v>41916</v>
      </c>
      <c r="G7" s="41"/>
      <c r="L7" t="s">
        <v>216</v>
      </c>
      <c r="M7">
        <v>19949</v>
      </c>
    </row>
    <row r="8" spans="1:13" x14ac:dyDescent="0.3">
      <c r="A8" s="381">
        <v>2</v>
      </c>
      <c r="B8" s="69" t="s">
        <v>249</v>
      </c>
      <c r="C8" s="80">
        <v>12</v>
      </c>
      <c r="D8" s="71"/>
      <c r="E8" s="71"/>
      <c r="F8" s="72">
        <f>SUM(F9:F11)*C8</f>
        <v>7906608</v>
      </c>
      <c r="G8" s="41"/>
      <c r="L8" t="s">
        <v>217</v>
      </c>
      <c r="M8">
        <v>25549</v>
      </c>
    </row>
    <row r="9" spans="1:13" x14ac:dyDescent="0.3">
      <c r="A9" s="382"/>
      <c r="B9" s="73" t="s">
        <v>234</v>
      </c>
      <c r="C9" s="74">
        <v>1</v>
      </c>
      <c r="D9" s="75">
        <v>25549</v>
      </c>
      <c r="E9" s="75">
        <f>D9*C9</f>
        <v>25549</v>
      </c>
      <c r="F9" s="75">
        <f t="shared" si="0"/>
        <v>306588</v>
      </c>
      <c r="G9" s="41"/>
      <c r="L9" t="s">
        <v>218</v>
      </c>
      <c r="M9">
        <v>49649</v>
      </c>
    </row>
    <row r="10" spans="1:13" x14ac:dyDescent="0.3">
      <c r="A10" s="382"/>
      <c r="B10" s="76" t="s">
        <v>230</v>
      </c>
      <c r="C10" s="74">
        <v>24</v>
      </c>
      <c r="D10" s="77">
        <v>849</v>
      </c>
      <c r="E10" s="75">
        <f>D10*C10</f>
        <v>20376</v>
      </c>
      <c r="F10" s="75">
        <f t="shared" si="0"/>
        <v>244512</v>
      </c>
      <c r="G10" s="41"/>
    </row>
    <row r="11" spans="1:13" x14ac:dyDescent="0.3">
      <c r="A11" s="383"/>
      <c r="B11" s="78" t="s">
        <v>232</v>
      </c>
      <c r="C11" s="74">
        <v>18</v>
      </c>
      <c r="D11" s="79">
        <v>499</v>
      </c>
      <c r="E11" s="75">
        <f>D11*C11</f>
        <v>8982</v>
      </c>
      <c r="F11" s="75">
        <f t="shared" si="0"/>
        <v>107784</v>
      </c>
      <c r="G11" s="41"/>
      <c r="L11" t="s">
        <v>220</v>
      </c>
      <c r="M11">
        <v>2110</v>
      </c>
    </row>
    <row r="12" spans="1:13" x14ac:dyDescent="0.3">
      <c r="A12" s="88">
        <v>3</v>
      </c>
      <c r="B12" s="89" t="s">
        <v>260</v>
      </c>
      <c r="C12" s="74">
        <v>20</v>
      </c>
      <c r="D12" s="79">
        <v>499</v>
      </c>
      <c r="E12" s="75">
        <f>D12*C12</f>
        <v>9980</v>
      </c>
      <c r="F12" s="75">
        <f t="shared" si="0"/>
        <v>119760</v>
      </c>
      <c r="G12" s="41"/>
    </row>
    <row r="13" spans="1:13" x14ac:dyDescent="0.3">
      <c r="A13" s="87"/>
      <c r="B13" s="66" t="s">
        <v>240</v>
      </c>
      <c r="C13" s="87"/>
      <c r="D13" s="87"/>
      <c r="E13" s="87"/>
      <c r="F13" s="92">
        <f>SUM(F12,F8,F4)</f>
        <v>11594328</v>
      </c>
      <c r="G13" s="41"/>
      <c r="L13" t="s">
        <v>219</v>
      </c>
      <c r="M13">
        <v>849</v>
      </c>
    </row>
    <row r="14" spans="1:13" x14ac:dyDescent="0.3">
      <c r="A14" s="81"/>
      <c r="B14" s="89"/>
      <c r="C14" s="74"/>
      <c r="D14" s="79"/>
      <c r="E14" s="75"/>
      <c r="F14" s="75"/>
      <c r="G14" s="41"/>
      <c r="L14" t="s">
        <v>221</v>
      </c>
      <c r="M14" s="42">
        <v>499</v>
      </c>
    </row>
    <row r="15" spans="1:13" x14ac:dyDescent="0.3">
      <c r="A15" s="81"/>
      <c r="B15" s="90" t="s">
        <v>241</v>
      </c>
      <c r="C15" s="74"/>
      <c r="D15" s="79"/>
      <c r="E15" s="75"/>
      <c r="F15" s="75"/>
      <c r="G15" s="41"/>
    </row>
    <row r="16" spans="1:13" x14ac:dyDescent="0.3">
      <c r="A16" s="81">
        <v>1</v>
      </c>
      <c r="B16" s="82" t="s">
        <v>237</v>
      </c>
      <c r="C16" s="74">
        <f>SUM(C8,C4)</f>
        <v>23</v>
      </c>
      <c r="D16" s="79">
        <v>1850</v>
      </c>
      <c r="E16" s="75">
        <f t="shared" ref="E16:E21" si="1">D16*C16</f>
        <v>42550</v>
      </c>
      <c r="F16" s="75">
        <f>E16*12</f>
        <v>510600</v>
      </c>
      <c r="G16" s="41"/>
    </row>
    <row r="17" spans="1:9" x14ac:dyDescent="0.3">
      <c r="A17" s="81">
        <v>2</v>
      </c>
      <c r="B17" s="82" t="s">
        <v>238</v>
      </c>
      <c r="C17" s="74">
        <f>C16</f>
        <v>23</v>
      </c>
      <c r="D17" s="79">
        <v>4560</v>
      </c>
      <c r="E17" s="75">
        <f t="shared" si="1"/>
        <v>104880</v>
      </c>
      <c r="F17" s="75">
        <f>E17*12</f>
        <v>1258560</v>
      </c>
      <c r="G17" s="41"/>
    </row>
    <row r="18" spans="1:9" x14ac:dyDescent="0.3">
      <c r="A18" s="83">
        <v>3</v>
      </c>
      <c r="B18" s="84" t="s">
        <v>239</v>
      </c>
      <c r="C18" s="74">
        <v>35</v>
      </c>
      <c r="D18" s="79">
        <v>22200</v>
      </c>
      <c r="E18" s="75">
        <f t="shared" si="1"/>
        <v>777000</v>
      </c>
      <c r="F18" s="75">
        <f t="shared" si="0"/>
        <v>9324000</v>
      </c>
      <c r="G18" s="41"/>
    </row>
    <row r="19" spans="1:9" x14ac:dyDescent="0.3">
      <c r="A19" s="83">
        <v>4</v>
      </c>
      <c r="B19" s="84" t="s">
        <v>243</v>
      </c>
      <c r="C19" s="74">
        <f>C16</f>
        <v>23</v>
      </c>
      <c r="D19" s="79">
        <v>1340</v>
      </c>
      <c r="E19" s="75">
        <f t="shared" si="1"/>
        <v>30820</v>
      </c>
      <c r="F19" s="75">
        <f t="shared" si="0"/>
        <v>369840</v>
      </c>
      <c r="G19" s="41"/>
    </row>
    <row r="20" spans="1:9" x14ac:dyDescent="0.3">
      <c r="A20" s="83">
        <v>5</v>
      </c>
      <c r="B20" s="84" t="s">
        <v>244</v>
      </c>
      <c r="C20" s="74">
        <v>8</v>
      </c>
      <c r="D20" s="79">
        <v>13440</v>
      </c>
      <c r="E20" s="75">
        <f t="shared" si="1"/>
        <v>107520</v>
      </c>
      <c r="F20" s="75">
        <f t="shared" si="0"/>
        <v>1290240</v>
      </c>
      <c r="G20" s="41"/>
    </row>
    <row r="21" spans="1:9" x14ac:dyDescent="0.3">
      <c r="A21" s="83">
        <v>6</v>
      </c>
      <c r="B21" s="84" t="s">
        <v>245</v>
      </c>
      <c r="C21" s="74">
        <v>0</v>
      </c>
      <c r="D21" s="79">
        <v>5780</v>
      </c>
      <c r="E21" s="75">
        <f t="shared" si="1"/>
        <v>0</v>
      </c>
      <c r="F21" s="75">
        <f t="shared" si="0"/>
        <v>0</v>
      </c>
      <c r="G21" s="41"/>
    </row>
    <row r="22" spans="1:9" x14ac:dyDescent="0.3">
      <c r="A22" s="86">
        <v>7</v>
      </c>
      <c r="B22" s="68" t="s">
        <v>261</v>
      </c>
      <c r="C22" s="74">
        <v>1</v>
      </c>
      <c r="D22" s="75">
        <v>1</v>
      </c>
      <c r="E22" s="85">
        <v>1</v>
      </c>
      <c r="F22" s="75">
        <v>1249650</v>
      </c>
      <c r="G22" s="41"/>
    </row>
    <row r="23" spans="1:9" x14ac:dyDescent="0.3">
      <c r="A23" s="87"/>
      <c r="B23" s="66" t="s">
        <v>242</v>
      </c>
      <c r="C23" s="87"/>
      <c r="D23" s="87"/>
      <c r="E23" s="87"/>
      <c r="F23" s="92">
        <f>SUM(F16:F22)</f>
        <v>14002890</v>
      </c>
      <c r="G23" s="41"/>
    </row>
    <row r="24" spans="1:9" x14ac:dyDescent="0.3">
      <c r="A24" s="87"/>
      <c r="B24" s="87" t="s">
        <v>246</v>
      </c>
      <c r="C24" s="87"/>
      <c r="D24" s="87"/>
      <c r="E24" s="87"/>
      <c r="F24" s="75">
        <f>F23+F13</f>
        <v>25597218</v>
      </c>
      <c r="G24" s="41"/>
    </row>
    <row r="25" spans="1:9" x14ac:dyDescent="0.3">
      <c r="A25" s="87"/>
      <c r="B25" s="87" t="s">
        <v>247</v>
      </c>
      <c r="C25" s="87"/>
      <c r="D25" s="87"/>
      <c r="E25" s="87"/>
      <c r="F25" s="75">
        <f>F24*0.25</f>
        <v>6399304.5</v>
      </c>
      <c r="G25" s="41"/>
    </row>
    <row r="26" spans="1:9" x14ac:dyDescent="0.3">
      <c r="A26" s="87"/>
      <c r="B26" s="93" t="s">
        <v>248</v>
      </c>
      <c r="C26" s="87"/>
      <c r="D26" s="87"/>
      <c r="E26" s="87"/>
      <c r="F26" s="92">
        <f>F24-F25</f>
        <v>19197913.5</v>
      </c>
      <c r="G26" s="41"/>
    </row>
    <row r="27" spans="1:9" ht="15.6" x14ac:dyDescent="0.3">
      <c r="G27" s="41"/>
      <c r="H27" t="s">
        <v>255</v>
      </c>
      <c r="I27" s="94">
        <v>15111480</v>
      </c>
    </row>
    <row r="28" spans="1:9" x14ac:dyDescent="0.3">
      <c r="G28" s="41"/>
      <c r="H28" t="s">
        <v>256</v>
      </c>
      <c r="I28" s="95">
        <v>2644848</v>
      </c>
    </row>
    <row r="29" spans="1:9" ht="40.799999999999997" x14ac:dyDescent="0.3">
      <c r="A29" s="65" t="s">
        <v>222</v>
      </c>
      <c r="B29" s="66" t="s">
        <v>223</v>
      </c>
      <c r="C29" s="66" t="s">
        <v>224</v>
      </c>
      <c r="D29" s="67" t="s">
        <v>225</v>
      </c>
      <c r="E29" s="67" t="s">
        <v>226</v>
      </c>
      <c r="F29" s="68" t="s">
        <v>227</v>
      </c>
      <c r="G29" s="41"/>
      <c r="H29" t="s">
        <v>257</v>
      </c>
      <c r="I29" s="95">
        <v>6988430</v>
      </c>
    </row>
    <row r="30" spans="1:9" x14ac:dyDescent="0.3">
      <c r="A30" s="377" t="s">
        <v>258</v>
      </c>
      <c r="B30" s="378"/>
      <c r="C30" s="378"/>
      <c r="D30" s="378"/>
      <c r="E30" s="378"/>
      <c r="F30" s="379"/>
    </row>
    <row r="31" spans="1:9" x14ac:dyDescent="0.3">
      <c r="A31" s="369">
        <v>1</v>
      </c>
      <c r="B31" s="69" t="s">
        <v>259</v>
      </c>
      <c r="C31" s="70">
        <v>11</v>
      </c>
      <c r="D31" s="71"/>
      <c r="E31" s="71"/>
      <c r="F31" s="72">
        <f>SUM(F32:F34)*C31</f>
        <v>3436224</v>
      </c>
      <c r="G31">
        <v>44</v>
      </c>
      <c r="H31">
        <v>276</v>
      </c>
      <c r="I31" s="96">
        <f>SUM(I27:I29)</f>
        <v>24744758</v>
      </c>
    </row>
    <row r="32" spans="1:9" x14ac:dyDescent="0.3">
      <c r="A32" s="370"/>
      <c r="B32" s="73" t="s">
        <v>229</v>
      </c>
      <c r="C32" s="74">
        <v>1</v>
      </c>
      <c r="D32" s="75">
        <v>13349</v>
      </c>
      <c r="E32" s="75">
        <f>D32*C32</f>
        <v>13349</v>
      </c>
      <c r="F32" s="75">
        <f t="shared" ref="F32:F51" si="2">E32*12</f>
        <v>160188</v>
      </c>
      <c r="G32">
        <v>64</v>
      </c>
      <c r="H32">
        <v>256</v>
      </c>
    </row>
    <row r="33" spans="1:8" x14ac:dyDescent="0.3">
      <c r="A33" s="370"/>
      <c r="B33" s="76" t="s">
        <v>230</v>
      </c>
      <c r="C33" s="74">
        <v>12</v>
      </c>
      <c r="D33" s="77">
        <v>849</v>
      </c>
      <c r="E33" s="75">
        <f>D33*C33</f>
        <v>10188</v>
      </c>
      <c r="F33" s="75">
        <f t="shared" si="2"/>
        <v>122256</v>
      </c>
      <c r="G33">
        <v>32</v>
      </c>
      <c r="H33">
        <v>128</v>
      </c>
    </row>
    <row r="34" spans="1:8" x14ac:dyDescent="0.3">
      <c r="A34" s="371"/>
      <c r="B34" s="78" t="s">
        <v>231</v>
      </c>
      <c r="C34" s="74">
        <v>5</v>
      </c>
      <c r="D34" s="79">
        <v>499</v>
      </c>
      <c r="E34" s="75">
        <f>D34*C34</f>
        <v>2495</v>
      </c>
      <c r="F34" s="75">
        <f t="shared" si="2"/>
        <v>29940</v>
      </c>
    </row>
    <row r="35" spans="1:8" x14ac:dyDescent="0.3">
      <c r="A35" s="381">
        <v>2</v>
      </c>
      <c r="B35" s="69" t="s">
        <v>290</v>
      </c>
      <c r="C35" s="70">
        <v>8</v>
      </c>
      <c r="D35" s="71"/>
      <c r="E35" s="71"/>
      <c r="F35" s="72">
        <f>SUM(F36:F38)*C35</f>
        <v>4504608</v>
      </c>
      <c r="G35">
        <f>SUM(G31:G33)/2</f>
        <v>70</v>
      </c>
      <c r="H35">
        <f>SUM(H31:H33)</f>
        <v>660</v>
      </c>
    </row>
    <row r="36" spans="1:8" x14ac:dyDescent="0.3">
      <c r="A36" s="382"/>
      <c r="B36" s="73" t="s">
        <v>234</v>
      </c>
      <c r="C36" s="74">
        <v>1</v>
      </c>
      <c r="D36" s="75">
        <v>25549</v>
      </c>
      <c r="E36" s="75">
        <f>D36*C36</f>
        <v>25549</v>
      </c>
      <c r="F36" s="75">
        <f t="shared" si="2"/>
        <v>306588</v>
      </c>
    </row>
    <row r="37" spans="1:8" x14ac:dyDescent="0.3">
      <c r="A37" s="382"/>
      <c r="B37" s="76" t="s">
        <v>230</v>
      </c>
      <c r="C37" s="74">
        <v>24</v>
      </c>
      <c r="D37" s="77">
        <v>849</v>
      </c>
      <c r="E37" s="75">
        <f t="shared" ref="E37:E43" si="3">D37*C37</f>
        <v>20376</v>
      </c>
      <c r="F37" s="75">
        <f t="shared" si="2"/>
        <v>244512</v>
      </c>
    </row>
    <row r="38" spans="1:8" x14ac:dyDescent="0.3">
      <c r="A38" s="383"/>
      <c r="B38" s="78" t="s">
        <v>232</v>
      </c>
      <c r="C38" s="74">
        <v>2</v>
      </c>
      <c r="D38" s="79">
        <v>499</v>
      </c>
      <c r="E38" s="75">
        <f t="shared" si="3"/>
        <v>998</v>
      </c>
      <c r="F38" s="75">
        <f t="shared" si="2"/>
        <v>11976</v>
      </c>
    </row>
    <row r="39" spans="1:8" x14ac:dyDescent="0.3">
      <c r="A39" s="381">
        <v>3</v>
      </c>
      <c r="B39" s="69" t="s">
        <v>291</v>
      </c>
      <c r="C39" s="70">
        <v>4</v>
      </c>
      <c r="D39" s="71"/>
      <c r="E39" s="71"/>
      <c r="F39" s="72">
        <f>SUM(F40:F42)*C39</f>
        <v>2252304</v>
      </c>
    </row>
    <row r="40" spans="1:8" x14ac:dyDescent="0.3">
      <c r="A40" s="382"/>
      <c r="B40" s="73" t="s">
        <v>234</v>
      </c>
      <c r="C40" s="74">
        <v>1</v>
      </c>
      <c r="D40" s="75">
        <v>25549</v>
      </c>
      <c r="E40" s="75">
        <f>D40*C40</f>
        <v>25549</v>
      </c>
      <c r="F40" s="75">
        <f>E40*12</f>
        <v>306588</v>
      </c>
    </row>
    <row r="41" spans="1:8" x14ac:dyDescent="0.3">
      <c r="A41" s="382"/>
      <c r="B41" s="76" t="s">
        <v>230</v>
      </c>
      <c r="C41" s="74">
        <v>24</v>
      </c>
      <c r="D41" s="77">
        <v>849</v>
      </c>
      <c r="E41" s="75">
        <f>D41*C41</f>
        <v>20376</v>
      </c>
      <c r="F41" s="75">
        <f>E41*12</f>
        <v>244512</v>
      </c>
    </row>
    <row r="42" spans="1:8" x14ac:dyDescent="0.3">
      <c r="A42" s="383"/>
      <c r="B42" s="78" t="s">
        <v>232</v>
      </c>
      <c r="C42" s="74">
        <v>2</v>
      </c>
      <c r="D42" s="79">
        <v>499</v>
      </c>
      <c r="E42" s="75">
        <f>D42*C42</f>
        <v>998</v>
      </c>
      <c r="F42" s="75">
        <f>E42*12</f>
        <v>11976</v>
      </c>
    </row>
    <row r="43" spans="1:8" x14ac:dyDescent="0.3">
      <c r="A43" s="88">
        <v>4</v>
      </c>
      <c r="B43" s="89" t="s">
        <v>260</v>
      </c>
      <c r="C43" s="74">
        <v>20</v>
      </c>
      <c r="D43" s="79">
        <v>499</v>
      </c>
      <c r="E43" s="75">
        <f t="shared" si="3"/>
        <v>9980</v>
      </c>
      <c r="F43" s="75">
        <f t="shared" si="2"/>
        <v>119760</v>
      </c>
    </row>
    <row r="44" spans="1:8" x14ac:dyDescent="0.3">
      <c r="A44" s="87"/>
      <c r="B44" s="66" t="s">
        <v>240</v>
      </c>
      <c r="C44" s="87"/>
      <c r="D44" s="87"/>
      <c r="E44" s="87"/>
      <c r="F44" s="92">
        <f>SUM(F43,F39,F35,F31)</f>
        <v>10312896</v>
      </c>
    </row>
    <row r="45" spans="1:8" x14ac:dyDescent="0.3">
      <c r="A45" s="81"/>
      <c r="B45" s="89"/>
      <c r="C45" s="74"/>
      <c r="D45" s="79"/>
      <c r="E45" s="75"/>
      <c r="F45" s="75"/>
    </row>
    <row r="46" spans="1:8" x14ac:dyDescent="0.3">
      <c r="A46" s="81"/>
      <c r="B46" s="90" t="s">
        <v>241</v>
      </c>
      <c r="C46" s="74"/>
      <c r="D46" s="79"/>
      <c r="E46" s="75"/>
      <c r="F46" s="75"/>
    </row>
    <row r="47" spans="1:8" x14ac:dyDescent="0.3">
      <c r="A47" s="81">
        <v>1</v>
      </c>
      <c r="B47" s="82" t="s">
        <v>237</v>
      </c>
      <c r="C47" s="74">
        <f>SUM(C39,C35,C31)</f>
        <v>23</v>
      </c>
      <c r="D47" s="79">
        <v>2083</v>
      </c>
      <c r="E47" s="75">
        <f>D47*C47</f>
        <v>47909</v>
      </c>
      <c r="F47" s="75">
        <f>E47*12</f>
        <v>574908</v>
      </c>
      <c r="H47">
        <v>4215870</v>
      </c>
    </row>
    <row r="48" spans="1:8" x14ac:dyDescent="0.3">
      <c r="A48" s="81">
        <v>2</v>
      </c>
      <c r="B48" s="82" t="s">
        <v>267</v>
      </c>
      <c r="C48" s="74">
        <f>C47</f>
        <v>23</v>
      </c>
      <c r="D48" s="79">
        <v>4560</v>
      </c>
      <c r="E48" s="75">
        <f>D48*C48</f>
        <v>104880</v>
      </c>
      <c r="F48" s="75">
        <f>E48*12</f>
        <v>1258560</v>
      </c>
      <c r="H48">
        <v>8965053</v>
      </c>
    </row>
    <row r="49" spans="1:9" x14ac:dyDescent="0.3">
      <c r="A49" s="83">
        <v>3</v>
      </c>
      <c r="B49" s="84" t="s">
        <v>239</v>
      </c>
      <c r="C49" s="74">
        <v>0</v>
      </c>
      <c r="D49" s="79">
        <v>22200</v>
      </c>
      <c r="E49" s="75">
        <f>D49*C49</f>
        <v>0</v>
      </c>
      <c r="F49" s="75">
        <f t="shared" si="2"/>
        <v>0</v>
      </c>
      <c r="H49">
        <f>H47+H48</f>
        <v>13180923</v>
      </c>
    </row>
    <row r="50" spans="1:9" x14ac:dyDescent="0.3">
      <c r="A50" s="83">
        <v>4</v>
      </c>
      <c r="B50" s="84" t="s">
        <v>287</v>
      </c>
      <c r="C50" s="74">
        <v>23</v>
      </c>
      <c r="D50" s="79">
        <v>1340</v>
      </c>
      <c r="E50" s="75">
        <f>D50*C50</f>
        <v>30820</v>
      </c>
      <c r="F50" s="75">
        <f t="shared" si="2"/>
        <v>369840</v>
      </c>
      <c r="H50">
        <f>H49/1.16</f>
        <v>11362864.655172415</v>
      </c>
    </row>
    <row r="51" spans="1:9" x14ac:dyDescent="0.3">
      <c r="A51" s="83">
        <v>5</v>
      </c>
      <c r="B51" s="84" t="s">
        <v>244</v>
      </c>
      <c r="C51" s="74">
        <v>8</v>
      </c>
      <c r="D51" s="79">
        <v>13440</v>
      </c>
      <c r="E51" s="75">
        <f>D51*C51</f>
        <v>107520</v>
      </c>
      <c r="F51" s="75">
        <f t="shared" si="2"/>
        <v>1290240</v>
      </c>
      <c r="H51">
        <f>H50*1.18</f>
        <v>13408180.293103449</v>
      </c>
    </row>
    <row r="52" spans="1:9" x14ac:dyDescent="0.3">
      <c r="A52" s="86">
        <v>6</v>
      </c>
      <c r="B52" s="68" t="s">
        <v>292</v>
      </c>
      <c r="C52" s="74">
        <v>1</v>
      </c>
      <c r="D52" s="75">
        <v>1</v>
      </c>
      <c r="E52" s="85">
        <v>1</v>
      </c>
      <c r="F52" s="75">
        <v>750000</v>
      </c>
    </row>
    <row r="53" spans="1:9" x14ac:dyDescent="0.3">
      <c r="A53" s="87"/>
      <c r="B53" s="66" t="s">
        <v>242</v>
      </c>
      <c r="C53" s="87"/>
      <c r="D53" s="87"/>
      <c r="E53" s="87"/>
      <c r="F53" s="92">
        <f>SUM(F47:F52)</f>
        <v>4243548</v>
      </c>
    </row>
    <row r="54" spans="1:9" x14ac:dyDescent="0.3">
      <c r="A54" s="87"/>
      <c r="B54" s="87" t="s">
        <v>246</v>
      </c>
      <c r="C54" s="87"/>
      <c r="D54" s="87"/>
      <c r="E54" s="87"/>
      <c r="F54" s="75">
        <f>F53+F44</f>
        <v>14556444</v>
      </c>
    </row>
    <row r="55" spans="1:9" x14ac:dyDescent="0.3">
      <c r="A55" s="87"/>
      <c r="B55" s="87" t="s">
        <v>247</v>
      </c>
      <c r="C55" s="87"/>
      <c r="D55" s="87"/>
      <c r="E55" s="87"/>
      <c r="F55" s="75">
        <f>F54*0.25</f>
        <v>3639111</v>
      </c>
    </row>
    <row r="56" spans="1:9" x14ac:dyDescent="0.3">
      <c r="A56" s="87"/>
      <c r="B56" s="93" t="s">
        <v>248</v>
      </c>
      <c r="C56" s="87"/>
      <c r="D56" s="87"/>
      <c r="E56" s="87"/>
      <c r="F56" s="92">
        <f>F54-F55</f>
        <v>10917333</v>
      </c>
      <c r="H56">
        <v>11420000</v>
      </c>
      <c r="I56">
        <f>H56/1.18</f>
        <v>9677966.1016949154</v>
      </c>
    </row>
    <row r="58" spans="1:9" x14ac:dyDescent="0.3">
      <c r="H58">
        <v>459000</v>
      </c>
      <c r="I58">
        <f>H58*1.18</f>
        <v>541620</v>
      </c>
    </row>
  </sheetData>
  <mergeCells count="7">
    <mergeCell ref="A35:A38"/>
    <mergeCell ref="A39:A42"/>
    <mergeCell ref="A3:F3"/>
    <mergeCell ref="A4:A7"/>
    <mergeCell ref="A8:A11"/>
    <mergeCell ref="A30:F30"/>
    <mergeCell ref="A31:A34"/>
  </mergeCells>
  <pageMargins left="0.7" right="0.7" top="0.75" bottom="0.75" header="0.3" footer="0.3"/>
  <pageSetup paperSize="9"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60"/>
  <sheetViews>
    <sheetView topLeftCell="A93" zoomScaleNormal="100" workbookViewId="0">
      <selection activeCell="C105" sqref="C105"/>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2" max="12" width="24.33203125"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268</v>
      </c>
      <c r="B3" s="378"/>
      <c r="C3" s="378"/>
      <c r="D3" s="378"/>
      <c r="E3" s="378"/>
      <c r="F3" s="379"/>
      <c r="G3" s="1"/>
      <c r="H3" s="1"/>
      <c r="I3" s="1"/>
    </row>
    <row r="4" spans="1:13" x14ac:dyDescent="0.3">
      <c r="A4" s="369">
        <v>1</v>
      </c>
      <c r="B4" s="69" t="s">
        <v>321</v>
      </c>
      <c r="C4" s="70">
        <v>1</v>
      </c>
      <c r="D4" s="71"/>
      <c r="E4" s="71"/>
      <c r="F4" s="72">
        <f>SUM(F5:F7)*C4</f>
        <v>1843608</v>
      </c>
      <c r="G4" s="41"/>
      <c r="L4" t="s">
        <v>213</v>
      </c>
      <c r="M4" s="40">
        <v>4449</v>
      </c>
    </row>
    <row r="5" spans="1:13" x14ac:dyDescent="0.3">
      <c r="A5" s="370"/>
      <c r="B5" s="73" t="str">
        <f>L9</f>
        <v>16 vCPU 16 GB 480 GB Storage</v>
      </c>
      <c r="C5" s="74">
        <v>2</v>
      </c>
      <c r="D5" s="75">
        <f>M9</f>
        <v>49649</v>
      </c>
      <c r="E5" s="75">
        <f>D5*C5</f>
        <v>99298</v>
      </c>
      <c r="F5" s="75">
        <f>E5*12</f>
        <v>1191576</v>
      </c>
      <c r="G5" s="41"/>
      <c r="L5" t="s">
        <v>214</v>
      </c>
      <c r="M5" s="40">
        <v>7349</v>
      </c>
    </row>
    <row r="6" spans="1:13" x14ac:dyDescent="0.3">
      <c r="A6" s="370"/>
      <c r="B6" s="76" t="s">
        <v>230</v>
      </c>
      <c r="C6" s="74">
        <v>64</v>
      </c>
      <c r="D6" s="77">
        <v>849</v>
      </c>
      <c r="E6" s="75">
        <f>D6*C6</f>
        <v>54336</v>
      </c>
      <c r="F6" s="75">
        <f>E6*12</f>
        <v>652032</v>
      </c>
      <c r="G6" s="41"/>
      <c r="L6" t="s">
        <v>215</v>
      </c>
      <c r="M6">
        <v>13349</v>
      </c>
    </row>
    <row r="7" spans="1:13" x14ac:dyDescent="0.3">
      <c r="A7" s="371"/>
      <c r="B7" s="78" t="s">
        <v>231</v>
      </c>
      <c r="C7" s="74">
        <v>0</v>
      </c>
      <c r="D7" s="79">
        <v>499</v>
      </c>
      <c r="E7" s="75">
        <f>D7*C7</f>
        <v>0</v>
      </c>
      <c r="F7" s="75">
        <f>E7*12</f>
        <v>0</v>
      </c>
      <c r="G7" s="41"/>
      <c r="L7" t="s">
        <v>216</v>
      </c>
      <c r="M7">
        <v>19949</v>
      </c>
    </row>
    <row r="8" spans="1:13" x14ac:dyDescent="0.3">
      <c r="A8" s="381">
        <v>2</v>
      </c>
      <c r="B8" s="69" t="s">
        <v>322</v>
      </c>
      <c r="C8" s="80">
        <v>1</v>
      </c>
      <c r="D8" s="71"/>
      <c r="E8" s="71"/>
      <c r="F8" s="72">
        <f>SUM(F9:F11)*C8</f>
        <v>921804</v>
      </c>
      <c r="G8" s="41"/>
      <c r="L8" t="s">
        <v>217</v>
      </c>
      <c r="M8">
        <v>25549</v>
      </c>
    </row>
    <row r="9" spans="1:13" x14ac:dyDescent="0.3">
      <c r="A9" s="382"/>
      <c r="B9" s="73" t="str">
        <f>B5</f>
        <v>16 vCPU 16 GB 480 GB Storage</v>
      </c>
      <c r="C9" s="74">
        <v>1</v>
      </c>
      <c r="D9" s="75">
        <f>D5</f>
        <v>49649</v>
      </c>
      <c r="E9" s="75">
        <f>D9*C9</f>
        <v>49649</v>
      </c>
      <c r="F9" s="75">
        <f>E9*12</f>
        <v>595788</v>
      </c>
      <c r="G9" s="41"/>
      <c r="L9" t="s">
        <v>218</v>
      </c>
      <c r="M9">
        <v>49649</v>
      </c>
    </row>
    <row r="10" spans="1:13" x14ac:dyDescent="0.3">
      <c r="A10" s="382"/>
      <c r="B10" s="76" t="s">
        <v>230</v>
      </c>
      <c r="C10" s="74">
        <v>32</v>
      </c>
      <c r="D10" s="77">
        <v>849</v>
      </c>
      <c r="E10" s="75">
        <f>D10*C10</f>
        <v>27168</v>
      </c>
      <c r="F10" s="75">
        <f>E10*12</f>
        <v>326016</v>
      </c>
      <c r="G10" s="41"/>
    </row>
    <row r="11" spans="1:13" x14ac:dyDescent="0.3">
      <c r="A11" s="383"/>
      <c r="B11" s="78" t="s">
        <v>232</v>
      </c>
      <c r="C11" s="74">
        <v>0</v>
      </c>
      <c r="D11" s="79">
        <v>499</v>
      </c>
      <c r="E11" s="75">
        <f>D11*C11</f>
        <v>0</v>
      </c>
      <c r="F11" s="75">
        <f>E11*12</f>
        <v>0</v>
      </c>
      <c r="G11" s="41"/>
      <c r="H11" s="43"/>
      <c r="I11" s="44" t="s">
        <v>304</v>
      </c>
      <c r="J11" s="44" t="s">
        <v>305</v>
      </c>
      <c r="L11" t="s">
        <v>220</v>
      </c>
      <c r="M11">
        <v>2110</v>
      </c>
    </row>
    <row r="12" spans="1:13" x14ac:dyDescent="0.3">
      <c r="A12" s="381">
        <v>3</v>
      </c>
      <c r="B12" s="69" t="s">
        <v>323</v>
      </c>
      <c r="C12" s="80">
        <v>9</v>
      </c>
      <c r="D12" s="71"/>
      <c r="E12" s="71"/>
      <c r="F12" s="72">
        <f>SUM(F13:F15)*C12</f>
        <v>5175468</v>
      </c>
      <c r="G12" s="41"/>
      <c r="H12" s="43" t="s">
        <v>263</v>
      </c>
      <c r="I12" s="118">
        <f>I30+744000</f>
        <v>25488758</v>
      </c>
      <c r="J12" s="119">
        <f>E38</f>
        <v>19993986</v>
      </c>
      <c r="L12" t="s">
        <v>219</v>
      </c>
      <c r="M12">
        <v>849</v>
      </c>
    </row>
    <row r="13" spans="1:13" x14ac:dyDescent="0.3">
      <c r="A13" s="382"/>
      <c r="B13" s="73" t="s">
        <v>234</v>
      </c>
      <c r="C13" s="74">
        <v>1</v>
      </c>
      <c r="D13" s="75">
        <v>25549</v>
      </c>
      <c r="E13" s="75">
        <f>D13*C13</f>
        <v>25549</v>
      </c>
      <c r="F13" s="75">
        <f>E13*12</f>
        <v>306588</v>
      </c>
      <c r="G13" s="41"/>
      <c r="H13" s="43" t="s">
        <v>265</v>
      </c>
      <c r="I13" s="43">
        <v>9689988</v>
      </c>
      <c r="J13" s="120">
        <f>E39</f>
        <v>10917333</v>
      </c>
      <c r="K13">
        <v>9701553</v>
      </c>
      <c r="L13" t="s">
        <v>221</v>
      </c>
      <c r="M13" s="42">
        <v>499</v>
      </c>
    </row>
    <row r="14" spans="1:13" x14ac:dyDescent="0.3">
      <c r="A14" s="382"/>
      <c r="B14" s="76" t="s">
        <v>230</v>
      </c>
      <c r="C14" s="74">
        <v>24</v>
      </c>
      <c r="D14" s="77">
        <v>849</v>
      </c>
      <c r="E14" s="75">
        <f>D14*C14</f>
        <v>20376</v>
      </c>
      <c r="F14" s="75">
        <f>E14*12</f>
        <v>244512</v>
      </c>
      <c r="G14" s="41"/>
      <c r="H14" s="43" t="s">
        <v>266</v>
      </c>
      <c r="I14" s="43">
        <v>4232974</v>
      </c>
      <c r="J14" s="120">
        <f>E40</f>
        <v>5327640</v>
      </c>
      <c r="K14">
        <v>4215870</v>
      </c>
      <c r="L14">
        <v>21.89</v>
      </c>
    </row>
    <row r="15" spans="1:13" x14ac:dyDescent="0.3">
      <c r="A15" s="383"/>
      <c r="B15" s="78" t="s">
        <v>232</v>
      </c>
      <c r="C15" s="74">
        <v>4</v>
      </c>
      <c r="D15" s="79">
        <v>499</v>
      </c>
      <c r="E15" s="75">
        <f>D15*C15</f>
        <v>1996</v>
      </c>
      <c r="F15" s="75">
        <f>E15*12</f>
        <v>23952</v>
      </c>
      <c r="G15" s="41"/>
      <c r="H15" s="43"/>
      <c r="I15" s="43"/>
      <c r="J15" s="43"/>
      <c r="L15">
        <v>12.57</v>
      </c>
    </row>
    <row r="16" spans="1:13" x14ac:dyDescent="0.3">
      <c r="A16" s="381">
        <v>4</v>
      </c>
      <c r="B16" s="69" t="s">
        <v>235</v>
      </c>
      <c r="C16" s="80">
        <v>8</v>
      </c>
      <c r="D16" s="71"/>
      <c r="E16" s="71"/>
      <c r="F16" s="72">
        <f>SUM(F17:F19)*C16</f>
        <v>8870112</v>
      </c>
      <c r="G16" s="41"/>
      <c r="H16" s="43"/>
      <c r="I16" s="121">
        <f>SUM(I12:I14)</f>
        <v>39411720</v>
      </c>
      <c r="J16" s="121">
        <f>SUM(J12:J14)</f>
        <v>36238959</v>
      </c>
    </row>
    <row r="17" spans="1:9" x14ac:dyDescent="0.3">
      <c r="A17" s="382"/>
      <c r="B17" s="73" t="s">
        <v>236</v>
      </c>
      <c r="C17" s="74">
        <v>1</v>
      </c>
      <c r="D17" s="75">
        <v>49649</v>
      </c>
      <c r="E17" s="75">
        <f>D17*C17</f>
        <v>49649</v>
      </c>
      <c r="F17" s="75">
        <f>E17*12</f>
        <v>595788</v>
      </c>
      <c r="G17" s="41"/>
    </row>
    <row r="18" spans="1:9" x14ac:dyDescent="0.3">
      <c r="A18" s="382"/>
      <c r="B18" s="76" t="s">
        <v>230</v>
      </c>
      <c r="C18" s="74">
        <v>48</v>
      </c>
      <c r="D18" s="77">
        <v>849</v>
      </c>
      <c r="E18" s="75">
        <f>D18*C18</f>
        <v>40752</v>
      </c>
      <c r="F18" s="75">
        <f>E18*12</f>
        <v>489024</v>
      </c>
      <c r="G18" s="41"/>
      <c r="I18" t="s">
        <v>263</v>
      </c>
    </row>
    <row r="19" spans="1:9" x14ac:dyDescent="0.3">
      <c r="A19" s="383"/>
      <c r="B19" s="78" t="s">
        <v>232</v>
      </c>
      <c r="C19" s="74">
        <v>4</v>
      </c>
      <c r="D19" s="79">
        <v>499</v>
      </c>
      <c r="E19" s="75">
        <f>D19*C19</f>
        <v>1996</v>
      </c>
      <c r="F19" s="75">
        <f>E19*12</f>
        <v>23952</v>
      </c>
      <c r="G19" s="41"/>
      <c r="I19" t="s">
        <v>265</v>
      </c>
    </row>
    <row r="20" spans="1:9" x14ac:dyDescent="0.3">
      <c r="A20" s="88">
        <v>3</v>
      </c>
      <c r="B20" s="89" t="s">
        <v>260</v>
      </c>
      <c r="C20" s="74">
        <v>100</v>
      </c>
      <c r="D20" s="79">
        <v>499</v>
      </c>
      <c r="E20" s="75">
        <f>D20*C20</f>
        <v>49900</v>
      </c>
      <c r="F20" s="137">
        <f>E20*12</f>
        <v>598800</v>
      </c>
      <c r="G20" s="41"/>
      <c r="I20" t="s">
        <v>266</v>
      </c>
    </row>
    <row r="21" spans="1:9" x14ac:dyDescent="0.3">
      <c r="A21" s="87"/>
      <c r="B21" s="66" t="s">
        <v>240</v>
      </c>
      <c r="C21" s="87"/>
      <c r="D21" s="87"/>
      <c r="E21" s="87"/>
      <c r="F21" s="92">
        <f>SUM(F16,F12,F8,F4,F20)</f>
        <v>17409792</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f>SUM(C16,C12,C8,C4)</f>
        <v>19</v>
      </c>
      <c r="D24" s="79">
        <v>2083</v>
      </c>
      <c r="E24" s="75">
        <f>D24*C24</f>
        <v>39577</v>
      </c>
      <c r="F24" s="75">
        <f>E24*12</f>
        <v>474924</v>
      </c>
      <c r="G24" s="41"/>
    </row>
    <row r="25" spans="1:9" x14ac:dyDescent="0.3">
      <c r="A25" s="81">
        <v>2</v>
      </c>
      <c r="B25" s="82" t="s">
        <v>267</v>
      </c>
      <c r="C25" s="74">
        <f>C24</f>
        <v>19</v>
      </c>
      <c r="D25" s="79">
        <v>4560</v>
      </c>
      <c r="E25" s="75">
        <f>D25*C25</f>
        <v>86640</v>
      </c>
      <c r="F25" s="75">
        <f>E25*12</f>
        <v>1039680</v>
      </c>
      <c r="G25" s="41"/>
    </row>
    <row r="26" spans="1:9" ht="15.6" x14ac:dyDescent="0.3">
      <c r="A26" s="83">
        <v>3</v>
      </c>
      <c r="B26" s="84" t="s">
        <v>239</v>
      </c>
      <c r="C26" s="74">
        <f>C25</f>
        <v>19</v>
      </c>
      <c r="D26" s="79">
        <v>22200</v>
      </c>
      <c r="E26" s="75">
        <f>D26*C26</f>
        <v>421800</v>
      </c>
      <c r="F26" s="75">
        <f>E26*12</f>
        <v>5061600</v>
      </c>
      <c r="G26" s="41"/>
      <c r="H26" t="s">
        <v>255</v>
      </c>
      <c r="I26" s="94">
        <v>15111480</v>
      </c>
    </row>
    <row r="27" spans="1:9" x14ac:dyDescent="0.3">
      <c r="A27" s="83">
        <v>4</v>
      </c>
      <c r="B27" s="84" t="s">
        <v>287</v>
      </c>
      <c r="C27" s="74">
        <v>22</v>
      </c>
      <c r="D27" s="79">
        <v>1340</v>
      </c>
      <c r="E27" s="75">
        <f>D27*C27</f>
        <v>29480</v>
      </c>
      <c r="F27" s="75">
        <f>E27*12</f>
        <v>353760</v>
      </c>
      <c r="G27" s="41"/>
      <c r="H27" t="s">
        <v>256</v>
      </c>
      <c r="I27" s="95">
        <v>2644848</v>
      </c>
    </row>
    <row r="28" spans="1:9" x14ac:dyDescent="0.3">
      <c r="A28" s="83">
        <v>5</v>
      </c>
      <c r="B28" s="84" t="s">
        <v>244</v>
      </c>
      <c r="C28" s="74">
        <v>8</v>
      </c>
      <c r="D28" s="79">
        <v>13440</v>
      </c>
      <c r="E28" s="75">
        <f>D28*C28</f>
        <v>107520</v>
      </c>
      <c r="F28" s="75">
        <f>E28*12</f>
        <v>1290240</v>
      </c>
      <c r="G28" s="41"/>
      <c r="H28" t="s">
        <v>257</v>
      </c>
      <c r="I28" s="95">
        <v>6988430</v>
      </c>
    </row>
    <row r="29" spans="1:9" x14ac:dyDescent="0.3">
      <c r="A29" s="83">
        <v>6</v>
      </c>
      <c r="B29" s="75" t="s">
        <v>208</v>
      </c>
      <c r="C29" s="75">
        <v>1</v>
      </c>
      <c r="D29" s="75">
        <v>1</v>
      </c>
      <c r="E29" s="75">
        <v>1</v>
      </c>
      <c r="F29" s="75">
        <v>1249650</v>
      </c>
    </row>
    <row r="30" spans="1:9" x14ac:dyDescent="0.3">
      <c r="I30" s="96">
        <f>SUM(I26:I28)</f>
        <v>24744758</v>
      </c>
    </row>
    <row r="31" spans="1:9" x14ac:dyDescent="0.3">
      <c r="A31" s="87"/>
      <c r="B31" s="66" t="s">
        <v>242</v>
      </c>
      <c r="C31" s="87"/>
      <c r="D31" s="87"/>
      <c r="E31" s="87"/>
      <c r="F31" s="92">
        <f>SUM(F24:F29)</f>
        <v>9469854</v>
      </c>
    </row>
    <row r="32" spans="1:9" x14ac:dyDescent="0.3">
      <c r="A32" s="87"/>
      <c r="B32" s="87" t="s">
        <v>246</v>
      </c>
      <c r="C32" s="87"/>
      <c r="D32" s="87"/>
      <c r="E32" s="87"/>
      <c r="F32" s="75">
        <f>F31+F21</f>
        <v>26879646</v>
      </c>
    </row>
    <row r="33" spans="1:9" x14ac:dyDescent="0.3">
      <c r="A33" s="87"/>
      <c r="B33" s="87" t="s">
        <v>247</v>
      </c>
      <c r="C33" s="87"/>
      <c r="D33" s="87"/>
      <c r="E33" s="87"/>
      <c r="F33" s="75">
        <f>F32*0.25</f>
        <v>6719911.5</v>
      </c>
    </row>
    <row r="34" spans="1:9" x14ac:dyDescent="0.3">
      <c r="A34" s="87"/>
      <c r="B34" s="93" t="s">
        <v>248</v>
      </c>
      <c r="C34" s="87"/>
      <c r="D34" s="87"/>
      <c r="E34" s="87"/>
      <c r="F34" s="92">
        <f>F32-F33</f>
        <v>20159734.5</v>
      </c>
    </row>
    <row r="37" spans="1:9" ht="15" thickBot="1" x14ac:dyDescent="0.35"/>
    <row r="38" spans="1:9" x14ac:dyDescent="0.3">
      <c r="B38" s="100" t="s">
        <v>263</v>
      </c>
      <c r="C38" s="103">
        <f>F34</f>
        <v>20159734.5</v>
      </c>
      <c r="D38" s="91">
        <f>F34</f>
        <v>20159734.5</v>
      </c>
      <c r="E38" s="91">
        <f>F77</f>
        <v>19993986</v>
      </c>
      <c r="F38">
        <f>F73*0.75</f>
        <v>562500</v>
      </c>
      <c r="H38" s="100" t="s">
        <v>293</v>
      </c>
      <c r="I38" s="111">
        <f>E41</f>
        <v>36238959</v>
      </c>
    </row>
    <row r="39" spans="1:9" x14ac:dyDescent="0.3">
      <c r="B39" s="101" t="s">
        <v>265</v>
      </c>
      <c r="C39" s="98">
        <v>18087854</v>
      </c>
      <c r="D39">
        <f>'Hartron Internal'!F26</f>
        <v>19197913.5</v>
      </c>
      <c r="E39">
        <f>'Hartron Internal'!F56</f>
        <v>10917333</v>
      </c>
      <c r="F39">
        <f>0.75*'Hartron Internal'!F52</f>
        <v>562500</v>
      </c>
      <c r="H39" s="101" t="s">
        <v>294</v>
      </c>
      <c r="I39" s="47">
        <f>F41</f>
        <v>1575000</v>
      </c>
    </row>
    <row r="40" spans="1:9" x14ac:dyDescent="0.3">
      <c r="B40" s="101" t="s">
        <v>266</v>
      </c>
      <c r="C40" s="98">
        <v>9353160</v>
      </c>
      <c r="D40">
        <f>'Hartron FamilyID'!F19</f>
        <v>8953560</v>
      </c>
      <c r="E40">
        <f>'Hartron FamilyID'!F41</f>
        <v>5327640</v>
      </c>
      <c r="F40">
        <f>0.75*'Hartron FamilyID'!F37</f>
        <v>450000</v>
      </c>
      <c r="H40" s="101" t="s">
        <v>295</v>
      </c>
      <c r="I40" s="47">
        <f>1050000</f>
        <v>1050000</v>
      </c>
    </row>
    <row r="41" spans="1:9" x14ac:dyDescent="0.3">
      <c r="B41" s="101"/>
      <c r="C41" s="98">
        <f>SUM(C38:C40)</f>
        <v>47600748.5</v>
      </c>
      <c r="D41" s="98">
        <f>SUM(D38:D40)</f>
        <v>48311208</v>
      </c>
      <c r="E41" s="91">
        <f>SUM(E38:E40)</f>
        <v>36238959</v>
      </c>
      <c r="F41">
        <f>SUM(F38:F40)</f>
        <v>1575000</v>
      </c>
      <c r="H41" s="101" t="s">
        <v>296</v>
      </c>
      <c r="I41" s="47">
        <v>800000</v>
      </c>
    </row>
    <row r="42" spans="1:9" x14ac:dyDescent="0.3">
      <c r="B42" s="101" t="s">
        <v>269</v>
      </c>
      <c r="C42" s="98">
        <f>C41*0.18</f>
        <v>8568134.7300000004</v>
      </c>
      <c r="D42" s="98">
        <f>D41*0.18</f>
        <v>8696017.4399999995</v>
      </c>
      <c r="F42" s="91">
        <f>E41-F41</f>
        <v>34663959</v>
      </c>
      <c r="H42" s="101" t="s">
        <v>297</v>
      </c>
      <c r="I42" s="47">
        <v>200000</v>
      </c>
    </row>
    <row r="43" spans="1:9" ht="15" thickBot="1" x14ac:dyDescent="0.35">
      <c r="B43" s="102" t="s">
        <v>270</v>
      </c>
      <c r="C43" s="99">
        <f>SUM(C41:C42)</f>
        <v>56168883.230000004</v>
      </c>
      <c r="D43" s="99">
        <f>SUM(D41:D42)</f>
        <v>57007225.439999998</v>
      </c>
      <c r="H43" s="101"/>
      <c r="I43" s="47"/>
    </row>
    <row r="44" spans="1:9" x14ac:dyDescent="0.3">
      <c r="H44" s="101" t="s">
        <v>299</v>
      </c>
      <c r="I44" s="112">
        <f>I38-I39-I40-I41-I42</f>
        <v>32613959</v>
      </c>
    </row>
    <row r="45" spans="1:9" x14ac:dyDescent="0.3">
      <c r="H45" s="101" t="s">
        <v>300</v>
      </c>
      <c r="I45" s="113">
        <v>18</v>
      </c>
    </row>
    <row r="46" spans="1:9" ht="31.2" thickBot="1" x14ac:dyDescent="0.35">
      <c r="A46" s="65" t="s">
        <v>222</v>
      </c>
      <c r="B46" s="66" t="s">
        <v>223</v>
      </c>
      <c r="C46" s="66" t="s">
        <v>224</v>
      </c>
      <c r="D46" s="67" t="s">
        <v>225</v>
      </c>
      <c r="E46" s="67" t="s">
        <v>226</v>
      </c>
      <c r="F46" s="68" t="s">
        <v>227</v>
      </c>
      <c r="H46" s="102" t="s">
        <v>298</v>
      </c>
      <c r="I46" s="114">
        <f>I44*100/(100+I45)</f>
        <v>27638948.305084746</v>
      </c>
    </row>
    <row r="47" spans="1:9" ht="15" thickBot="1" x14ac:dyDescent="0.35">
      <c r="A47" s="377" t="s">
        <v>268</v>
      </c>
      <c r="B47" s="378"/>
      <c r="C47" s="378"/>
      <c r="D47" s="378"/>
      <c r="E47" s="378"/>
      <c r="F47" s="379"/>
      <c r="H47" s="115" t="s">
        <v>301</v>
      </c>
      <c r="I47" s="116"/>
    </row>
    <row r="48" spans="1:9" ht="15" thickBot="1" x14ac:dyDescent="0.35">
      <c r="A48" s="369">
        <v>1</v>
      </c>
      <c r="B48" s="69" t="s">
        <v>228</v>
      </c>
      <c r="C48" s="70">
        <v>4</v>
      </c>
      <c r="D48" s="71"/>
      <c r="E48" s="71"/>
      <c r="F48" s="72">
        <f>SUM(F49:F51)*C48</f>
        <v>1177680</v>
      </c>
      <c r="H48" s="117" t="s">
        <v>302</v>
      </c>
      <c r="I48" s="110"/>
    </row>
    <row r="49" spans="1:9" ht="15" thickBot="1" x14ac:dyDescent="0.35">
      <c r="A49" s="370"/>
      <c r="B49" s="73" t="s">
        <v>229</v>
      </c>
      <c r="C49" s="74">
        <v>1</v>
      </c>
      <c r="D49" s="75">
        <v>13349</v>
      </c>
      <c r="E49" s="75">
        <f>D49*C49</f>
        <v>13349</v>
      </c>
      <c r="F49" s="75">
        <f>E49*12</f>
        <v>160188</v>
      </c>
      <c r="H49" s="117" t="s">
        <v>303</v>
      </c>
      <c r="I49" s="110"/>
    </row>
    <row r="50" spans="1:9" x14ac:dyDescent="0.3">
      <c r="A50" s="370"/>
      <c r="B50" s="76" t="s">
        <v>230</v>
      </c>
      <c r="C50" s="74">
        <v>12</v>
      </c>
      <c r="D50" s="77">
        <v>849</v>
      </c>
      <c r="E50" s="75">
        <f>D50*C50</f>
        <v>10188</v>
      </c>
      <c r="F50" s="75">
        <f>E50*12</f>
        <v>122256</v>
      </c>
    </row>
    <row r="51" spans="1:9" x14ac:dyDescent="0.3">
      <c r="A51" s="371"/>
      <c r="B51" s="78" t="s">
        <v>231</v>
      </c>
      <c r="C51" s="74">
        <v>2</v>
      </c>
      <c r="D51" s="79">
        <v>499</v>
      </c>
      <c r="E51" s="75">
        <f>D51*C51</f>
        <v>998</v>
      </c>
      <c r="F51" s="75">
        <f>E51*12</f>
        <v>11976</v>
      </c>
    </row>
    <row r="52" spans="1:9" x14ac:dyDescent="0.3">
      <c r="A52" s="381">
        <v>2</v>
      </c>
      <c r="B52" s="69" t="s">
        <v>249</v>
      </c>
      <c r="C52" s="70">
        <v>6</v>
      </c>
      <c r="D52" s="71"/>
      <c r="E52" s="71"/>
      <c r="F52" s="72">
        <f>SUM(F53:F55)*C52</f>
        <v>3306600</v>
      </c>
    </row>
    <row r="53" spans="1:9" x14ac:dyDescent="0.3">
      <c r="A53" s="382"/>
      <c r="B53" s="73" t="s">
        <v>234</v>
      </c>
      <c r="C53" s="74">
        <v>1</v>
      </c>
      <c r="D53" s="75">
        <v>25549</v>
      </c>
      <c r="E53" s="75">
        <f>D53*C53</f>
        <v>25549</v>
      </c>
      <c r="F53" s="75">
        <f>E53*12</f>
        <v>306588</v>
      </c>
    </row>
    <row r="54" spans="1:9" x14ac:dyDescent="0.3">
      <c r="A54" s="382"/>
      <c r="B54" s="76" t="s">
        <v>230</v>
      </c>
      <c r="C54" s="74">
        <v>24</v>
      </c>
      <c r="D54" s="77">
        <v>849</v>
      </c>
      <c r="E54" s="75">
        <f>D54*C54</f>
        <v>20376</v>
      </c>
      <c r="F54" s="75">
        <f>E54*12</f>
        <v>244512</v>
      </c>
    </row>
    <row r="55" spans="1:9" x14ac:dyDescent="0.3">
      <c r="A55" s="383"/>
      <c r="B55" s="78" t="s">
        <v>232</v>
      </c>
      <c r="C55" s="74">
        <v>0</v>
      </c>
      <c r="D55" s="79">
        <v>499</v>
      </c>
      <c r="E55" s="75">
        <f>D55*C55</f>
        <v>0</v>
      </c>
      <c r="F55" s="75">
        <f>E55*12</f>
        <v>0</v>
      </c>
    </row>
    <row r="56" spans="1:9" x14ac:dyDescent="0.3">
      <c r="A56" s="381">
        <v>3</v>
      </c>
      <c r="B56" s="69" t="s">
        <v>233</v>
      </c>
      <c r="C56" s="70">
        <v>9</v>
      </c>
      <c r="D56" s="71"/>
      <c r="E56" s="71"/>
      <c r="F56" s="72">
        <f>SUM(F57:F59)*C56</f>
        <v>4959900</v>
      </c>
    </row>
    <row r="57" spans="1:9" x14ac:dyDescent="0.3">
      <c r="A57" s="382"/>
      <c r="B57" s="73" t="s">
        <v>234</v>
      </c>
      <c r="C57" s="74">
        <v>1</v>
      </c>
      <c r="D57" s="75">
        <v>25549</v>
      </c>
      <c r="E57" s="75">
        <f>D57*C57</f>
        <v>25549</v>
      </c>
      <c r="F57" s="75">
        <f>E57*12</f>
        <v>306588</v>
      </c>
    </row>
    <row r="58" spans="1:9" x14ac:dyDescent="0.3">
      <c r="A58" s="382"/>
      <c r="B58" s="76" t="s">
        <v>230</v>
      </c>
      <c r="C58" s="74">
        <v>24</v>
      </c>
      <c r="D58" s="77">
        <v>849</v>
      </c>
      <c r="E58" s="75">
        <f>D58*C58</f>
        <v>20376</v>
      </c>
      <c r="F58" s="75">
        <f>E58*12</f>
        <v>244512</v>
      </c>
    </row>
    <row r="59" spans="1:9" x14ac:dyDescent="0.3">
      <c r="A59" s="383"/>
      <c r="B59" s="78" t="s">
        <v>232</v>
      </c>
      <c r="C59" s="74">
        <v>0</v>
      </c>
      <c r="D59" s="79">
        <v>499</v>
      </c>
      <c r="E59" s="75">
        <f>D59*C59</f>
        <v>0</v>
      </c>
      <c r="F59" s="75">
        <f>E59*12</f>
        <v>0</v>
      </c>
    </row>
    <row r="60" spans="1:9" x14ac:dyDescent="0.3">
      <c r="A60" s="381">
        <v>4</v>
      </c>
      <c r="B60" s="69" t="s">
        <v>235</v>
      </c>
      <c r="C60" s="70">
        <v>8</v>
      </c>
      <c r="D60" s="71"/>
      <c r="E60" s="71"/>
      <c r="F60" s="72">
        <f>SUM(F61:F63)*C60</f>
        <v>8678496</v>
      </c>
    </row>
    <row r="61" spans="1:9" x14ac:dyDescent="0.3">
      <c r="A61" s="382"/>
      <c r="B61" s="73" t="s">
        <v>236</v>
      </c>
      <c r="C61" s="74">
        <v>1</v>
      </c>
      <c r="D61" s="75">
        <v>49649</v>
      </c>
      <c r="E61" s="75">
        <f>D61*C61</f>
        <v>49649</v>
      </c>
      <c r="F61" s="75">
        <f>E61*12</f>
        <v>595788</v>
      </c>
    </row>
    <row r="62" spans="1:9" x14ac:dyDescent="0.3">
      <c r="A62" s="382"/>
      <c r="B62" s="76" t="s">
        <v>230</v>
      </c>
      <c r="C62" s="74">
        <v>48</v>
      </c>
      <c r="D62" s="77">
        <v>849</v>
      </c>
      <c r="E62" s="75">
        <f>D62*C62</f>
        <v>40752</v>
      </c>
      <c r="F62" s="75">
        <f>E62*12</f>
        <v>489024</v>
      </c>
    </row>
    <row r="63" spans="1:9" x14ac:dyDescent="0.3">
      <c r="A63" s="383"/>
      <c r="B63" s="78" t="s">
        <v>232</v>
      </c>
      <c r="C63" s="74">
        <v>0</v>
      </c>
      <c r="D63" s="79">
        <v>499</v>
      </c>
      <c r="E63" s="75">
        <f>D63*C63</f>
        <v>0</v>
      </c>
      <c r="F63" s="75">
        <f>E63*12</f>
        <v>0</v>
      </c>
    </row>
    <row r="64" spans="1:9" x14ac:dyDescent="0.3">
      <c r="A64" s="88">
        <v>5</v>
      </c>
      <c r="B64" s="89" t="s">
        <v>260</v>
      </c>
      <c r="C64" s="74">
        <v>30</v>
      </c>
      <c r="D64" s="79">
        <v>499</v>
      </c>
      <c r="E64" s="75">
        <f>D64*C64</f>
        <v>14970</v>
      </c>
      <c r="F64" s="75">
        <f>E64*12</f>
        <v>179640</v>
      </c>
    </row>
    <row r="65" spans="1:6" x14ac:dyDescent="0.3">
      <c r="A65" s="87"/>
      <c r="B65" s="66" t="s">
        <v>240</v>
      </c>
      <c r="C65" s="87"/>
      <c r="D65" s="87"/>
      <c r="E65" s="87"/>
      <c r="F65" s="92">
        <f>SUM(F60,F56,F52,F48,F64)</f>
        <v>18302316</v>
      </c>
    </row>
    <row r="66" spans="1:6" x14ac:dyDescent="0.3">
      <c r="A66" s="81"/>
      <c r="B66" s="89"/>
      <c r="C66" s="74"/>
      <c r="D66" s="79"/>
      <c r="E66" s="75"/>
      <c r="F66" s="75"/>
    </row>
    <row r="67" spans="1:6" x14ac:dyDescent="0.3">
      <c r="A67" s="81"/>
      <c r="B67" s="90" t="s">
        <v>241</v>
      </c>
      <c r="C67" s="74"/>
      <c r="D67" s="79"/>
      <c r="E67" s="75"/>
      <c r="F67" s="75"/>
    </row>
    <row r="68" spans="1:6" x14ac:dyDescent="0.3">
      <c r="A68" s="81">
        <v>1</v>
      </c>
      <c r="B68" s="82" t="s">
        <v>237</v>
      </c>
      <c r="C68" s="74">
        <f>SUM(C60,C56,C52,C48)</f>
        <v>27</v>
      </c>
      <c r="D68" s="79">
        <v>2083</v>
      </c>
      <c r="E68" s="75">
        <f>D68*C68</f>
        <v>56241</v>
      </c>
      <c r="F68" s="75">
        <f>E68*12</f>
        <v>674892</v>
      </c>
    </row>
    <row r="69" spans="1:6" x14ac:dyDescent="0.3">
      <c r="A69" s="81">
        <v>2</v>
      </c>
      <c r="B69" s="82" t="s">
        <v>267</v>
      </c>
      <c r="C69" s="74">
        <f>C68</f>
        <v>27</v>
      </c>
      <c r="D69" s="79">
        <v>4560</v>
      </c>
      <c r="E69" s="75">
        <f>D69*C69</f>
        <v>123120</v>
      </c>
      <c r="F69" s="75">
        <f>E69*12</f>
        <v>1477440</v>
      </c>
    </row>
    <row r="70" spans="1:6" x14ac:dyDescent="0.3">
      <c r="A70" s="83">
        <v>3</v>
      </c>
      <c r="B70" s="84" t="s">
        <v>239</v>
      </c>
      <c r="C70" s="74">
        <v>14</v>
      </c>
      <c r="D70" s="79">
        <v>22200</v>
      </c>
      <c r="E70" s="75">
        <f>D70*C70</f>
        <v>310800</v>
      </c>
      <c r="F70" s="75">
        <f>E70*12</f>
        <v>3729600</v>
      </c>
    </row>
    <row r="71" spans="1:6" x14ac:dyDescent="0.3">
      <c r="A71" s="83">
        <v>4</v>
      </c>
      <c r="B71" s="84" t="s">
        <v>287</v>
      </c>
      <c r="C71" s="74">
        <v>27</v>
      </c>
      <c r="D71" s="79">
        <v>1340</v>
      </c>
      <c r="E71" s="75">
        <f>D71*C71</f>
        <v>36180</v>
      </c>
      <c r="F71" s="75">
        <f>E71*12</f>
        <v>434160</v>
      </c>
    </row>
    <row r="72" spans="1:6" x14ac:dyDescent="0.3">
      <c r="A72" s="83">
        <v>5</v>
      </c>
      <c r="B72" s="84" t="s">
        <v>244</v>
      </c>
      <c r="C72" s="74">
        <v>8</v>
      </c>
      <c r="D72" s="79">
        <v>13440</v>
      </c>
      <c r="E72" s="75">
        <f>D72*C72</f>
        <v>107520</v>
      </c>
      <c r="F72" s="75">
        <f>E72*12</f>
        <v>1290240</v>
      </c>
    </row>
    <row r="73" spans="1:6" x14ac:dyDescent="0.3">
      <c r="A73" s="83">
        <v>6</v>
      </c>
      <c r="B73" s="68" t="s">
        <v>292</v>
      </c>
      <c r="C73" s="74">
        <v>1</v>
      </c>
      <c r="D73" s="75">
        <v>1</v>
      </c>
      <c r="E73" s="85">
        <v>1</v>
      </c>
      <c r="F73" s="75">
        <v>750000</v>
      </c>
    </row>
    <row r="74" spans="1:6" x14ac:dyDescent="0.3">
      <c r="A74" s="87"/>
      <c r="B74" s="66" t="s">
        <v>242</v>
      </c>
      <c r="C74" s="87"/>
      <c r="D74" s="87"/>
      <c r="E74" s="87"/>
      <c r="F74" s="92">
        <f>SUM(F68:F73)</f>
        <v>8356332</v>
      </c>
    </row>
    <row r="75" spans="1:6" x14ac:dyDescent="0.3">
      <c r="A75" s="87"/>
      <c r="B75" s="87" t="s">
        <v>246</v>
      </c>
      <c r="C75" s="87"/>
      <c r="D75" s="87"/>
      <c r="E75" s="87"/>
      <c r="F75" s="75">
        <f>F74+F65</f>
        <v>26658648</v>
      </c>
    </row>
    <row r="76" spans="1:6" x14ac:dyDescent="0.3">
      <c r="A76" s="87"/>
      <c r="B76" s="87" t="s">
        <v>247</v>
      </c>
      <c r="C76" s="87"/>
      <c r="D76" s="87"/>
      <c r="E76" s="87"/>
      <c r="F76" s="75">
        <f>F75*0.25</f>
        <v>6664662</v>
      </c>
    </row>
    <row r="77" spans="1:6" x14ac:dyDescent="0.3">
      <c r="A77" s="87"/>
      <c r="B77" s="93" t="s">
        <v>248</v>
      </c>
      <c r="C77" s="87"/>
      <c r="D77" s="87"/>
      <c r="E77" s="87"/>
      <c r="F77" s="92">
        <f>F75-F76</f>
        <v>19993986</v>
      </c>
    </row>
    <row r="79" spans="1:6" ht="30.6" x14ac:dyDescent="0.3">
      <c r="A79" s="65" t="s">
        <v>222</v>
      </c>
      <c r="B79" s="66" t="s">
        <v>223</v>
      </c>
      <c r="C79" s="66" t="s">
        <v>224</v>
      </c>
      <c r="D79" s="67" t="s">
        <v>225</v>
      </c>
      <c r="E79" s="67" t="s">
        <v>226</v>
      </c>
      <c r="F79" s="68" t="s">
        <v>227</v>
      </c>
    </row>
    <row r="80" spans="1:6" x14ac:dyDescent="0.3">
      <c r="A80" s="377" t="s">
        <v>268</v>
      </c>
      <c r="B80" s="378"/>
      <c r="C80" s="378"/>
      <c r="D80" s="378"/>
      <c r="E80" s="378"/>
      <c r="F80" s="379"/>
    </row>
    <row r="81" spans="1:6" x14ac:dyDescent="0.3">
      <c r="A81" s="369">
        <v>1</v>
      </c>
      <c r="B81" s="69" t="s">
        <v>318</v>
      </c>
      <c r="C81" s="70">
        <v>12</v>
      </c>
      <c r="D81" s="71"/>
      <c r="E81" s="71"/>
      <c r="F81" s="72">
        <f>SUM(F82:F84)*C81</f>
        <v>3820464</v>
      </c>
    </row>
    <row r="82" spans="1:6" x14ac:dyDescent="0.3">
      <c r="A82" s="370"/>
      <c r="B82" s="73" t="s">
        <v>229</v>
      </c>
      <c r="C82" s="74">
        <v>1</v>
      </c>
      <c r="D82" s="75">
        <v>13349</v>
      </c>
      <c r="E82" s="75">
        <f>D82*C82</f>
        <v>13349</v>
      </c>
      <c r="F82" s="75">
        <f>E82*12</f>
        <v>160188</v>
      </c>
    </row>
    <row r="83" spans="1:6" x14ac:dyDescent="0.3">
      <c r="A83" s="370"/>
      <c r="B83" s="76" t="s">
        <v>230</v>
      </c>
      <c r="C83" s="74">
        <v>12</v>
      </c>
      <c r="D83" s="77">
        <v>849</v>
      </c>
      <c r="E83" s="75">
        <f>D83*C83</f>
        <v>10188</v>
      </c>
      <c r="F83" s="75">
        <f>E83*12</f>
        <v>122256</v>
      </c>
    </row>
    <row r="84" spans="1:6" x14ac:dyDescent="0.3">
      <c r="A84" s="371"/>
      <c r="B84" s="78" t="s">
        <v>231</v>
      </c>
      <c r="C84" s="74">
        <v>6</v>
      </c>
      <c r="D84" s="79">
        <v>499</v>
      </c>
      <c r="E84" s="75">
        <f>D84*C84</f>
        <v>2994</v>
      </c>
      <c r="F84" s="75">
        <f>E84*12</f>
        <v>35928</v>
      </c>
    </row>
    <row r="85" spans="1:6" x14ac:dyDescent="0.3">
      <c r="A85" s="369">
        <v>1</v>
      </c>
      <c r="B85" s="69" t="s">
        <v>319</v>
      </c>
      <c r="C85" s="70">
        <v>1</v>
      </c>
      <c r="D85" s="71"/>
      <c r="E85" s="71"/>
      <c r="F85" s="72">
        <f>SUM(F86:F88)*C85</f>
        <v>308724</v>
      </c>
    </row>
    <row r="86" spans="1:6" x14ac:dyDescent="0.3">
      <c r="A86" s="370"/>
      <c r="B86" s="73" t="s">
        <v>229</v>
      </c>
      <c r="C86" s="74">
        <v>1</v>
      </c>
      <c r="D86" s="75">
        <v>13349</v>
      </c>
      <c r="E86" s="75">
        <f>D86*C86</f>
        <v>13349</v>
      </c>
      <c r="F86" s="75">
        <f>E86*12</f>
        <v>160188</v>
      </c>
    </row>
    <row r="87" spans="1:6" x14ac:dyDescent="0.3">
      <c r="A87" s="370"/>
      <c r="B87" s="76" t="s">
        <v>230</v>
      </c>
      <c r="C87" s="74">
        <v>4</v>
      </c>
      <c r="D87" s="77">
        <v>849</v>
      </c>
      <c r="E87" s="75">
        <f>D87*C87</f>
        <v>3396</v>
      </c>
      <c r="F87" s="75">
        <f>E87*12</f>
        <v>40752</v>
      </c>
    </row>
    <row r="88" spans="1:6" x14ac:dyDescent="0.3">
      <c r="A88" s="371"/>
      <c r="B88" s="78" t="s">
        <v>231</v>
      </c>
      <c r="C88" s="74">
        <v>18</v>
      </c>
      <c r="D88" s="79">
        <v>499</v>
      </c>
      <c r="E88" s="75">
        <f>D88*C88</f>
        <v>8982</v>
      </c>
      <c r="F88" s="75">
        <f>E88*12</f>
        <v>107784</v>
      </c>
    </row>
    <row r="89" spans="1:6" x14ac:dyDescent="0.3">
      <c r="A89" s="381">
        <v>2</v>
      </c>
      <c r="B89" s="69" t="s">
        <v>291</v>
      </c>
      <c r="C89" s="70">
        <v>7</v>
      </c>
      <c r="D89" s="71"/>
      <c r="E89" s="71"/>
      <c r="F89" s="72">
        <f>SUM(F90:F92)*C89</f>
        <v>4109196</v>
      </c>
    </row>
    <row r="90" spans="1:6" x14ac:dyDescent="0.3">
      <c r="A90" s="382"/>
      <c r="B90" s="73" t="s">
        <v>234</v>
      </c>
      <c r="C90" s="74">
        <v>1</v>
      </c>
      <c r="D90" s="75">
        <v>25549</v>
      </c>
      <c r="E90" s="75">
        <f>D90*C90</f>
        <v>25549</v>
      </c>
      <c r="F90" s="75">
        <f>E90*12</f>
        <v>306588</v>
      </c>
    </row>
    <row r="91" spans="1:6" x14ac:dyDescent="0.3">
      <c r="A91" s="382"/>
      <c r="B91" s="76" t="s">
        <v>230</v>
      </c>
      <c r="C91" s="74">
        <v>24</v>
      </c>
      <c r="D91" s="77">
        <v>849</v>
      </c>
      <c r="E91" s="75">
        <f>D91*C91</f>
        <v>20376</v>
      </c>
      <c r="F91" s="75">
        <f>E91*12</f>
        <v>244512</v>
      </c>
    </row>
    <row r="92" spans="1:6" x14ac:dyDescent="0.3">
      <c r="A92" s="383"/>
      <c r="B92" s="78" t="s">
        <v>232</v>
      </c>
      <c r="C92" s="74">
        <v>6</v>
      </c>
      <c r="D92" s="79">
        <v>499</v>
      </c>
      <c r="E92" s="75">
        <f>D92*C92</f>
        <v>2994</v>
      </c>
      <c r="F92" s="75">
        <f>E92*12</f>
        <v>35928</v>
      </c>
    </row>
    <row r="93" spans="1:6" x14ac:dyDescent="0.3">
      <c r="A93" s="381">
        <v>3</v>
      </c>
      <c r="B93" s="69" t="s">
        <v>233</v>
      </c>
      <c r="C93" s="70">
        <v>0</v>
      </c>
      <c r="D93" s="71"/>
      <c r="E93" s="71"/>
      <c r="F93" s="72">
        <f>SUM(F94:F96)*C93</f>
        <v>0</v>
      </c>
    </row>
    <row r="94" spans="1:6" x14ac:dyDescent="0.3">
      <c r="A94" s="382"/>
      <c r="B94" s="73" t="s">
        <v>234</v>
      </c>
      <c r="C94" s="74">
        <v>1</v>
      </c>
      <c r="D94" s="75">
        <v>25549</v>
      </c>
      <c r="E94" s="75">
        <f>D94*C94</f>
        <v>25549</v>
      </c>
      <c r="F94" s="75">
        <f>E94*12</f>
        <v>306588</v>
      </c>
    </row>
    <row r="95" spans="1:6" x14ac:dyDescent="0.3">
      <c r="A95" s="382"/>
      <c r="B95" s="76" t="s">
        <v>230</v>
      </c>
      <c r="C95" s="74">
        <v>24</v>
      </c>
      <c r="D95" s="77">
        <v>849</v>
      </c>
      <c r="E95" s="75">
        <f>D95*C95</f>
        <v>20376</v>
      </c>
      <c r="F95" s="75">
        <f>E95*12</f>
        <v>244512</v>
      </c>
    </row>
    <row r="96" spans="1:6" x14ac:dyDescent="0.3">
      <c r="A96" s="383"/>
      <c r="B96" s="78" t="s">
        <v>232</v>
      </c>
      <c r="C96" s="74">
        <v>0</v>
      </c>
      <c r="D96" s="79">
        <v>499</v>
      </c>
      <c r="E96" s="75">
        <f>D96*C96</f>
        <v>0</v>
      </c>
      <c r="F96" s="75">
        <f>E96*12</f>
        <v>0</v>
      </c>
    </row>
    <row r="97" spans="1:10" x14ac:dyDescent="0.3">
      <c r="A97" s="381">
        <v>4</v>
      </c>
      <c r="B97" s="69" t="s">
        <v>320</v>
      </c>
      <c r="C97" s="70">
        <v>4</v>
      </c>
      <c r="D97" s="71"/>
      <c r="E97" s="71"/>
      <c r="F97" s="72">
        <f>SUM(F98:F100)*C97</f>
        <v>7905456</v>
      </c>
    </row>
    <row r="98" spans="1:10" x14ac:dyDescent="0.3">
      <c r="A98" s="382"/>
      <c r="B98" s="73" t="s">
        <v>236</v>
      </c>
      <c r="C98" s="74">
        <v>1</v>
      </c>
      <c r="D98" s="75">
        <v>49649</v>
      </c>
      <c r="E98" s="75">
        <f>D98*C98</f>
        <v>49649</v>
      </c>
      <c r="F98" s="75">
        <f>E98*12</f>
        <v>595788</v>
      </c>
    </row>
    <row r="99" spans="1:10" x14ac:dyDescent="0.3">
      <c r="A99" s="382"/>
      <c r="B99" s="76" t="s">
        <v>230</v>
      </c>
      <c r="C99" s="74">
        <v>112</v>
      </c>
      <c r="D99" s="77">
        <v>849</v>
      </c>
      <c r="E99" s="75">
        <f>D99*C99</f>
        <v>95088</v>
      </c>
      <c r="F99" s="75">
        <f>E99*12</f>
        <v>1141056</v>
      </c>
    </row>
    <row r="100" spans="1:10" x14ac:dyDescent="0.3">
      <c r="A100" s="383"/>
      <c r="B100" s="78" t="s">
        <v>232</v>
      </c>
      <c r="C100" s="74">
        <v>40</v>
      </c>
      <c r="D100" s="79">
        <v>499</v>
      </c>
      <c r="E100" s="75">
        <f>D100*C100</f>
        <v>19960</v>
      </c>
      <c r="F100" s="75">
        <f>E100*12</f>
        <v>239520</v>
      </c>
      <c r="I100" s="143">
        <v>1815948</v>
      </c>
    </row>
    <row r="101" spans="1:10" ht="15" thickBot="1" x14ac:dyDescent="0.35">
      <c r="A101" s="88">
        <v>5</v>
      </c>
      <c r="B101" s="89" t="s">
        <v>260</v>
      </c>
      <c r="C101" s="74">
        <v>0</v>
      </c>
      <c r="D101" s="79">
        <v>499</v>
      </c>
      <c r="E101" s="75">
        <f>D101*C101</f>
        <v>0</v>
      </c>
      <c r="F101" s="75">
        <f>E101*12</f>
        <v>0</v>
      </c>
      <c r="I101" s="144"/>
      <c r="J101" s="42">
        <f>SUM(I118:I119)</f>
        <v>11291800</v>
      </c>
    </row>
    <row r="102" spans="1:10" x14ac:dyDescent="0.3">
      <c r="A102" s="87"/>
      <c r="B102" s="66" t="s">
        <v>240</v>
      </c>
      <c r="C102" s="87"/>
      <c r="D102" s="87"/>
      <c r="E102" s="87"/>
      <c r="F102" s="92">
        <f>SUM(F97,F93,F89,F81,F85,F101)</f>
        <v>16143840</v>
      </c>
      <c r="I102" s="143">
        <v>921804</v>
      </c>
      <c r="J102" s="42">
        <f>J101/4</f>
        <v>2822950</v>
      </c>
    </row>
    <row r="103" spans="1:10" ht="15" thickBot="1" x14ac:dyDescent="0.35">
      <c r="A103" s="81"/>
      <c r="B103" s="89"/>
      <c r="C103" s="74"/>
      <c r="D103" s="79"/>
      <c r="E103" s="75"/>
      <c r="F103" s="75"/>
      <c r="I103" s="144"/>
      <c r="J103" s="42">
        <f>J101-J102</f>
        <v>8468850</v>
      </c>
    </row>
    <row r="104" spans="1:10" x14ac:dyDescent="0.3">
      <c r="A104" s="81"/>
      <c r="B104" s="90" t="s">
        <v>241</v>
      </c>
      <c r="C104" s="74"/>
      <c r="D104" s="79"/>
      <c r="E104" s="75"/>
      <c r="F104" s="75"/>
      <c r="I104" s="143">
        <v>308724</v>
      </c>
      <c r="J104" s="42">
        <v>750000</v>
      </c>
    </row>
    <row r="105" spans="1:10" ht="15" thickBot="1" x14ac:dyDescent="0.35">
      <c r="A105" s="81">
        <v>1</v>
      </c>
      <c r="B105" s="82" t="s">
        <v>237</v>
      </c>
      <c r="C105" s="74">
        <f>SUM(C97,C93,C89,C81,C85)</f>
        <v>24</v>
      </c>
      <c r="D105" s="79">
        <v>2083</v>
      </c>
      <c r="E105" s="75">
        <f>D105*C105</f>
        <v>49992</v>
      </c>
      <c r="F105" s="75">
        <f>E105*12</f>
        <v>599904</v>
      </c>
      <c r="I105" s="144"/>
      <c r="J105" s="42">
        <f>J103+J104</f>
        <v>9218850</v>
      </c>
    </row>
    <row r="106" spans="1:10" ht="15" thickBot="1" x14ac:dyDescent="0.35">
      <c r="A106" s="81">
        <v>2</v>
      </c>
      <c r="B106" s="82" t="s">
        <v>267</v>
      </c>
      <c r="C106" s="74">
        <f>C105</f>
        <v>24</v>
      </c>
      <c r="D106" s="79">
        <v>4560</v>
      </c>
      <c r="E106" s="75">
        <f>D106*C106</f>
        <v>109440</v>
      </c>
      <c r="F106" s="75">
        <f>E106*12</f>
        <v>1313280</v>
      </c>
      <c r="I106" s="147">
        <v>388092</v>
      </c>
      <c r="J106" s="42">
        <f>J105*3</f>
        <v>27656550</v>
      </c>
    </row>
    <row r="107" spans="1:10" x14ac:dyDescent="0.3">
      <c r="A107" s="83">
        <v>3</v>
      </c>
      <c r="B107" s="84" t="s">
        <v>239</v>
      </c>
      <c r="C107" s="74">
        <f>(C100*C97+C92*C89+C88*C85+C81*C84)/10</f>
        <v>29.2</v>
      </c>
      <c r="D107" s="79">
        <v>22200</v>
      </c>
      <c r="E107" s="75">
        <f>D107*C107</f>
        <v>648240</v>
      </c>
      <c r="F107" s="75">
        <f>E107*12</f>
        <v>7778880</v>
      </c>
      <c r="I107" s="143">
        <v>956400</v>
      </c>
    </row>
    <row r="108" spans="1:10" ht="15" thickBot="1" x14ac:dyDescent="0.35">
      <c r="A108" s="83">
        <v>4</v>
      </c>
      <c r="B108" s="84" t="s">
        <v>287</v>
      </c>
      <c r="C108" s="74">
        <f>C106</f>
        <v>24</v>
      </c>
      <c r="D108" s="79">
        <v>1340</v>
      </c>
      <c r="E108" s="75">
        <f>D108*C108</f>
        <v>32160</v>
      </c>
      <c r="F108" s="75">
        <f>E108*12</f>
        <v>385920</v>
      </c>
      <c r="I108" s="144"/>
    </row>
    <row r="109" spans="1:10" x14ac:dyDescent="0.3">
      <c r="A109" s="83">
        <v>5</v>
      </c>
      <c r="B109" s="84" t="s">
        <v>244</v>
      </c>
      <c r="C109" s="74">
        <v>4</v>
      </c>
      <c r="D109" s="79">
        <v>13440</v>
      </c>
      <c r="E109" s="75">
        <f>D109*C109</f>
        <v>53760</v>
      </c>
      <c r="F109" s="75">
        <f>E109*12</f>
        <v>645120</v>
      </c>
      <c r="I109" s="143">
        <v>758796</v>
      </c>
    </row>
    <row r="110" spans="1:10" ht="15" thickBot="1" x14ac:dyDescent="0.35">
      <c r="A110" s="83">
        <v>6</v>
      </c>
      <c r="B110" s="68" t="s">
        <v>292</v>
      </c>
      <c r="C110" s="74">
        <v>1</v>
      </c>
      <c r="D110" s="75">
        <v>1</v>
      </c>
      <c r="E110" s="85">
        <v>1</v>
      </c>
      <c r="F110" s="75">
        <v>750000</v>
      </c>
      <c r="I110" s="144"/>
    </row>
    <row r="111" spans="1:10" x14ac:dyDescent="0.3">
      <c r="A111" s="87"/>
      <c r="B111" s="66" t="s">
        <v>242</v>
      </c>
      <c r="C111" s="87"/>
      <c r="D111" s="87"/>
      <c r="E111" s="87"/>
      <c r="F111" s="92">
        <f>SUM(F105:F110)</f>
        <v>11473104</v>
      </c>
      <c r="I111" s="143">
        <v>200940</v>
      </c>
    </row>
    <row r="112" spans="1:10" ht="15" thickBot="1" x14ac:dyDescent="0.35">
      <c r="A112" s="87"/>
      <c r="B112" s="87" t="s">
        <v>246</v>
      </c>
      <c r="C112" s="87"/>
      <c r="D112" s="87"/>
      <c r="E112" s="87"/>
      <c r="F112" s="75">
        <f>F111+F102</f>
        <v>27616944</v>
      </c>
      <c r="I112" s="144"/>
    </row>
    <row r="113" spans="1:10" x14ac:dyDescent="0.3">
      <c r="A113" s="87"/>
      <c r="B113" s="87" t="s">
        <v>247</v>
      </c>
      <c r="C113" s="87"/>
      <c r="D113" s="87"/>
      <c r="E113" s="87"/>
      <c r="F113" s="75">
        <f>F112*0.25</f>
        <v>6904236</v>
      </c>
      <c r="I113" s="143">
        <v>446448</v>
      </c>
    </row>
    <row r="114" spans="1:10" ht="15" thickBot="1" x14ac:dyDescent="0.35">
      <c r="A114" s="87"/>
      <c r="B114" s="93" t="s">
        <v>248</v>
      </c>
      <c r="C114" s="87"/>
      <c r="D114" s="87"/>
      <c r="E114" s="87"/>
      <c r="F114" s="92">
        <f>F112-F113</f>
        <v>20712708</v>
      </c>
      <c r="I114" s="144"/>
    </row>
    <row r="115" spans="1:10" x14ac:dyDescent="0.3">
      <c r="I115" s="143">
        <v>488364</v>
      </c>
    </row>
    <row r="116" spans="1:10" ht="15" thickBot="1" x14ac:dyDescent="0.35">
      <c r="I116" s="144"/>
    </row>
    <row r="117" spans="1:10" x14ac:dyDescent="0.3">
      <c r="A117" s="138" t="s">
        <v>324</v>
      </c>
      <c r="B117" s="26"/>
      <c r="C117" s="412" t="s">
        <v>325</v>
      </c>
      <c r="D117" s="413" t="s">
        <v>326</v>
      </c>
      <c r="E117" s="139" t="s">
        <v>63</v>
      </c>
      <c r="F117" s="139" t="s">
        <v>35</v>
      </c>
      <c r="G117" s="26"/>
      <c r="H117" s="26"/>
      <c r="I117" s="143">
        <v>488364</v>
      </c>
      <c r="J117" s="26"/>
    </row>
    <row r="118" spans="1:10" x14ac:dyDescent="0.3">
      <c r="A118" s="414" t="s">
        <v>327</v>
      </c>
      <c r="B118" s="414"/>
      <c r="C118" s="412"/>
      <c r="D118" s="413"/>
      <c r="E118" s="412" t="s">
        <v>328</v>
      </c>
      <c r="F118" s="412" t="s">
        <v>328</v>
      </c>
      <c r="G118" s="140"/>
      <c r="H118" s="140"/>
      <c r="I118" s="143">
        <f>SUM(I100:I117)</f>
        <v>6773880</v>
      </c>
      <c r="J118" s="140"/>
    </row>
    <row r="119" spans="1:10" x14ac:dyDescent="0.3">
      <c r="A119" s="414"/>
      <c r="B119" s="414"/>
      <c r="C119" s="140"/>
      <c r="D119" s="140"/>
      <c r="E119" s="412"/>
      <c r="F119" s="412"/>
      <c r="G119" s="140"/>
      <c r="H119" s="140"/>
      <c r="I119" s="143">
        <v>4517920</v>
      </c>
      <c r="J119" s="140"/>
    </row>
    <row r="120" spans="1:10" ht="15" thickBot="1" x14ac:dyDescent="0.35">
      <c r="A120" s="141"/>
      <c r="B120" s="141"/>
      <c r="C120" s="141"/>
      <c r="D120" s="141"/>
      <c r="E120" s="141"/>
      <c r="F120" s="141"/>
      <c r="G120" s="141"/>
      <c r="H120" s="141"/>
      <c r="I120" s="141">
        <v>4517920</v>
      </c>
      <c r="J120" s="141"/>
    </row>
    <row r="121" spans="1:10" ht="27.6" x14ac:dyDescent="0.3">
      <c r="A121" s="142">
        <v>1</v>
      </c>
      <c r="B121" s="26"/>
      <c r="C121" s="142" t="s">
        <v>329</v>
      </c>
      <c r="D121" s="142">
        <v>32</v>
      </c>
      <c r="E121" s="142">
        <v>96</v>
      </c>
      <c r="F121" s="142">
        <v>480</v>
      </c>
      <c r="G121" s="142">
        <v>1</v>
      </c>
      <c r="H121" s="143">
        <v>151329</v>
      </c>
      <c r="I121" s="143">
        <v>151329</v>
      </c>
      <c r="J121" s="143">
        <v>1815948</v>
      </c>
    </row>
    <row r="122" spans="1:10" ht="15" thickBot="1" x14ac:dyDescent="0.35">
      <c r="A122" s="144"/>
      <c r="B122" s="144"/>
      <c r="C122" s="144"/>
      <c r="D122" s="144"/>
      <c r="E122" s="144"/>
      <c r="F122" s="144"/>
      <c r="G122" s="144"/>
      <c r="H122" s="144"/>
      <c r="I122" s="144"/>
      <c r="J122" s="144"/>
    </row>
    <row r="123" spans="1:10" ht="55.2" x14ac:dyDescent="0.3">
      <c r="A123" s="142">
        <v>2</v>
      </c>
      <c r="B123" s="26"/>
      <c r="C123" s="142" t="s">
        <v>330</v>
      </c>
      <c r="D123" s="142">
        <v>16</v>
      </c>
      <c r="E123" s="142">
        <v>48</v>
      </c>
      <c r="F123" s="142">
        <v>480</v>
      </c>
      <c r="G123" s="142">
        <v>1</v>
      </c>
      <c r="H123" s="143">
        <v>76817</v>
      </c>
      <c r="I123" s="143">
        <v>76817</v>
      </c>
      <c r="J123" s="143">
        <v>921804</v>
      </c>
    </row>
    <row r="124" spans="1:10" ht="15" thickBot="1" x14ac:dyDescent="0.35">
      <c r="A124" s="144"/>
      <c r="B124" s="144"/>
      <c r="C124" s="144"/>
      <c r="D124" s="144"/>
      <c r="E124" s="144"/>
      <c r="F124" s="144"/>
      <c r="G124" s="144"/>
      <c r="H124" s="144"/>
      <c r="I124" s="144"/>
      <c r="J124" s="144"/>
    </row>
    <row r="125" spans="1:10" ht="27.6" x14ac:dyDescent="0.3">
      <c r="A125" s="142">
        <v>3</v>
      </c>
      <c r="B125" s="26"/>
      <c r="C125" s="142" t="s">
        <v>331</v>
      </c>
      <c r="D125" s="142">
        <v>8</v>
      </c>
      <c r="E125" s="142">
        <v>20</v>
      </c>
      <c r="F125" s="142">
        <v>1240</v>
      </c>
      <c r="G125" s="142">
        <v>1</v>
      </c>
      <c r="H125" s="143">
        <v>45717</v>
      </c>
      <c r="I125" s="143">
        <v>45717</v>
      </c>
      <c r="J125" s="143">
        <v>548604</v>
      </c>
    </row>
    <row r="126" spans="1:10" ht="15" thickBot="1" x14ac:dyDescent="0.35">
      <c r="A126" s="144"/>
      <c r="B126" s="144"/>
      <c r="C126" s="144"/>
      <c r="D126" s="144"/>
      <c r="E126" s="144"/>
      <c r="F126" s="144"/>
      <c r="G126" s="144"/>
      <c r="H126" s="144"/>
      <c r="I126" s="144"/>
      <c r="J126" s="144"/>
    </row>
    <row r="127" spans="1:10" ht="28.2" thickBot="1" x14ac:dyDescent="0.35">
      <c r="A127" s="145">
        <v>4</v>
      </c>
      <c r="B127" s="146"/>
      <c r="C127" s="145" t="s">
        <v>332</v>
      </c>
      <c r="D127" s="145">
        <v>8</v>
      </c>
      <c r="E127" s="145">
        <v>16</v>
      </c>
      <c r="F127" s="145">
        <v>240</v>
      </c>
      <c r="G127" s="145">
        <v>1</v>
      </c>
      <c r="H127" s="147">
        <v>32341</v>
      </c>
      <c r="I127" s="147">
        <v>32341</v>
      </c>
      <c r="J127" s="147">
        <v>388092</v>
      </c>
    </row>
    <row r="128" spans="1:10" ht="27.6" x14ac:dyDescent="0.3">
      <c r="A128" s="142">
        <v>5</v>
      </c>
      <c r="B128" s="26"/>
      <c r="C128" s="142" t="s">
        <v>333</v>
      </c>
      <c r="D128" s="142">
        <v>16</v>
      </c>
      <c r="E128" s="142">
        <v>32</v>
      </c>
      <c r="F128" s="142">
        <v>2130</v>
      </c>
      <c r="G128" s="142">
        <v>1</v>
      </c>
      <c r="H128" s="143">
        <v>79700</v>
      </c>
      <c r="I128" s="143">
        <v>79700</v>
      </c>
      <c r="J128" s="143">
        <v>956400</v>
      </c>
    </row>
    <row r="129" spans="1:10" ht="15" thickBot="1" x14ac:dyDescent="0.35">
      <c r="A129" s="144"/>
      <c r="B129" s="144"/>
      <c r="C129" s="144"/>
      <c r="D129" s="144"/>
      <c r="E129" s="144"/>
      <c r="F129" s="144"/>
      <c r="G129" s="144"/>
      <c r="H129" s="144"/>
      <c r="I129" s="144"/>
      <c r="J129" s="144"/>
    </row>
    <row r="130" spans="1:10" ht="41.4" x14ac:dyDescent="0.3">
      <c r="A130" s="142">
        <v>6</v>
      </c>
      <c r="B130" s="26"/>
      <c r="C130" s="142" t="s">
        <v>334</v>
      </c>
      <c r="D130" s="142">
        <v>16</v>
      </c>
      <c r="E130" s="142">
        <v>32</v>
      </c>
      <c r="F130" s="142">
        <v>480</v>
      </c>
      <c r="G130" s="142">
        <v>1</v>
      </c>
      <c r="H130" s="143">
        <v>63233</v>
      </c>
      <c r="I130" s="143">
        <v>63233</v>
      </c>
      <c r="J130" s="143">
        <v>758796</v>
      </c>
    </row>
    <row r="131" spans="1:10" ht="15" thickBot="1" x14ac:dyDescent="0.35">
      <c r="A131" s="144"/>
      <c r="B131" s="144"/>
      <c r="C131" s="144"/>
      <c r="D131" s="144"/>
      <c r="E131" s="144"/>
      <c r="F131" s="144"/>
      <c r="G131" s="144"/>
      <c r="H131" s="144"/>
      <c r="I131" s="144"/>
      <c r="J131" s="144"/>
    </row>
    <row r="132" spans="1:10" x14ac:dyDescent="0.3">
      <c r="A132" s="142">
        <v>7</v>
      </c>
      <c r="B132" s="26"/>
      <c r="C132" s="142" t="s">
        <v>335</v>
      </c>
      <c r="D132" s="142">
        <v>4</v>
      </c>
      <c r="E132" s="142">
        <v>8</v>
      </c>
      <c r="F132" s="142">
        <v>120</v>
      </c>
      <c r="G132" s="142">
        <v>1</v>
      </c>
      <c r="H132" s="143">
        <v>16745</v>
      </c>
      <c r="I132" s="143">
        <v>16745</v>
      </c>
      <c r="J132" s="143">
        <v>200940</v>
      </c>
    </row>
    <row r="133" spans="1:10" ht="15" thickBot="1" x14ac:dyDescent="0.35">
      <c r="A133" s="144"/>
      <c r="B133" s="144"/>
      <c r="C133" s="144"/>
      <c r="D133" s="144"/>
      <c r="E133" s="144"/>
      <c r="F133" s="144"/>
      <c r="G133" s="144"/>
      <c r="H133" s="144"/>
      <c r="I133" s="144"/>
      <c r="J133" s="144"/>
    </row>
    <row r="134" spans="1:10" x14ac:dyDescent="0.3">
      <c r="A134" s="142">
        <v>8</v>
      </c>
      <c r="B134" s="26"/>
      <c r="C134" s="142" t="s">
        <v>336</v>
      </c>
      <c r="D134" s="142">
        <v>4</v>
      </c>
      <c r="E134" s="142">
        <v>8</v>
      </c>
      <c r="F134" s="142">
        <v>2170</v>
      </c>
      <c r="G134" s="142">
        <v>1</v>
      </c>
      <c r="H134" s="143">
        <v>37204</v>
      </c>
      <c r="I134" s="143">
        <v>37204</v>
      </c>
      <c r="J134" s="143">
        <v>446448</v>
      </c>
    </row>
    <row r="135" spans="1:10" ht="15" thickBot="1" x14ac:dyDescent="0.35">
      <c r="A135" s="144"/>
      <c r="B135" s="144"/>
      <c r="C135" s="144"/>
      <c r="D135" s="144"/>
      <c r="E135" s="144"/>
      <c r="F135" s="144"/>
      <c r="G135" s="144"/>
      <c r="H135" s="144"/>
      <c r="I135" s="144"/>
      <c r="J135" s="144"/>
    </row>
    <row r="136" spans="1:10" x14ac:dyDescent="0.3">
      <c r="A136" s="142">
        <v>9</v>
      </c>
      <c r="B136" s="26"/>
      <c r="C136" s="142" t="s">
        <v>337</v>
      </c>
      <c r="D136" s="142">
        <v>4</v>
      </c>
      <c r="E136" s="142">
        <v>8</v>
      </c>
      <c r="F136" s="142">
        <v>2520</v>
      </c>
      <c r="G136" s="142">
        <v>1</v>
      </c>
      <c r="H136" s="143">
        <v>40697</v>
      </c>
      <c r="I136" s="143">
        <v>40697</v>
      </c>
      <c r="J136" s="143">
        <v>488364</v>
      </c>
    </row>
    <row r="137" spans="1:10" ht="15" thickBot="1" x14ac:dyDescent="0.35">
      <c r="A137" s="144"/>
      <c r="B137" s="144"/>
      <c r="C137" s="144"/>
      <c r="D137" s="144"/>
      <c r="E137" s="144"/>
      <c r="F137" s="144"/>
      <c r="G137" s="144"/>
      <c r="H137" s="144"/>
      <c r="I137" s="144"/>
      <c r="J137" s="144"/>
    </row>
    <row r="138" spans="1:10" x14ac:dyDescent="0.3">
      <c r="A138" s="142">
        <v>10</v>
      </c>
      <c r="B138" s="26"/>
      <c r="C138" s="142" t="s">
        <v>338</v>
      </c>
      <c r="D138" s="142">
        <v>4</v>
      </c>
      <c r="E138" s="142">
        <v>8</v>
      </c>
      <c r="F138" s="142">
        <v>2520</v>
      </c>
      <c r="G138" s="142">
        <v>1</v>
      </c>
      <c r="H138" s="143">
        <v>40697</v>
      </c>
      <c r="I138" s="143">
        <v>40697</v>
      </c>
      <c r="J138" s="143">
        <v>488364</v>
      </c>
    </row>
    <row r="139" spans="1:10" ht="15" thickBot="1" x14ac:dyDescent="0.35">
      <c r="A139" s="144"/>
      <c r="B139" s="144"/>
      <c r="C139" s="144"/>
      <c r="D139" s="144"/>
      <c r="E139" s="144"/>
      <c r="F139" s="144"/>
      <c r="G139" s="144"/>
      <c r="H139" s="144"/>
      <c r="I139" s="144"/>
      <c r="J139" s="144"/>
    </row>
    <row r="140" spans="1:10" x14ac:dyDescent="0.3">
      <c r="A140" s="26"/>
      <c r="B140" s="26"/>
      <c r="C140" s="26"/>
      <c r="D140" s="142" t="s">
        <v>240</v>
      </c>
      <c r="E140" s="26"/>
      <c r="F140" s="26"/>
      <c r="G140" s="142">
        <v>10</v>
      </c>
      <c r="H140" s="26"/>
      <c r="I140" s="26"/>
      <c r="J140" s="148">
        <v>7013760</v>
      </c>
    </row>
    <row r="141" spans="1:10" ht="15" thickBot="1" x14ac:dyDescent="0.35">
      <c r="A141" s="410"/>
      <c r="B141" s="410"/>
      <c r="C141" s="410"/>
      <c r="D141" s="410"/>
      <c r="E141" s="144"/>
      <c r="F141" s="144"/>
      <c r="G141" s="144"/>
      <c r="H141" s="144"/>
      <c r="I141" s="144"/>
      <c r="J141" s="144"/>
    </row>
    <row r="142" spans="1:10" ht="15" thickBot="1" x14ac:dyDescent="0.35">
      <c r="A142" s="405"/>
      <c r="B142" s="405"/>
      <c r="C142" s="405"/>
      <c r="D142" s="405"/>
      <c r="E142" s="149"/>
      <c r="F142" s="149"/>
      <c r="G142" s="149"/>
      <c r="H142" s="149"/>
      <c r="I142" s="149"/>
      <c r="J142" s="149"/>
    </row>
    <row r="143" spans="1:10" x14ac:dyDescent="0.3">
      <c r="A143" s="411" t="s">
        <v>241</v>
      </c>
      <c r="B143" s="411"/>
      <c r="C143" s="411"/>
      <c r="D143" s="411"/>
      <c r="E143" s="26"/>
      <c r="F143" s="26"/>
      <c r="G143" s="26"/>
      <c r="H143" s="26"/>
      <c r="I143" s="26"/>
      <c r="J143" s="26"/>
    </row>
    <row r="144" spans="1:10" ht="15" thickBot="1" x14ac:dyDescent="0.35">
      <c r="A144" s="410"/>
      <c r="B144" s="410"/>
      <c r="C144" s="410"/>
      <c r="D144" s="410"/>
      <c r="E144" s="144"/>
      <c r="F144" s="144"/>
      <c r="G144" s="144"/>
      <c r="H144" s="144"/>
      <c r="I144" s="144"/>
      <c r="J144" s="144"/>
    </row>
    <row r="145" spans="1:10" ht="16.2" thickBot="1" x14ac:dyDescent="0.35">
      <c r="A145" s="404" t="s">
        <v>339</v>
      </c>
      <c r="B145" s="404"/>
      <c r="C145" s="404"/>
      <c r="D145" s="404"/>
      <c r="E145" s="146"/>
      <c r="F145" s="146"/>
      <c r="G145" s="145">
        <v>10</v>
      </c>
      <c r="H145" s="150">
        <v>2083</v>
      </c>
      <c r="I145" s="150">
        <v>20833.3</v>
      </c>
      <c r="J145" s="150">
        <v>249999.6</v>
      </c>
    </row>
    <row r="146" spans="1:10" ht="16.2" thickBot="1" x14ac:dyDescent="0.35">
      <c r="A146" s="404" t="s">
        <v>340</v>
      </c>
      <c r="B146" s="404"/>
      <c r="C146" s="404"/>
      <c r="D146" s="404"/>
      <c r="E146" s="146"/>
      <c r="F146" s="146"/>
      <c r="G146" s="145">
        <v>10</v>
      </c>
      <c r="H146" s="150">
        <v>4560</v>
      </c>
      <c r="I146" s="150">
        <v>45600</v>
      </c>
      <c r="J146" s="150">
        <v>547200</v>
      </c>
    </row>
    <row r="147" spans="1:10" ht="16.2" thickBot="1" x14ac:dyDescent="0.35">
      <c r="A147" s="408" t="s">
        <v>239</v>
      </c>
      <c r="B147" s="408"/>
      <c r="C147" s="408"/>
      <c r="D147" s="408"/>
      <c r="E147" s="408"/>
      <c r="F147" s="146"/>
      <c r="G147" s="145">
        <v>12</v>
      </c>
      <c r="H147" s="150">
        <v>22200</v>
      </c>
      <c r="I147" s="150">
        <v>266400</v>
      </c>
      <c r="J147" s="150">
        <v>3196800</v>
      </c>
    </row>
    <row r="148" spans="1:10" ht="16.2" thickBot="1" x14ac:dyDescent="0.35">
      <c r="A148" s="408" t="s">
        <v>341</v>
      </c>
      <c r="B148" s="408"/>
      <c r="C148" s="408"/>
      <c r="D148" s="146"/>
      <c r="E148" s="146"/>
      <c r="F148" s="146"/>
      <c r="G148" s="145">
        <v>1</v>
      </c>
      <c r="H148" s="150">
        <v>3340</v>
      </c>
      <c r="I148" s="150">
        <v>3340</v>
      </c>
      <c r="J148" s="150">
        <v>40080</v>
      </c>
    </row>
    <row r="149" spans="1:10" ht="16.2" thickBot="1" x14ac:dyDescent="0.35">
      <c r="A149" s="408" t="s">
        <v>244</v>
      </c>
      <c r="B149" s="408"/>
      <c r="C149" s="408"/>
      <c r="D149" s="408"/>
      <c r="E149" s="146"/>
      <c r="F149" s="146"/>
      <c r="G149" s="145">
        <v>3</v>
      </c>
      <c r="H149" s="150">
        <v>13440</v>
      </c>
      <c r="I149" s="150">
        <v>40320</v>
      </c>
      <c r="J149" s="150">
        <v>483840</v>
      </c>
    </row>
    <row r="150" spans="1:10" x14ac:dyDescent="0.3">
      <c r="A150" s="4"/>
      <c r="B150" s="4"/>
      <c r="C150" s="4"/>
      <c r="D150" s="142" t="s">
        <v>242</v>
      </c>
      <c r="E150" s="4"/>
      <c r="F150" s="4"/>
      <c r="G150" s="4"/>
      <c r="H150" s="4"/>
      <c r="I150" s="4"/>
      <c r="J150" s="143">
        <v>4517920</v>
      </c>
    </row>
    <row r="151" spans="1:10" ht="15" thickBot="1" x14ac:dyDescent="0.35">
      <c r="A151" s="409"/>
      <c r="B151" s="409"/>
      <c r="C151" s="409"/>
      <c r="D151" s="409"/>
      <c r="E151" s="151"/>
      <c r="F151" s="151"/>
      <c r="G151" s="151"/>
      <c r="H151" s="151"/>
      <c r="I151" s="151"/>
      <c r="J151" s="151"/>
    </row>
    <row r="152" spans="1:10" ht="15" thickBot="1" x14ac:dyDescent="0.35">
      <c r="A152" s="405"/>
      <c r="B152" s="405"/>
      <c r="C152" s="405"/>
      <c r="D152" s="405"/>
      <c r="E152" s="149"/>
      <c r="F152" s="149"/>
      <c r="G152" s="149"/>
      <c r="H152" s="149"/>
      <c r="I152" s="149"/>
      <c r="J152" s="149"/>
    </row>
    <row r="153" spans="1:10" ht="16.2" thickBot="1" x14ac:dyDescent="0.35">
      <c r="A153" s="404" t="s">
        <v>342</v>
      </c>
      <c r="B153" s="404"/>
      <c r="C153" s="404"/>
      <c r="D153" s="404"/>
      <c r="E153" s="146"/>
      <c r="F153" s="146"/>
      <c r="G153" s="146"/>
      <c r="H153" s="146"/>
      <c r="I153" s="146"/>
      <c r="J153" s="150">
        <v>11531679.6</v>
      </c>
    </row>
    <row r="154" spans="1:10" ht="16.2" thickBot="1" x14ac:dyDescent="0.35">
      <c r="A154" s="146"/>
      <c r="B154" s="146"/>
      <c r="C154" s="146"/>
      <c r="D154" s="407" t="s">
        <v>343</v>
      </c>
      <c r="E154" s="407"/>
      <c r="F154" s="146"/>
      <c r="G154" s="146"/>
      <c r="H154" s="146"/>
      <c r="I154" s="146"/>
      <c r="J154" s="150">
        <v>2882919.9</v>
      </c>
    </row>
    <row r="155" spans="1:10" ht="16.2" thickBot="1" x14ac:dyDescent="0.35">
      <c r="A155" s="404" t="s">
        <v>344</v>
      </c>
      <c r="B155" s="404"/>
      <c r="C155" s="404"/>
      <c r="D155" s="404"/>
      <c r="E155" s="404"/>
      <c r="F155" s="146"/>
      <c r="G155" s="146"/>
      <c r="H155" s="146"/>
      <c r="I155" s="146"/>
      <c r="J155" s="152">
        <v>8648760</v>
      </c>
    </row>
    <row r="156" spans="1:10" ht="15" thickBot="1" x14ac:dyDescent="0.35">
      <c r="A156" s="405"/>
      <c r="B156" s="405"/>
      <c r="C156" s="405"/>
      <c r="D156" s="405"/>
      <c r="E156" s="405"/>
      <c r="F156" s="149"/>
      <c r="G156" s="149"/>
      <c r="H156" s="149"/>
      <c r="I156" s="149"/>
      <c r="J156" s="149"/>
    </row>
    <row r="157" spans="1:10" ht="16.2" thickBot="1" x14ac:dyDescent="0.35">
      <c r="A157" s="404" t="s">
        <v>345</v>
      </c>
      <c r="B157" s="404"/>
      <c r="C157" s="404"/>
      <c r="D157" s="404"/>
      <c r="E157" s="404"/>
      <c r="F157" s="146"/>
      <c r="G157" s="145">
        <v>1</v>
      </c>
      <c r="H157" s="146"/>
      <c r="I157" s="146"/>
      <c r="J157" s="150">
        <v>3000000</v>
      </c>
    </row>
    <row r="158" spans="1:10" ht="15" thickBot="1" x14ac:dyDescent="0.35">
      <c r="A158" s="149"/>
      <c r="B158" s="405"/>
      <c r="C158" s="405"/>
      <c r="D158" s="405"/>
      <c r="E158" s="405"/>
      <c r="F158" s="405"/>
      <c r="G158" s="405"/>
      <c r="H158" s="405"/>
      <c r="I158" s="149"/>
      <c r="J158" s="149"/>
    </row>
    <row r="159" spans="1:10" x14ac:dyDescent="0.3">
      <c r="A159" s="26"/>
      <c r="B159" s="406" t="s">
        <v>346</v>
      </c>
      <c r="C159" s="406"/>
      <c r="D159" s="406"/>
      <c r="E159" s="406"/>
      <c r="F159" s="406"/>
      <c r="G159" s="406"/>
      <c r="H159" s="406"/>
      <c r="I159" s="26"/>
      <c r="J159" s="148">
        <v>11648760</v>
      </c>
    </row>
    <row r="160" spans="1:10" ht="15" thickBot="1" x14ac:dyDescent="0.35">
      <c r="A160" s="144"/>
      <c r="B160" s="144"/>
      <c r="C160" s="144"/>
      <c r="D160" s="144"/>
      <c r="E160" s="144"/>
      <c r="F160" s="144"/>
      <c r="G160" s="144"/>
      <c r="H160" s="144"/>
      <c r="I160" s="144"/>
      <c r="J160" s="144"/>
    </row>
  </sheetData>
  <mergeCells count="39">
    <mergeCell ref="A3:F3"/>
    <mergeCell ref="A4:A7"/>
    <mergeCell ref="A8:A11"/>
    <mergeCell ref="A12:A15"/>
    <mergeCell ref="A16:A19"/>
    <mergeCell ref="A47:F47"/>
    <mergeCell ref="C117:C118"/>
    <mergeCell ref="D117:D118"/>
    <mergeCell ref="A118:B119"/>
    <mergeCell ref="E118:E119"/>
    <mergeCell ref="F118:F119"/>
    <mergeCell ref="A85:A88"/>
    <mergeCell ref="A89:A92"/>
    <mergeCell ref="A93:A96"/>
    <mergeCell ref="A97:A100"/>
    <mergeCell ref="A48:A51"/>
    <mergeCell ref="A52:A55"/>
    <mergeCell ref="A56:A59"/>
    <mergeCell ref="A60:A63"/>
    <mergeCell ref="A80:F80"/>
    <mergeCell ref="A81:A84"/>
    <mergeCell ref="A141:D141"/>
    <mergeCell ref="A142:D142"/>
    <mergeCell ref="A143:D143"/>
    <mergeCell ref="A144:D144"/>
    <mergeCell ref="A145:D145"/>
    <mergeCell ref="A146:D146"/>
    <mergeCell ref="A147:E147"/>
    <mergeCell ref="A148:C148"/>
    <mergeCell ref="A149:D149"/>
    <mergeCell ref="A151:D151"/>
    <mergeCell ref="A157:E157"/>
    <mergeCell ref="B158:H158"/>
    <mergeCell ref="B159:H159"/>
    <mergeCell ref="A152:D152"/>
    <mergeCell ref="A153:D153"/>
    <mergeCell ref="D154:E154"/>
    <mergeCell ref="A155:E155"/>
    <mergeCell ref="A156:E156"/>
  </mergeCells>
  <pageMargins left="0.7" right="0.7" top="0.75" bottom="0.75" header="0.3" footer="0.3"/>
  <pageSetup paperSize="9"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CD76-DBAA-4026-9BA0-F1123535925A}">
  <sheetPr>
    <pageSetUpPr fitToPage="1"/>
  </sheetPr>
  <dimension ref="A1:P122"/>
  <sheetViews>
    <sheetView zoomScale="130" zoomScaleNormal="130" workbookViewId="0">
      <selection activeCell="B5" sqref="B5:E5"/>
    </sheetView>
  </sheetViews>
  <sheetFormatPr defaultRowHeight="14.4" x14ac:dyDescent="0.3"/>
  <cols>
    <col min="1" max="1" width="8.88671875" style="59"/>
    <col min="2" max="2" width="35.6640625" customWidth="1"/>
    <col min="3" max="3" width="16.44140625" customWidth="1"/>
    <col min="4" max="4" width="9.109375" customWidth="1"/>
    <col min="5" max="5" width="14.33203125" bestFit="1" customWidth="1"/>
    <col min="6" max="7" width="15.88671875" customWidth="1"/>
    <col min="8" max="8" width="17.44140625" bestFit="1"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ht="15" thickBot="1" x14ac:dyDescent="0.35">
      <c r="F1" s="39"/>
      <c r="G1" s="39"/>
      <c r="H1" s="39"/>
    </row>
    <row r="2" spans="1:14" ht="40.799999999999997" x14ac:dyDescent="0.3">
      <c r="A2" s="337" t="s">
        <v>222</v>
      </c>
      <c r="B2" s="338" t="s">
        <v>223</v>
      </c>
      <c r="C2" s="338" t="s">
        <v>224</v>
      </c>
      <c r="D2" s="339" t="s">
        <v>225</v>
      </c>
      <c r="E2" s="339" t="s">
        <v>226</v>
      </c>
      <c r="F2" s="340" t="s">
        <v>227</v>
      </c>
      <c r="G2" s="305"/>
    </row>
    <row r="3" spans="1:14" x14ac:dyDescent="0.3">
      <c r="A3" s="372" t="s">
        <v>602</v>
      </c>
      <c r="B3" s="373"/>
      <c r="C3" s="373"/>
      <c r="D3" s="373"/>
      <c r="E3" s="373"/>
      <c r="F3" s="374"/>
      <c r="G3" s="306"/>
      <c r="H3" s="1"/>
      <c r="I3" s="1"/>
      <c r="J3" s="1"/>
    </row>
    <row r="4" spans="1:14" x14ac:dyDescent="0.3">
      <c r="A4" s="375">
        <v>1</v>
      </c>
      <c r="B4" s="327" t="s">
        <v>603</v>
      </c>
      <c r="C4" s="328">
        <v>12</v>
      </c>
      <c r="D4" s="329"/>
      <c r="E4" s="329"/>
      <c r="F4" s="341">
        <f>SUM(F5:F7)*C4</f>
        <v>3676752</v>
      </c>
      <c r="G4" s="307"/>
      <c r="H4" s="41"/>
      <c r="M4" t="s">
        <v>213</v>
      </c>
      <c r="N4" s="40">
        <v>4449</v>
      </c>
    </row>
    <row r="5" spans="1:14" x14ac:dyDescent="0.3">
      <c r="A5" s="375"/>
      <c r="B5" s="330" t="s">
        <v>229</v>
      </c>
      <c r="C5" s="331">
        <v>1</v>
      </c>
      <c r="D5" s="332">
        <v>13349</v>
      </c>
      <c r="E5" s="332">
        <f>D5*C5</f>
        <v>13349</v>
      </c>
      <c r="F5" s="342">
        <f>E5*12</f>
        <v>160188</v>
      </c>
      <c r="G5" s="308"/>
      <c r="H5" s="41"/>
      <c r="M5" t="s">
        <v>214</v>
      </c>
      <c r="N5" s="40">
        <v>7349</v>
      </c>
    </row>
    <row r="6" spans="1:14" x14ac:dyDescent="0.3">
      <c r="A6" s="375"/>
      <c r="B6" s="333" t="s">
        <v>230</v>
      </c>
      <c r="C6" s="331">
        <v>12</v>
      </c>
      <c r="D6" s="334">
        <v>849</v>
      </c>
      <c r="E6" s="332">
        <f>D6*C6</f>
        <v>10188</v>
      </c>
      <c r="F6" s="342">
        <f>E6*12</f>
        <v>122256</v>
      </c>
      <c r="G6" s="308"/>
      <c r="H6" s="41"/>
      <c r="M6" t="s">
        <v>215</v>
      </c>
      <c r="N6">
        <v>13349</v>
      </c>
    </row>
    <row r="7" spans="1:14" x14ac:dyDescent="0.3">
      <c r="A7" s="375"/>
      <c r="B7" s="330" t="s">
        <v>231</v>
      </c>
      <c r="C7" s="331">
        <v>4</v>
      </c>
      <c r="D7" s="335">
        <v>499</v>
      </c>
      <c r="E7" s="332">
        <f>D7*C7</f>
        <v>1996</v>
      </c>
      <c r="F7" s="342">
        <f>E7*12</f>
        <v>23952</v>
      </c>
      <c r="G7" s="308"/>
      <c r="H7" s="41"/>
      <c r="M7" t="s">
        <v>216</v>
      </c>
      <c r="N7">
        <v>19949</v>
      </c>
    </row>
    <row r="8" spans="1:14" x14ac:dyDescent="0.3">
      <c r="A8" s="376">
        <v>2</v>
      </c>
      <c r="B8" s="327" t="s">
        <v>605</v>
      </c>
      <c r="C8" s="331">
        <v>2</v>
      </c>
      <c r="D8" s="329"/>
      <c r="E8" s="329"/>
      <c r="F8" s="341">
        <f>SUM(F9:F11)*C8</f>
        <v>1565496</v>
      </c>
      <c r="G8" s="307"/>
      <c r="H8" s="41"/>
      <c r="M8" t="s">
        <v>217</v>
      </c>
      <c r="N8">
        <v>25549</v>
      </c>
    </row>
    <row r="9" spans="1:14" x14ac:dyDescent="0.3">
      <c r="A9" s="376"/>
      <c r="B9" s="330" t="s">
        <v>236</v>
      </c>
      <c r="C9" s="331">
        <v>1</v>
      </c>
      <c r="D9" s="332">
        <v>49649</v>
      </c>
      <c r="E9" s="332">
        <f>D9*C9</f>
        <v>49649</v>
      </c>
      <c r="F9" s="342">
        <f>E9*12</f>
        <v>595788</v>
      </c>
      <c r="G9" s="308"/>
      <c r="H9" s="41"/>
      <c r="M9" t="s">
        <v>218</v>
      </c>
      <c r="N9">
        <v>49649</v>
      </c>
    </row>
    <row r="10" spans="1:14" x14ac:dyDescent="0.3">
      <c r="A10" s="376"/>
      <c r="B10" s="333" t="s">
        <v>230</v>
      </c>
      <c r="C10" s="331">
        <v>16</v>
      </c>
      <c r="D10" s="334">
        <v>849</v>
      </c>
      <c r="E10" s="332">
        <f>D10*C10</f>
        <v>13584</v>
      </c>
      <c r="F10" s="342">
        <f>E10*12</f>
        <v>163008</v>
      </c>
      <c r="G10" s="308"/>
      <c r="H10" s="41"/>
    </row>
    <row r="11" spans="1:14" x14ac:dyDescent="0.3">
      <c r="A11" s="376"/>
      <c r="B11" s="330" t="s">
        <v>232</v>
      </c>
      <c r="C11" s="331">
        <v>4</v>
      </c>
      <c r="D11" s="335">
        <v>499</v>
      </c>
      <c r="E11" s="332">
        <f>D11*C11</f>
        <v>1996</v>
      </c>
      <c r="F11" s="342">
        <f>E11*12</f>
        <v>23952</v>
      </c>
      <c r="G11" s="308"/>
      <c r="H11" s="41"/>
      <c r="I11" s="43"/>
      <c r="J11" s="44" t="s">
        <v>304</v>
      </c>
      <c r="K11" s="44" t="s">
        <v>305</v>
      </c>
      <c r="M11" t="s">
        <v>220</v>
      </c>
      <c r="N11">
        <v>2110</v>
      </c>
    </row>
    <row r="12" spans="1:14" x14ac:dyDescent="0.3">
      <c r="A12" s="376">
        <v>3</v>
      </c>
      <c r="B12" s="327" t="s">
        <v>604</v>
      </c>
      <c r="C12" s="331">
        <v>8</v>
      </c>
      <c r="D12" s="329"/>
      <c r="E12" s="329"/>
      <c r="F12" s="341">
        <f>SUM(F13:F15)*C12</f>
        <v>19161024</v>
      </c>
      <c r="G12" s="307"/>
      <c r="H12" s="41"/>
      <c r="I12" s="43" t="s">
        <v>263</v>
      </c>
      <c r="J12" s="118">
        <f>J27+744000</f>
        <v>10377278</v>
      </c>
      <c r="K12" s="119">
        <f>E35</f>
        <v>0</v>
      </c>
      <c r="M12" t="s">
        <v>219</v>
      </c>
      <c r="N12">
        <v>849</v>
      </c>
    </row>
    <row r="13" spans="1:14" x14ac:dyDescent="0.3">
      <c r="A13" s="376"/>
      <c r="B13" s="330" t="s">
        <v>236</v>
      </c>
      <c r="C13" s="331">
        <v>4</v>
      </c>
      <c r="D13" s="332">
        <v>49649</v>
      </c>
      <c r="E13" s="332">
        <f>D13*C13</f>
        <v>198596</v>
      </c>
      <c r="F13" s="342">
        <f>E13*12</f>
        <v>2383152</v>
      </c>
      <c r="G13" s="308"/>
      <c r="H13" s="41"/>
      <c r="I13" s="43" t="s">
        <v>265</v>
      </c>
      <c r="J13" s="43">
        <v>9689988</v>
      </c>
      <c r="K13" s="120">
        <f>E36</f>
        <v>0</v>
      </c>
      <c r="L13">
        <v>9701553</v>
      </c>
      <c r="M13" t="s">
        <v>221</v>
      </c>
      <c r="N13" s="42">
        <v>499</v>
      </c>
    </row>
    <row r="14" spans="1:14" x14ac:dyDescent="0.3">
      <c r="A14" s="376"/>
      <c r="B14" s="333" t="s">
        <v>230</v>
      </c>
      <c r="C14" s="331">
        <v>0</v>
      </c>
      <c r="D14" s="334">
        <v>849</v>
      </c>
      <c r="E14" s="332">
        <f>D14*C14</f>
        <v>0</v>
      </c>
      <c r="F14" s="342">
        <f>E14*12</f>
        <v>0</v>
      </c>
      <c r="G14" s="308"/>
      <c r="H14" s="41"/>
      <c r="I14" s="43" t="s">
        <v>266</v>
      </c>
      <c r="J14" s="43">
        <v>4232974</v>
      </c>
      <c r="K14" s="120">
        <f>E37</f>
        <v>0</v>
      </c>
      <c r="L14">
        <v>4215870</v>
      </c>
      <c r="M14">
        <v>21.89</v>
      </c>
    </row>
    <row r="15" spans="1:14" x14ac:dyDescent="0.3">
      <c r="A15" s="376"/>
      <c r="B15" s="330" t="s">
        <v>232</v>
      </c>
      <c r="C15" s="331">
        <v>2</v>
      </c>
      <c r="D15" s="335">
        <v>499</v>
      </c>
      <c r="E15" s="332">
        <f>D15*C15</f>
        <v>998</v>
      </c>
      <c r="F15" s="342">
        <f>E15*12</f>
        <v>11976</v>
      </c>
      <c r="G15" s="308"/>
      <c r="H15" s="41"/>
      <c r="I15" s="43"/>
      <c r="J15" s="43"/>
      <c r="K15" s="43"/>
      <c r="M15">
        <v>12.57</v>
      </c>
    </row>
    <row r="16" spans="1:14" x14ac:dyDescent="0.3">
      <c r="A16" s="343"/>
      <c r="B16" s="330"/>
      <c r="C16" s="331"/>
      <c r="D16" s="335"/>
      <c r="E16" s="332"/>
      <c r="F16" s="342"/>
      <c r="G16" s="308"/>
      <c r="H16" s="41"/>
      <c r="J16" t="s">
        <v>266</v>
      </c>
    </row>
    <row r="17" spans="1:10" x14ac:dyDescent="0.3">
      <c r="A17" s="343">
        <v>4</v>
      </c>
      <c r="B17" s="316" t="s">
        <v>598</v>
      </c>
      <c r="C17" s="74">
        <v>25</v>
      </c>
      <c r="D17" s="79">
        <v>2999</v>
      </c>
      <c r="E17" s="75">
        <f>D17*C17</f>
        <v>74975</v>
      </c>
      <c r="F17" s="75">
        <f>E17*12</f>
        <v>899700</v>
      </c>
      <c r="G17" s="308"/>
      <c r="H17" s="41"/>
    </row>
    <row r="18" spans="1:10" x14ac:dyDescent="0.3">
      <c r="A18" s="344"/>
      <c r="B18" s="326" t="s">
        <v>240</v>
      </c>
      <c r="C18" s="323"/>
      <c r="D18" s="323"/>
      <c r="E18" s="323"/>
      <c r="F18" s="345">
        <f>SUM(F12,F8,F4,F17)</f>
        <v>25302972</v>
      </c>
      <c r="G18" s="309"/>
      <c r="H18" s="41"/>
    </row>
    <row r="19" spans="1:10" x14ac:dyDescent="0.3">
      <c r="A19" s="343"/>
      <c r="B19" s="330"/>
      <c r="C19" s="331"/>
      <c r="D19" s="335"/>
      <c r="E19" s="332"/>
      <c r="F19" s="342"/>
      <c r="G19" s="308"/>
      <c r="H19" s="41"/>
    </row>
    <row r="20" spans="1:10" x14ac:dyDescent="0.3">
      <c r="A20" s="343"/>
      <c r="B20" s="336" t="s">
        <v>241</v>
      </c>
      <c r="C20" s="331"/>
      <c r="D20" s="335"/>
      <c r="E20" s="332"/>
      <c r="F20" s="342"/>
      <c r="G20" s="308"/>
      <c r="H20" s="41"/>
      <c r="I20">
        <v>1850</v>
      </c>
      <c r="J20">
        <f>25000/12</f>
        <v>2083.3333333333335</v>
      </c>
    </row>
    <row r="21" spans="1:10" x14ac:dyDescent="0.3">
      <c r="A21" s="343">
        <v>1</v>
      </c>
      <c r="B21" s="333" t="s">
        <v>237</v>
      </c>
      <c r="C21" s="331">
        <v>22</v>
      </c>
      <c r="D21" s="335">
        <v>2083</v>
      </c>
      <c r="E21" s="332">
        <f>D21*C21</f>
        <v>45826</v>
      </c>
      <c r="F21" s="342">
        <f>E21*12</f>
        <v>549912</v>
      </c>
      <c r="G21" s="308"/>
      <c r="H21" s="41"/>
    </row>
    <row r="22" spans="1:10" x14ac:dyDescent="0.3">
      <c r="A22" s="343">
        <v>2</v>
      </c>
      <c r="B22" s="333" t="s">
        <v>267</v>
      </c>
      <c r="C22" s="331">
        <v>22</v>
      </c>
      <c r="D22" s="335">
        <v>4670</v>
      </c>
      <c r="E22" s="332">
        <f>D22*C22</f>
        <v>102740</v>
      </c>
      <c r="F22" s="342">
        <f>E22*12</f>
        <v>1232880</v>
      </c>
      <c r="G22" s="308"/>
      <c r="H22" s="41"/>
    </row>
    <row r="23" spans="1:10" x14ac:dyDescent="0.3">
      <c r="A23" s="343">
        <v>3</v>
      </c>
      <c r="B23" s="333" t="s">
        <v>530</v>
      </c>
      <c r="C23" s="331">
        <v>22</v>
      </c>
      <c r="D23" s="335">
        <v>1950</v>
      </c>
      <c r="E23" s="332">
        <f>C23*D23</f>
        <v>42900</v>
      </c>
      <c r="F23" s="342">
        <f>E23*12</f>
        <v>514800</v>
      </c>
      <c r="G23" s="308"/>
      <c r="H23" s="41"/>
    </row>
    <row r="24" spans="1:10" x14ac:dyDescent="0.3">
      <c r="A24" s="346">
        <v>5</v>
      </c>
      <c r="B24" s="330" t="s">
        <v>287</v>
      </c>
      <c r="C24" s="331">
        <v>8</v>
      </c>
      <c r="D24" s="335">
        <v>1340</v>
      </c>
      <c r="E24" s="332">
        <f>D24*C24</f>
        <v>10720</v>
      </c>
      <c r="F24" s="342">
        <f>E24*12</f>
        <v>128640</v>
      </c>
      <c r="G24" s="308"/>
      <c r="H24" s="41"/>
      <c r="I24" t="s">
        <v>256</v>
      </c>
      <c r="J24" s="95">
        <v>2644848</v>
      </c>
    </row>
    <row r="25" spans="1:10" x14ac:dyDescent="0.3">
      <c r="A25" s="346">
        <v>6</v>
      </c>
      <c r="B25" s="330" t="s">
        <v>244</v>
      </c>
      <c r="C25" s="331">
        <v>8</v>
      </c>
      <c r="D25" s="335">
        <v>13440</v>
      </c>
      <c r="E25" s="332">
        <f>D25*C25</f>
        <v>107520</v>
      </c>
      <c r="F25" s="342">
        <f>E25*12</f>
        <v>1290240</v>
      </c>
      <c r="G25" s="308"/>
      <c r="H25" s="41"/>
      <c r="I25" t="s">
        <v>257</v>
      </c>
      <c r="J25" s="95">
        <v>6988430</v>
      </c>
    </row>
    <row r="26" spans="1:10" x14ac:dyDescent="0.3">
      <c r="A26" s="346"/>
      <c r="B26" s="332"/>
      <c r="C26" s="332"/>
      <c r="D26" s="332"/>
      <c r="E26" s="332"/>
      <c r="F26" s="342"/>
      <c r="G26" s="310"/>
    </row>
    <row r="27" spans="1:10" x14ac:dyDescent="0.3">
      <c r="A27" s="61"/>
      <c r="B27" s="43"/>
      <c r="C27" s="43"/>
      <c r="D27" s="43"/>
      <c r="E27" s="43"/>
      <c r="F27" s="47"/>
      <c r="J27" s="96">
        <f>SUM(J24:J25)</f>
        <v>9633278</v>
      </c>
    </row>
    <row r="28" spans="1:10" x14ac:dyDescent="0.3">
      <c r="A28" s="344"/>
      <c r="B28" s="326" t="s">
        <v>242</v>
      </c>
      <c r="C28" s="323"/>
      <c r="D28" s="323"/>
      <c r="E28" s="323"/>
      <c r="F28" s="345">
        <f>SUM(F21:F26)</f>
        <v>3716472</v>
      </c>
      <c r="G28" s="309"/>
    </row>
    <row r="29" spans="1:10" x14ac:dyDescent="0.3">
      <c r="A29" s="344"/>
      <c r="B29" s="323" t="s">
        <v>246</v>
      </c>
      <c r="C29" s="323"/>
      <c r="D29" s="323"/>
      <c r="E29" s="323"/>
      <c r="F29" s="345">
        <f>F28+F18</f>
        <v>29019444</v>
      </c>
      <c r="G29" s="308"/>
    </row>
    <row r="30" spans="1:10" x14ac:dyDescent="0.3">
      <c r="B30" s="332" t="s">
        <v>561</v>
      </c>
      <c r="C30" s="43"/>
      <c r="D30" s="43"/>
      <c r="E30" s="43"/>
      <c r="F30" s="345">
        <v>250000</v>
      </c>
    </row>
    <row r="31" spans="1:10" ht="15" thickBot="1" x14ac:dyDescent="0.35">
      <c r="A31" s="347"/>
      <c r="B31" s="348" t="s">
        <v>248</v>
      </c>
      <c r="C31" s="349"/>
      <c r="D31" s="349"/>
      <c r="E31" s="349"/>
      <c r="F31" s="350">
        <f>F29+F30</f>
        <v>29269444</v>
      </c>
      <c r="G31" s="311"/>
    </row>
    <row r="32" spans="1:10" x14ac:dyDescent="0.3">
      <c r="F32" s="325"/>
      <c r="G32" s="311"/>
    </row>
    <row r="34" spans="1:16" ht="15" thickBot="1" x14ac:dyDescent="0.35">
      <c r="F34" s="289">
        <f>SUM(F31:F32)</f>
        <v>29269444</v>
      </c>
      <c r="G34" s="289"/>
      <c r="K34" s="298" t="s">
        <v>556</v>
      </c>
      <c r="L34" s="298" t="s">
        <v>557</v>
      </c>
      <c r="M34" s="298" t="s">
        <v>308</v>
      </c>
      <c r="N34" s="298" t="s">
        <v>309</v>
      </c>
      <c r="O34" s="298" t="s">
        <v>558</v>
      </c>
      <c r="P34" s="298" t="s">
        <v>559</v>
      </c>
    </row>
    <row r="35" spans="1:16" ht="86.4" x14ac:dyDescent="0.3">
      <c r="B35" s="100"/>
      <c r="C35" s="103"/>
      <c r="D35" s="91"/>
      <c r="E35" s="91"/>
      <c r="I35" s="100"/>
      <c r="J35" s="292"/>
      <c r="K35" s="299">
        <v>1</v>
      </c>
      <c r="L35" s="299" t="s">
        <v>539</v>
      </c>
      <c r="M35" s="300" t="s">
        <v>541</v>
      </c>
      <c r="N35" s="299">
        <v>2</v>
      </c>
      <c r="O35" s="301">
        <v>480000</v>
      </c>
      <c r="P35" s="299">
        <f>N35*O35</f>
        <v>960000</v>
      </c>
    </row>
    <row r="36" spans="1:16" ht="86.4" x14ac:dyDescent="0.3">
      <c r="B36" s="101"/>
      <c r="C36" s="98"/>
      <c r="I36" s="101"/>
      <c r="J36" s="293"/>
      <c r="K36" s="299">
        <v>2</v>
      </c>
      <c r="L36" s="299" t="s">
        <v>333</v>
      </c>
      <c r="M36" s="300" t="s">
        <v>542</v>
      </c>
      <c r="N36" s="299">
        <v>2</v>
      </c>
      <c r="O36" s="301">
        <v>720000</v>
      </c>
      <c r="P36" s="299">
        <f t="shared" ref="P36:P42" si="0">N36*O36</f>
        <v>1440000</v>
      </c>
    </row>
    <row r="37" spans="1:16" ht="100.8" x14ac:dyDescent="0.3">
      <c r="B37" s="101"/>
      <c r="C37" s="98"/>
      <c r="I37" s="101"/>
      <c r="J37" s="293"/>
      <c r="K37" s="299">
        <v>3</v>
      </c>
      <c r="L37" s="299" t="s">
        <v>540</v>
      </c>
      <c r="M37" s="300" t="s">
        <v>547</v>
      </c>
      <c r="N37" s="299">
        <v>2</v>
      </c>
      <c r="O37" s="301">
        <v>840000</v>
      </c>
      <c r="P37" s="299">
        <f t="shared" si="0"/>
        <v>1680000</v>
      </c>
    </row>
    <row r="38" spans="1:16" ht="28.8" x14ac:dyDescent="0.3">
      <c r="B38" s="101"/>
      <c r="C38" s="98"/>
      <c r="D38" s="98"/>
      <c r="E38" s="91"/>
      <c r="I38" s="101"/>
      <c r="J38" s="293"/>
      <c r="K38" s="299">
        <v>4</v>
      </c>
      <c r="L38" s="299" t="s">
        <v>543</v>
      </c>
      <c r="M38" s="300" t="s">
        <v>544</v>
      </c>
      <c r="N38" s="299">
        <v>1</v>
      </c>
      <c r="O38" s="301">
        <v>3480000</v>
      </c>
      <c r="P38" s="299">
        <f t="shared" si="0"/>
        <v>3480000</v>
      </c>
    </row>
    <row r="39" spans="1:16" x14ac:dyDescent="0.3">
      <c r="B39" s="101"/>
      <c r="C39" s="98"/>
      <c r="D39" s="98"/>
      <c r="F39" s="91"/>
      <c r="G39" s="91"/>
      <c r="I39" s="101"/>
      <c r="J39" s="293"/>
      <c r="K39" s="299">
        <v>5</v>
      </c>
      <c r="L39" s="299" t="s">
        <v>545</v>
      </c>
      <c r="M39" s="300" t="s">
        <v>546</v>
      </c>
      <c r="N39" s="299">
        <v>2</v>
      </c>
      <c r="O39" s="301">
        <v>480000</v>
      </c>
      <c r="P39" s="299">
        <f t="shared" si="0"/>
        <v>960000</v>
      </c>
    </row>
    <row r="40" spans="1:16" ht="43.8" thickBot="1" x14ac:dyDescent="0.35">
      <c r="B40" s="102"/>
      <c r="C40" s="99"/>
      <c r="D40" s="99"/>
      <c r="I40" s="101"/>
      <c r="J40" s="293"/>
      <c r="K40" s="299">
        <v>6</v>
      </c>
      <c r="L40" s="299" t="s">
        <v>548</v>
      </c>
      <c r="M40" s="300" t="s">
        <v>549</v>
      </c>
      <c r="N40" s="299">
        <v>2</v>
      </c>
      <c r="O40" s="301">
        <v>620000</v>
      </c>
      <c r="P40" s="299">
        <f t="shared" si="0"/>
        <v>1240000</v>
      </c>
    </row>
    <row r="41" spans="1:16" x14ac:dyDescent="0.3">
      <c r="I41" s="101"/>
      <c r="J41" s="294"/>
      <c r="K41" s="299">
        <v>7</v>
      </c>
      <c r="L41" s="299" t="s">
        <v>554</v>
      </c>
      <c r="M41" s="299"/>
      <c r="N41" s="299">
        <v>6</v>
      </c>
      <c r="O41" s="301">
        <v>220000</v>
      </c>
      <c r="P41" s="299">
        <f t="shared" si="0"/>
        <v>1320000</v>
      </c>
    </row>
    <row r="42" spans="1:16" x14ac:dyDescent="0.3">
      <c r="I42" s="101"/>
      <c r="J42" s="295"/>
      <c r="K42" s="299">
        <v>8</v>
      </c>
      <c r="L42" s="299" t="s">
        <v>560</v>
      </c>
      <c r="M42" s="299"/>
      <c r="N42" s="299">
        <v>12</v>
      </c>
      <c r="O42" s="301">
        <v>650000</v>
      </c>
      <c r="P42" s="299">
        <f t="shared" si="0"/>
        <v>7800000</v>
      </c>
    </row>
    <row r="43" spans="1:16" ht="15" thickBot="1" x14ac:dyDescent="0.35">
      <c r="A43" s="65"/>
      <c r="B43" s="66"/>
      <c r="C43" s="66"/>
      <c r="D43" s="67"/>
      <c r="E43" s="67"/>
      <c r="F43" s="68"/>
      <c r="G43" s="305"/>
      <c r="I43" s="102"/>
      <c r="J43" s="296"/>
      <c r="K43" s="299"/>
      <c r="L43" s="299"/>
      <c r="M43" s="299"/>
      <c r="N43" s="299"/>
      <c r="O43" s="299"/>
      <c r="P43" s="299"/>
    </row>
    <row r="44" spans="1:16" ht="15" thickBot="1" x14ac:dyDescent="0.35">
      <c r="A44" s="377"/>
      <c r="B44" s="378"/>
      <c r="C44" s="378"/>
      <c r="D44" s="378"/>
      <c r="E44" s="378"/>
      <c r="F44" s="379"/>
      <c r="G44" s="306"/>
      <c r="I44" s="115"/>
      <c r="J44" s="297"/>
      <c r="K44" s="299"/>
      <c r="L44" s="299"/>
      <c r="M44" s="299"/>
      <c r="N44" s="299"/>
      <c r="O44" s="299"/>
      <c r="P44" s="302">
        <f>SUM(P35:P42)</f>
        <v>18880000</v>
      </c>
    </row>
    <row r="45" spans="1:16" ht="15" thickBot="1" x14ac:dyDescent="0.35">
      <c r="A45" s="369"/>
      <c r="B45" s="69"/>
      <c r="C45" s="70"/>
      <c r="D45" s="71"/>
      <c r="E45" s="71"/>
      <c r="F45" s="72"/>
      <c r="G45" s="307"/>
      <c r="I45" s="117"/>
      <c r="J45" s="110"/>
      <c r="K45" s="290"/>
      <c r="L45" s="290"/>
      <c r="M45" s="290"/>
      <c r="N45" s="290"/>
      <c r="O45" s="290"/>
      <c r="P45" s="291"/>
    </row>
    <row r="46" spans="1:16" ht="15" thickBot="1" x14ac:dyDescent="0.35">
      <c r="A46" s="370"/>
      <c r="B46" s="73"/>
      <c r="C46" s="74"/>
      <c r="D46" s="75"/>
      <c r="E46" s="75"/>
      <c r="F46" s="75"/>
      <c r="G46" s="308"/>
      <c r="I46" s="117"/>
      <c r="J46" s="110"/>
      <c r="K46" s="290"/>
      <c r="L46" s="290"/>
      <c r="M46" s="290"/>
      <c r="N46" s="290"/>
      <c r="O46" s="290"/>
      <c r="P46" s="290"/>
    </row>
    <row r="47" spans="1:16" x14ac:dyDescent="0.3">
      <c r="A47" s="370"/>
      <c r="B47" s="76"/>
      <c r="C47" s="74"/>
      <c r="D47" s="77"/>
      <c r="E47" s="75"/>
      <c r="F47" s="75"/>
      <c r="G47" s="308"/>
      <c r="K47" s="290"/>
      <c r="L47" s="290"/>
      <c r="M47" s="290"/>
      <c r="N47" s="290"/>
      <c r="O47" s="290"/>
      <c r="P47" s="290"/>
    </row>
    <row r="48" spans="1:16" x14ac:dyDescent="0.3">
      <c r="A48" s="371"/>
      <c r="B48" s="78"/>
      <c r="C48" s="74"/>
      <c r="D48" s="79"/>
      <c r="E48" s="75"/>
      <c r="F48" s="75"/>
      <c r="G48" s="308"/>
      <c r="K48" s="290"/>
      <c r="L48" s="290"/>
      <c r="M48" s="290"/>
      <c r="N48" s="290"/>
      <c r="O48" s="290"/>
      <c r="P48" s="290"/>
    </row>
    <row r="49" spans="1:16" x14ac:dyDescent="0.3">
      <c r="A49" s="381"/>
      <c r="B49" s="69"/>
      <c r="C49" s="70"/>
      <c r="D49" s="71"/>
      <c r="E49" s="71"/>
      <c r="F49" s="72"/>
      <c r="G49" s="307"/>
      <c r="K49" s="380" t="s">
        <v>550</v>
      </c>
      <c r="L49" s="380"/>
      <c r="M49" s="380"/>
      <c r="N49" s="380"/>
      <c r="O49" s="380"/>
      <c r="P49" s="380"/>
    </row>
    <row r="50" spans="1:16" x14ac:dyDescent="0.3">
      <c r="A50" s="382"/>
      <c r="B50" s="73"/>
      <c r="C50" s="74"/>
      <c r="D50" s="75"/>
      <c r="E50" s="75"/>
      <c r="F50" s="75"/>
      <c r="G50" s="308"/>
      <c r="K50" s="299"/>
      <c r="L50" s="299"/>
      <c r="M50" s="299"/>
      <c r="N50" s="299"/>
      <c r="O50" s="299" t="s">
        <v>553</v>
      </c>
      <c r="P50" s="299"/>
    </row>
    <row r="51" spans="1:16" x14ac:dyDescent="0.3">
      <c r="A51" s="382"/>
      <c r="B51" s="76"/>
      <c r="C51" s="74"/>
      <c r="D51" s="77"/>
      <c r="E51" s="75"/>
      <c r="F51" s="75"/>
      <c r="G51" s="308"/>
      <c r="K51" s="299">
        <v>1</v>
      </c>
      <c r="L51" s="299" t="s">
        <v>551</v>
      </c>
      <c r="M51" s="299"/>
      <c r="N51" s="299">
        <v>2</v>
      </c>
      <c r="O51" s="301">
        <v>840000</v>
      </c>
      <c r="P51" s="299">
        <f>N51*O51</f>
        <v>1680000</v>
      </c>
    </row>
    <row r="52" spans="1:16" x14ac:dyDescent="0.3">
      <c r="A52" s="383"/>
      <c r="B52" s="78"/>
      <c r="C52" s="74"/>
      <c r="D52" s="79"/>
      <c r="E52" s="75"/>
      <c r="F52" s="75"/>
      <c r="G52" s="308"/>
      <c r="K52" s="299">
        <v>2</v>
      </c>
      <c r="L52" s="299" t="s">
        <v>552</v>
      </c>
      <c r="M52" s="299"/>
      <c r="N52" s="299">
        <v>2</v>
      </c>
      <c r="O52" s="301">
        <v>1640000</v>
      </c>
      <c r="P52" s="299">
        <f>N52*O52</f>
        <v>3280000</v>
      </c>
    </row>
    <row r="53" spans="1:16" x14ac:dyDescent="0.3">
      <c r="A53" s="381"/>
      <c r="B53" s="69"/>
      <c r="C53" s="70"/>
      <c r="D53" s="71"/>
      <c r="E53" s="71"/>
      <c r="F53" s="72"/>
      <c r="G53" s="307"/>
      <c r="K53" s="299">
        <v>3</v>
      </c>
      <c r="L53" s="299" t="s">
        <v>555</v>
      </c>
      <c r="M53" s="299"/>
      <c r="N53" s="299">
        <v>6</v>
      </c>
      <c r="O53" s="301">
        <v>600000</v>
      </c>
      <c r="P53" s="299">
        <f>N53*O53</f>
        <v>3600000</v>
      </c>
    </row>
    <row r="54" spans="1:16" x14ac:dyDescent="0.3">
      <c r="A54" s="382"/>
      <c r="B54" s="73"/>
      <c r="C54" s="74"/>
      <c r="D54" s="75"/>
      <c r="E54" s="75"/>
      <c r="F54" s="75"/>
      <c r="G54" s="308"/>
      <c r="K54" s="299"/>
      <c r="L54" s="299"/>
      <c r="M54" s="299"/>
      <c r="N54" s="299"/>
      <c r="O54" s="299"/>
      <c r="P54" s="299"/>
    </row>
    <row r="55" spans="1:16" x14ac:dyDescent="0.3">
      <c r="A55" s="382"/>
      <c r="B55" s="76"/>
      <c r="C55" s="74"/>
      <c r="D55" s="77"/>
      <c r="E55" s="75"/>
      <c r="F55" s="75"/>
      <c r="G55" s="308"/>
      <c r="K55" s="299"/>
      <c r="L55" s="299"/>
      <c r="M55" s="299"/>
      <c r="N55" s="299"/>
      <c r="O55" s="299"/>
      <c r="P55" s="302">
        <f>SUM(P51:P53)</f>
        <v>8560000</v>
      </c>
    </row>
    <row r="56" spans="1:16" x14ac:dyDescent="0.3">
      <c r="A56" s="383"/>
      <c r="B56" s="78"/>
      <c r="C56" s="74"/>
      <c r="D56" s="79"/>
      <c r="E56" s="75"/>
      <c r="F56" s="75"/>
      <c r="G56" s="308"/>
    </row>
    <row r="57" spans="1:16" x14ac:dyDescent="0.3">
      <c r="A57" s="381"/>
      <c r="B57" s="69"/>
      <c r="C57" s="70"/>
      <c r="D57" s="71"/>
      <c r="E57" s="71"/>
      <c r="F57" s="72"/>
      <c r="G57" s="307"/>
    </row>
    <row r="58" spans="1:16" x14ac:dyDescent="0.3">
      <c r="A58" s="382"/>
      <c r="B58" s="73"/>
      <c r="C58" s="74"/>
      <c r="D58" s="75"/>
      <c r="E58" s="75"/>
      <c r="F58" s="75"/>
      <c r="G58" s="308"/>
    </row>
    <row r="59" spans="1:16" x14ac:dyDescent="0.3">
      <c r="A59" s="382"/>
      <c r="B59" s="76"/>
      <c r="C59" s="74"/>
      <c r="D59" s="77"/>
      <c r="E59" s="75"/>
      <c r="F59" s="75"/>
      <c r="G59" s="308"/>
    </row>
    <row r="60" spans="1:16" x14ac:dyDescent="0.3">
      <c r="A60" s="383"/>
      <c r="B60" s="78"/>
      <c r="C60" s="74"/>
      <c r="D60" s="79"/>
      <c r="E60" s="75"/>
      <c r="F60" s="75"/>
      <c r="G60" s="308"/>
    </row>
    <row r="61" spans="1:16" x14ac:dyDescent="0.3">
      <c r="A61" s="88"/>
      <c r="B61" s="89"/>
      <c r="C61" s="74"/>
      <c r="D61" s="79"/>
      <c r="E61" s="75"/>
      <c r="F61" s="75"/>
      <c r="G61" s="308"/>
    </row>
    <row r="62" spans="1:16" x14ac:dyDescent="0.3">
      <c r="A62" s="87"/>
      <c r="B62" s="66"/>
      <c r="C62" s="87"/>
      <c r="D62" s="87"/>
      <c r="E62" s="87"/>
      <c r="F62" s="92"/>
      <c r="G62" s="311"/>
    </row>
    <row r="63" spans="1:16" x14ac:dyDescent="0.3">
      <c r="A63" s="81"/>
      <c r="B63" s="89"/>
      <c r="C63" s="74"/>
      <c r="D63" s="79"/>
      <c r="E63" s="75"/>
      <c r="F63" s="75"/>
      <c r="G63" s="308"/>
      <c r="J63" t="s">
        <v>566</v>
      </c>
    </row>
    <row r="64" spans="1:16" x14ac:dyDescent="0.3">
      <c r="A64" s="81"/>
      <c r="B64" s="90"/>
      <c r="C64" s="74"/>
      <c r="D64" s="79"/>
      <c r="E64" s="75"/>
      <c r="F64" s="75"/>
      <c r="G64" s="308"/>
      <c r="H64" t="s">
        <v>564</v>
      </c>
      <c r="I64" t="s">
        <v>63</v>
      </c>
    </row>
    <row r="65" spans="1:12" x14ac:dyDescent="0.3">
      <c r="A65" s="81"/>
      <c r="B65" s="82"/>
      <c r="C65" s="74"/>
      <c r="D65" s="79"/>
      <c r="E65" s="75"/>
      <c r="F65" s="75"/>
      <c r="G65" s="308"/>
    </row>
    <row r="66" spans="1:12" x14ac:dyDescent="0.3">
      <c r="A66" s="81"/>
      <c r="B66" s="82"/>
      <c r="C66" s="74"/>
      <c r="D66" s="79"/>
      <c r="E66" s="75"/>
      <c r="F66" s="75"/>
      <c r="G66" s="308">
        <v>1000</v>
      </c>
      <c r="H66">
        <f>G66*3</f>
        <v>3000</v>
      </c>
      <c r="J66" t="s">
        <v>562</v>
      </c>
      <c r="K66" t="s">
        <v>563</v>
      </c>
      <c r="L66" t="s">
        <v>565</v>
      </c>
    </row>
    <row r="67" spans="1:12" x14ac:dyDescent="0.3">
      <c r="A67" s="83"/>
      <c r="B67" s="84"/>
      <c r="C67" s="74"/>
      <c r="D67" s="79"/>
      <c r="E67" s="75"/>
      <c r="F67" s="75"/>
      <c r="G67" s="308"/>
    </row>
    <row r="68" spans="1:12" x14ac:dyDescent="0.3">
      <c r="A68" s="83"/>
      <c r="B68" s="84"/>
      <c r="C68" s="74"/>
      <c r="D68" s="79"/>
      <c r="E68" s="75"/>
      <c r="F68" s="75"/>
      <c r="G68" s="308"/>
    </row>
    <row r="69" spans="1:12" x14ac:dyDescent="0.3">
      <c r="A69" s="83"/>
      <c r="B69" s="84"/>
      <c r="C69" s="74"/>
      <c r="D69" s="79"/>
      <c r="E69" s="75"/>
      <c r="F69" s="75"/>
      <c r="G69" s="308"/>
    </row>
    <row r="70" spans="1:12" x14ac:dyDescent="0.3">
      <c r="A70" s="83"/>
      <c r="B70" s="68"/>
      <c r="C70" s="74"/>
      <c r="D70" s="75"/>
      <c r="E70" s="85"/>
      <c r="F70" s="75"/>
      <c r="G70" s="308"/>
    </row>
    <row r="71" spans="1:12" x14ac:dyDescent="0.3">
      <c r="A71" s="87"/>
      <c r="B71" s="66"/>
      <c r="C71" s="87"/>
      <c r="D71" s="87"/>
      <c r="E71" s="87"/>
      <c r="F71" s="92"/>
      <c r="G71" s="311"/>
    </row>
    <row r="72" spans="1:12" x14ac:dyDescent="0.3">
      <c r="A72" s="87"/>
      <c r="B72" s="87"/>
      <c r="C72" s="87"/>
      <c r="D72" s="87"/>
      <c r="E72" s="87"/>
      <c r="F72" s="75"/>
      <c r="G72" s="308"/>
    </row>
    <row r="73" spans="1:12" x14ac:dyDescent="0.3">
      <c r="A73" s="87"/>
      <c r="B73" s="87"/>
      <c r="C73" s="87"/>
      <c r="D73" s="87"/>
      <c r="E73" s="87"/>
      <c r="F73" s="75"/>
      <c r="G73" s="308"/>
    </row>
    <row r="74" spans="1:12" x14ac:dyDescent="0.3">
      <c r="A74" s="87"/>
      <c r="B74" s="93"/>
      <c r="C74" s="87"/>
      <c r="D74" s="87"/>
      <c r="E74" s="87"/>
      <c r="F74" s="92"/>
      <c r="G74" s="311"/>
    </row>
    <row r="76" spans="1:12" x14ac:dyDescent="0.3">
      <c r="A76" s="65"/>
      <c r="B76" s="66"/>
      <c r="C76" s="66"/>
      <c r="D76" s="67"/>
      <c r="E76" s="67"/>
      <c r="F76" s="68"/>
      <c r="G76" s="305"/>
    </row>
    <row r="77" spans="1:12" x14ac:dyDescent="0.3">
      <c r="A77" s="377"/>
      <c r="B77" s="378"/>
      <c r="C77" s="378"/>
      <c r="D77" s="378"/>
      <c r="E77" s="378"/>
      <c r="F77" s="379"/>
      <c r="G77" s="306"/>
    </row>
    <row r="78" spans="1:12" x14ac:dyDescent="0.3">
      <c r="A78" s="369"/>
      <c r="B78" s="69"/>
      <c r="C78" s="70"/>
      <c r="D78" s="71"/>
      <c r="E78" s="71"/>
      <c r="F78" s="72"/>
      <c r="G78" s="307"/>
    </row>
    <row r="79" spans="1:12" x14ac:dyDescent="0.3">
      <c r="A79" s="370"/>
      <c r="B79" s="73"/>
      <c r="C79" s="74"/>
      <c r="D79" s="75"/>
      <c r="E79" s="75"/>
      <c r="F79" s="75"/>
      <c r="G79" s="308"/>
    </row>
    <row r="80" spans="1:12" x14ac:dyDescent="0.3">
      <c r="A80" s="370"/>
      <c r="B80" s="76"/>
      <c r="C80" s="74"/>
      <c r="D80" s="77"/>
      <c r="E80" s="75"/>
      <c r="F80" s="75"/>
      <c r="G80" s="308"/>
    </row>
    <row r="81" spans="1:7" x14ac:dyDescent="0.3">
      <c r="A81" s="371"/>
      <c r="B81" s="78"/>
      <c r="C81" s="74"/>
      <c r="D81" s="79"/>
      <c r="E81" s="75"/>
      <c r="F81" s="75"/>
      <c r="G81" s="308"/>
    </row>
    <row r="82" spans="1:7" x14ac:dyDescent="0.3">
      <c r="A82" s="369"/>
      <c r="B82" s="69"/>
      <c r="C82" s="70"/>
      <c r="D82" s="71"/>
      <c r="E82" s="71"/>
      <c r="F82" s="72"/>
      <c r="G82" s="307"/>
    </row>
    <row r="83" spans="1:7" x14ac:dyDescent="0.3">
      <c r="A83" s="370"/>
      <c r="B83" s="73"/>
      <c r="C83" s="74"/>
      <c r="D83" s="75"/>
      <c r="E83" s="75"/>
      <c r="F83" s="75"/>
      <c r="G83" s="308"/>
    </row>
    <row r="84" spans="1:7" x14ac:dyDescent="0.3">
      <c r="A84" s="370"/>
      <c r="B84" s="76"/>
      <c r="C84" s="74"/>
      <c r="D84" s="77"/>
      <c r="E84" s="75"/>
      <c r="F84" s="75"/>
      <c r="G84" s="308"/>
    </row>
    <row r="85" spans="1:7" x14ac:dyDescent="0.3">
      <c r="A85" s="371"/>
      <c r="B85" s="78"/>
      <c r="C85" s="74"/>
      <c r="D85" s="79"/>
      <c r="E85" s="75"/>
      <c r="F85" s="75"/>
      <c r="G85" s="308"/>
    </row>
    <row r="86" spans="1:7" x14ac:dyDescent="0.3">
      <c r="A86" s="381"/>
      <c r="B86" s="69"/>
      <c r="C86" s="70"/>
      <c r="D86" s="71"/>
      <c r="E86" s="71"/>
      <c r="F86" s="72"/>
      <c r="G86" s="307"/>
    </row>
    <row r="87" spans="1:7" x14ac:dyDescent="0.3">
      <c r="A87" s="382"/>
      <c r="B87" s="73"/>
      <c r="C87" s="74"/>
      <c r="D87" s="75"/>
      <c r="E87" s="75"/>
      <c r="F87" s="75"/>
      <c r="G87" s="308"/>
    </row>
    <row r="88" spans="1:7" x14ac:dyDescent="0.3">
      <c r="A88" s="382"/>
      <c r="B88" s="76"/>
      <c r="C88" s="74"/>
      <c r="D88" s="77"/>
      <c r="E88" s="75"/>
      <c r="F88" s="75"/>
      <c r="G88" s="308"/>
    </row>
    <row r="89" spans="1:7" x14ac:dyDescent="0.3">
      <c r="A89" s="383"/>
      <c r="B89" s="78"/>
      <c r="C89" s="74"/>
      <c r="D89" s="79"/>
      <c r="E89" s="75"/>
      <c r="F89" s="75"/>
      <c r="G89" s="308"/>
    </row>
    <row r="90" spans="1:7" x14ac:dyDescent="0.3">
      <c r="A90" s="381"/>
      <c r="B90" s="69"/>
      <c r="C90" s="70"/>
      <c r="D90" s="71"/>
      <c r="E90" s="71"/>
      <c r="F90" s="72"/>
      <c r="G90" s="307"/>
    </row>
    <row r="91" spans="1:7" x14ac:dyDescent="0.3">
      <c r="A91" s="382"/>
      <c r="B91" s="73"/>
      <c r="C91" s="74"/>
      <c r="D91" s="75"/>
      <c r="E91" s="75"/>
      <c r="F91" s="75"/>
      <c r="G91" s="308"/>
    </row>
    <row r="92" spans="1:7" x14ac:dyDescent="0.3">
      <c r="A92" s="382"/>
      <c r="B92" s="76"/>
      <c r="C92" s="74"/>
      <c r="D92" s="77"/>
      <c r="E92" s="75"/>
      <c r="F92" s="75"/>
      <c r="G92" s="308"/>
    </row>
    <row r="93" spans="1:7" x14ac:dyDescent="0.3">
      <c r="A93" s="383"/>
      <c r="B93" s="78"/>
      <c r="C93" s="74"/>
      <c r="D93" s="79"/>
      <c r="E93" s="75"/>
      <c r="F93" s="75"/>
      <c r="G93" s="308"/>
    </row>
    <row r="94" spans="1:7" x14ac:dyDescent="0.3">
      <c r="A94" s="381"/>
      <c r="B94" s="69"/>
      <c r="C94" s="70"/>
      <c r="D94" s="71"/>
      <c r="E94" s="71"/>
      <c r="F94" s="72"/>
      <c r="G94" s="307"/>
    </row>
    <row r="95" spans="1:7" x14ac:dyDescent="0.3">
      <c r="A95" s="382"/>
      <c r="B95" s="73"/>
      <c r="C95" s="74"/>
      <c r="D95" s="75"/>
      <c r="E95" s="75"/>
      <c r="F95" s="75"/>
      <c r="G95" s="308"/>
    </row>
    <row r="96" spans="1:7" x14ac:dyDescent="0.3">
      <c r="A96" s="382"/>
      <c r="B96" s="76"/>
      <c r="C96" s="74"/>
      <c r="D96" s="77"/>
      <c r="E96" s="75"/>
      <c r="F96" s="75"/>
      <c r="G96" s="308"/>
    </row>
    <row r="97" spans="1:7" x14ac:dyDescent="0.3">
      <c r="A97" s="383"/>
      <c r="B97" s="78"/>
      <c r="C97" s="74"/>
      <c r="D97" s="79"/>
      <c r="E97" s="75"/>
      <c r="F97" s="75"/>
      <c r="G97" s="308"/>
    </row>
    <row r="98" spans="1:7" x14ac:dyDescent="0.3">
      <c r="A98" s="88"/>
      <c r="B98" s="89"/>
      <c r="C98" s="74"/>
      <c r="D98" s="79"/>
      <c r="E98" s="75"/>
      <c r="F98" s="75"/>
      <c r="G98" s="308"/>
    </row>
    <row r="99" spans="1:7" x14ac:dyDescent="0.3">
      <c r="A99" s="87"/>
      <c r="B99" s="66"/>
      <c r="C99" s="87"/>
      <c r="D99" s="87"/>
      <c r="E99" s="87"/>
      <c r="F99" s="92"/>
      <c r="G99" s="311"/>
    </row>
    <row r="100" spans="1:7" x14ac:dyDescent="0.3">
      <c r="A100" s="81"/>
      <c r="B100" s="89"/>
      <c r="C100" s="74"/>
      <c r="D100" s="79"/>
      <c r="E100" s="75"/>
      <c r="F100" s="75"/>
      <c r="G100" s="308"/>
    </row>
    <row r="101" spans="1:7" x14ac:dyDescent="0.3">
      <c r="A101" s="81"/>
      <c r="B101" s="90"/>
      <c r="C101" s="74"/>
      <c r="D101" s="79"/>
      <c r="E101" s="75"/>
      <c r="F101" s="75"/>
      <c r="G101" s="308"/>
    </row>
    <row r="102" spans="1:7" x14ac:dyDescent="0.3">
      <c r="A102" s="81"/>
      <c r="B102" s="82"/>
      <c r="C102" s="74"/>
      <c r="D102" s="79"/>
      <c r="E102" s="75"/>
      <c r="F102" s="75"/>
      <c r="G102" s="308"/>
    </row>
    <row r="103" spans="1:7" x14ac:dyDescent="0.3">
      <c r="A103" s="81"/>
      <c r="B103" s="82"/>
      <c r="C103" s="74"/>
      <c r="D103" s="79"/>
      <c r="E103" s="75"/>
      <c r="F103" s="75"/>
      <c r="G103" s="308"/>
    </row>
    <row r="104" spans="1:7" x14ac:dyDescent="0.3">
      <c r="A104" s="83"/>
      <c r="B104" s="84"/>
      <c r="C104" s="74"/>
      <c r="D104" s="79"/>
      <c r="E104" s="75"/>
      <c r="F104" s="75"/>
      <c r="G104" s="308"/>
    </row>
    <row r="105" spans="1:7" x14ac:dyDescent="0.3">
      <c r="A105" s="83"/>
      <c r="B105" s="84"/>
      <c r="C105" s="74"/>
      <c r="D105" s="79"/>
      <c r="E105" s="75"/>
      <c r="F105" s="75"/>
      <c r="G105" s="308"/>
    </row>
    <row r="106" spans="1:7" x14ac:dyDescent="0.3">
      <c r="A106" s="83"/>
      <c r="B106" s="84"/>
      <c r="C106" s="74"/>
      <c r="D106" s="79"/>
      <c r="E106" s="75"/>
      <c r="F106" s="75"/>
      <c r="G106" s="308"/>
    </row>
    <row r="107" spans="1:7" x14ac:dyDescent="0.3">
      <c r="A107" s="83"/>
      <c r="B107" s="68"/>
      <c r="C107" s="74"/>
      <c r="D107" s="75"/>
      <c r="E107" s="85"/>
      <c r="F107" s="75"/>
      <c r="G107" s="308"/>
    </row>
    <row r="108" spans="1:7" x14ac:dyDescent="0.3">
      <c r="A108" s="87"/>
      <c r="B108" s="66"/>
      <c r="C108" s="87"/>
      <c r="D108" s="87"/>
      <c r="E108" s="87"/>
      <c r="F108" s="92"/>
      <c r="G108" s="311"/>
    </row>
    <row r="109" spans="1:7" x14ac:dyDescent="0.3">
      <c r="A109" s="87"/>
      <c r="B109" s="87"/>
      <c r="C109" s="87"/>
      <c r="D109" s="87"/>
      <c r="E109" s="87"/>
      <c r="F109" s="75"/>
      <c r="G109" s="308"/>
    </row>
    <row r="110" spans="1:7" x14ac:dyDescent="0.3">
      <c r="A110" s="87"/>
      <c r="B110" s="87"/>
      <c r="C110" s="87"/>
      <c r="D110" s="87"/>
      <c r="E110" s="87"/>
      <c r="F110" s="75"/>
      <c r="G110" s="308"/>
    </row>
    <row r="111" spans="1:7" x14ac:dyDescent="0.3">
      <c r="A111" s="87"/>
      <c r="B111" s="93"/>
      <c r="C111" s="87"/>
      <c r="D111" s="87"/>
      <c r="E111" s="87"/>
      <c r="F111" s="92"/>
      <c r="G111" s="311"/>
    </row>
    <row r="115" spans="1:8" ht="15.6" thickBot="1" x14ac:dyDescent="0.35">
      <c r="A115" s="261"/>
    </row>
    <row r="116" spans="1:8" ht="31.8" thickBot="1" x14ac:dyDescent="0.35">
      <c r="A116" s="351" t="s">
        <v>122</v>
      </c>
      <c r="B116" s="352" t="s">
        <v>308</v>
      </c>
      <c r="C116" s="353" t="s">
        <v>570</v>
      </c>
      <c r="D116" s="353" t="s">
        <v>571</v>
      </c>
      <c r="E116" s="353" t="s">
        <v>572</v>
      </c>
      <c r="F116" s="353" t="s">
        <v>311</v>
      </c>
      <c r="G116" s="353" t="s">
        <v>397</v>
      </c>
      <c r="H116" s="353" t="s">
        <v>573</v>
      </c>
    </row>
    <row r="117" spans="1:8" ht="120.6" thickBot="1" x14ac:dyDescent="0.35">
      <c r="A117" s="354">
        <v>1</v>
      </c>
      <c r="B117" s="255" t="s">
        <v>576</v>
      </c>
      <c r="C117" s="355">
        <v>316600</v>
      </c>
      <c r="D117" s="356">
        <v>18</v>
      </c>
      <c r="E117" s="355">
        <f>D117/100*C117</f>
        <v>56988</v>
      </c>
      <c r="F117" s="355">
        <f>C117+E117</f>
        <v>373588</v>
      </c>
      <c r="G117" s="355">
        <v>4</v>
      </c>
      <c r="H117" s="357">
        <f>F117*G117</f>
        <v>1494352</v>
      </c>
    </row>
    <row r="118" spans="1:8" ht="120.6" thickBot="1" x14ac:dyDescent="0.35">
      <c r="A118" s="354">
        <v>2</v>
      </c>
      <c r="B118" s="255" t="s">
        <v>577</v>
      </c>
      <c r="C118" s="355">
        <v>571650</v>
      </c>
      <c r="D118" s="356">
        <v>18</v>
      </c>
      <c r="E118" s="355">
        <f>D118/100*C118</f>
        <v>102897</v>
      </c>
      <c r="F118" s="355">
        <f>C118+E118</f>
        <v>674547</v>
      </c>
      <c r="G118" s="355">
        <v>64</v>
      </c>
      <c r="H118" s="357">
        <f>F118*G118</f>
        <v>43171008</v>
      </c>
    </row>
    <row r="119" spans="1:8" ht="15" x14ac:dyDescent="0.3">
      <c r="A119" s="261"/>
    </row>
    <row r="120" spans="1:8" ht="15" x14ac:dyDescent="0.3">
      <c r="A120" s="261"/>
    </row>
    <row r="121" spans="1:8" ht="135" x14ac:dyDescent="0.3">
      <c r="A121" s="261" t="s">
        <v>574</v>
      </c>
    </row>
    <row r="122" spans="1:8" ht="60" x14ac:dyDescent="0.3">
      <c r="A122" s="261" t="s">
        <v>575</v>
      </c>
    </row>
  </sheetData>
  <mergeCells count="16">
    <mergeCell ref="A45:A48"/>
    <mergeCell ref="A3:F3"/>
    <mergeCell ref="A4:A7"/>
    <mergeCell ref="A8:A11"/>
    <mergeCell ref="A12:A15"/>
    <mergeCell ref="A44:F44"/>
    <mergeCell ref="K49:P49"/>
    <mergeCell ref="A53:A56"/>
    <mergeCell ref="A57:A60"/>
    <mergeCell ref="A77:F77"/>
    <mergeCell ref="A78:A81"/>
    <mergeCell ref="A82:A85"/>
    <mergeCell ref="A86:A89"/>
    <mergeCell ref="A90:A93"/>
    <mergeCell ref="A94:A97"/>
    <mergeCell ref="A49:A52"/>
  </mergeCells>
  <pageMargins left="0.7" right="0.7" top="0.75" bottom="0.75" header="0.3" footer="0.3"/>
  <pageSetup paperSize="9" scale="2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117"/>
  <sheetViews>
    <sheetView topLeftCell="A101" zoomScaleNormal="100" workbookViewId="0">
      <selection activeCell="A115" sqref="A115:I121"/>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2" max="12" width="24.33203125"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268</v>
      </c>
      <c r="B3" s="378"/>
      <c r="C3" s="378"/>
      <c r="D3" s="378"/>
      <c r="E3" s="378"/>
      <c r="F3" s="379"/>
      <c r="G3" s="1"/>
      <c r="H3" s="1"/>
      <c r="I3" s="1"/>
    </row>
    <row r="4" spans="1:13" x14ac:dyDescent="0.3">
      <c r="A4" s="369">
        <v>1</v>
      </c>
      <c r="B4" s="69" t="s">
        <v>228</v>
      </c>
      <c r="C4" s="70">
        <v>4</v>
      </c>
      <c r="D4" s="71"/>
      <c r="E4" s="71"/>
      <c r="F4" s="72">
        <f>SUM(F5:F7)*C4</f>
        <v>1225584</v>
      </c>
      <c r="G4" s="41"/>
      <c r="L4" t="s">
        <v>213</v>
      </c>
      <c r="M4" s="40">
        <v>4449</v>
      </c>
    </row>
    <row r="5" spans="1:13" x14ac:dyDescent="0.3">
      <c r="A5" s="370"/>
      <c r="B5" s="73" t="s">
        <v>229</v>
      </c>
      <c r="C5" s="74">
        <v>1</v>
      </c>
      <c r="D5" s="75">
        <v>13349</v>
      </c>
      <c r="E5" s="75">
        <f>D5*C5</f>
        <v>13349</v>
      </c>
      <c r="F5" s="75">
        <f>E5*12</f>
        <v>160188</v>
      </c>
      <c r="G5" s="41"/>
      <c r="L5" t="s">
        <v>214</v>
      </c>
      <c r="M5" s="40">
        <v>7349</v>
      </c>
    </row>
    <row r="6" spans="1:13" x14ac:dyDescent="0.3">
      <c r="A6" s="370"/>
      <c r="B6" s="76" t="s">
        <v>230</v>
      </c>
      <c r="C6" s="74">
        <v>12</v>
      </c>
      <c r="D6" s="77">
        <v>849</v>
      </c>
      <c r="E6" s="75">
        <f>D6*C6</f>
        <v>10188</v>
      </c>
      <c r="F6" s="75">
        <f>E6*12</f>
        <v>122256</v>
      </c>
      <c r="G6" s="41"/>
      <c r="L6" t="s">
        <v>215</v>
      </c>
      <c r="M6">
        <v>13349</v>
      </c>
    </row>
    <row r="7" spans="1:13" x14ac:dyDescent="0.3">
      <c r="A7" s="371"/>
      <c r="B7" s="78" t="s">
        <v>231</v>
      </c>
      <c r="C7" s="74">
        <v>4</v>
      </c>
      <c r="D7" s="79">
        <v>499</v>
      </c>
      <c r="E7" s="75">
        <f>D7*C7</f>
        <v>1996</v>
      </c>
      <c r="F7" s="75">
        <f>E7*12</f>
        <v>23952</v>
      </c>
      <c r="G7" s="41"/>
      <c r="L7" t="s">
        <v>216</v>
      </c>
      <c r="M7">
        <v>19949</v>
      </c>
    </row>
    <row r="8" spans="1:13" x14ac:dyDescent="0.3">
      <c r="A8" s="381">
        <v>2</v>
      </c>
      <c r="B8" s="69" t="s">
        <v>249</v>
      </c>
      <c r="C8" s="80">
        <v>6</v>
      </c>
      <c r="D8" s="71"/>
      <c r="E8" s="71"/>
      <c r="F8" s="72">
        <f>SUM(F9:F11)*C8</f>
        <v>3450312</v>
      </c>
      <c r="G8" s="41"/>
      <c r="L8" t="s">
        <v>217</v>
      </c>
      <c r="M8">
        <v>25549</v>
      </c>
    </row>
    <row r="9" spans="1:13" x14ac:dyDescent="0.3">
      <c r="A9" s="382"/>
      <c r="B9" s="73" t="s">
        <v>234</v>
      </c>
      <c r="C9" s="74">
        <v>1</v>
      </c>
      <c r="D9" s="75">
        <v>25549</v>
      </c>
      <c r="E9" s="75">
        <f>D9*C9</f>
        <v>25549</v>
      </c>
      <c r="F9" s="75">
        <f>E9*12</f>
        <v>306588</v>
      </c>
      <c r="G9" s="41"/>
      <c r="L9" t="s">
        <v>218</v>
      </c>
      <c r="M9">
        <v>49649</v>
      </c>
    </row>
    <row r="10" spans="1:13" x14ac:dyDescent="0.3">
      <c r="A10" s="382"/>
      <c r="B10" s="76" t="s">
        <v>230</v>
      </c>
      <c r="C10" s="74">
        <v>24</v>
      </c>
      <c r="D10" s="77">
        <v>849</v>
      </c>
      <c r="E10" s="75">
        <f>D10*C10</f>
        <v>20376</v>
      </c>
      <c r="F10" s="75">
        <f>E10*12</f>
        <v>244512</v>
      </c>
      <c r="G10" s="41"/>
    </row>
    <row r="11" spans="1:13" x14ac:dyDescent="0.3">
      <c r="A11" s="383"/>
      <c r="B11" s="78" t="s">
        <v>232</v>
      </c>
      <c r="C11" s="74">
        <v>4</v>
      </c>
      <c r="D11" s="79">
        <v>499</v>
      </c>
      <c r="E11" s="75">
        <f>D11*C11</f>
        <v>1996</v>
      </c>
      <c r="F11" s="75">
        <f>E11*12</f>
        <v>23952</v>
      </c>
      <c r="G11" s="41"/>
      <c r="H11" s="43"/>
      <c r="I11" s="44" t="s">
        <v>304</v>
      </c>
      <c r="J11" s="44" t="s">
        <v>305</v>
      </c>
      <c r="L11" t="s">
        <v>220</v>
      </c>
      <c r="M11">
        <v>2110</v>
      </c>
    </row>
    <row r="12" spans="1:13" x14ac:dyDescent="0.3">
      <c r="A12" s="381">
        <v>3</v>
      </c>
      <c r="B12" s="69" t="s">
        <v>233</v>
      </c>
      <c r="C12" s="80">
        <v>9</v>
      </c>
      <c r="D12" s="71"/>
      <c r="E12" s="71"/>
      <c r="F12" s="72">
        <f>SUM(F13:F15)*C12</f>
        <v>5175468</v>
      </c>
      <c r="G12" s="41"/>
      <c r="H12" s="43" t="s">
        <v>263</v>
      </c>
      <c r="I12" s="118">
        <f>I30+744000</f>
        <v>25488758</v>
      </c>
      <c r="J12" s="119">
        <f>E38</f>
        <v>19993986</v>
      </c>
      <c r="L12" t="s">
        <v>219</v>
      </c>
      <c r="M12">
        <v>849</v>
      </c>
    </row>
    <row r="13" spans="1:13" x14ac:dyDescent="0.3">
      <c r="A13" s="382"/>
      <c r="B13" s="73" t="s">
        <v>234</v>
      </c>
      <c r="C13" s="74">
        <v>1</v>
      </c>
      <c r="D13" s="75">
        <v>25549</v>
      </c>
      <c r="E13" s="75">
        <f>D13*C13</f>
        <v>25549</v>
      </c>
      <c r="F13" s="75">
        <f>E13*12</f>
        <v>306588</v>
      </c>
      <c r="G13" s="41"/>
      <c r="H13" s="43" t="s">
        <v>265</v>
      </c>
      <c r="I13" s="43">
        <v>9689988</v>
      </c>
      <c r="J13" s="120">
        <f>E39</f>
        <v>10917333</v>
      </c>
      <c r="K13">
        <v>9701553</v>
      </c>
      <c r="L13" t="s">
        <v>221</v>
      </c>
      <c r="M13" s="42">
        <v>499</v>
      </c>
    </row>
    <row r="14" spans="1:13" x14ac:dyDescent="0.3">
      <c r="A14" s="382"/>
      <c r="B14" s="76" t="s">
        <v>230</v>
      </c>
      <c r="C14" s="74">
        <v>24</v>
      </c>
      <c r="D14" s="77">
        <v>849</v>
      </c>
      <c r="E14" s="75">
        <f>D14*C14</f>
        <v>20376</v>
      </c>
      <c r="F14" s="75">
        <f>E14*12</f>
        <v>244512</v>
      </c>
      <c r="G14" s="41"/>
      <c r="H14" s="43" t="s">
        <v>266</v>
      </c>
      <c r="I14" s="43">
        <v>4232974</v>
      </c>
      <c r="J14" s="120">
        <f>E40</f>
        <v>5327640</v>
      </c>
      <c r="K14">
        <v>4215870</v>
      </c>
      <c r="L14">
        <v>21.89</v>
      </c>
    </row>
    <row r="15" spans="1:13" x14ac:dyDescent="0.3">
      <c r="A15" s="383"/>
      <c r="B15" s="78" t="s">
        <v>232</v>
      </c>
      <c r="C15" s="74">
        <v>4</v>
      </c>
      <c r="D15" s="79">
        <v>499</v>
      </c>
      <c r="E15" s="75">
        <f>D15*C15</f>
        <v>1996</v>
      </c>
      <c r="F15" s="75">
        <f>E15*12</f>
        <v>23952</v>
      </c>
      <c r="G15" s="41"/>
      <c r="H15" s="43"/>
      <c r="I15" s="43"/>
      <c r="J15" s="43"/>
      <c r="L15">
        <v>12.57</v>
      </c>
    </row>
    <row r="16" spans="1:13" x14ac:dyDescent="0.3">
      <c r="A16" s="381">
        <v>4</v>
      </c>
      <c r="B16" s="69" t="s">
        <v>235</v>
      </c>
      <c r="C16" s="80">
        <v>8</v>
      </c>
      <c r="D16" s="71"/>
      <c r="E16" s="71"/>
      <c r="F16" s="72">
        <f>SUM(F17:F19)*C16</f>
        <v>8870112</v>
      </c>
      <c r="G16" s="41"/>
      <c r="H16" s="43"/>
      <c r="I16" s="121">
        <f>SUM(I12:I14)</f>
        <v>39411720</v>
      </c>
      <c r="J16" s="121">
        <f>SUM(J12:J14)</f>
        <v>36238959</v>
      </c>
    </row>
    <row r="17" spans="1:9" x14ac:dyDescent="0.3">
      <c r="A17" s="382"/>
      <c r="B17" s="73" t="s">
        <v>236</v>
      </c>
      <c r="C17" s="74">
        <v>1</v>
      </c>
      <c r="D17" s="75">
        <v>49649</v>
      </c>
      <c r="E17" s="75">
        <f>D17*C17</f>
        <v>49649</v>
      </c>
      <c r="F17" s="75">
        <f>E17*12</f>
        <v>595788</v>
      </c>
      <c r="G17" s="41"/>
    </row>
    <row r="18" spans="1:9" x14ac:dyDescent="0.3">
      <c r="A18" s="382"/>
      <c r="B18" s="76" t="s">
        <v>230</v>
      </c>
      <c r="C18" s="74">
        <v>48</v>
      </c>
      <c r="D18" s="77">
        <v>849</v>
      </c>
      <c r="E18" s="75">
        <f>D18*C18</f>
        <v>40752</v>
      </c>
      <c r="F18" s="75">
        <f>E18*12</f>
        <v>489024</v>
      </c>
      <c r="G18" s="41"/>
      <c r="I18" t="s">
        <v>263</v>
      </c>
    </row>
    <row r="19" spans="1:9" x14ac:dyDescent="0.3">
      <c r="A19" s="383"/>
      <c r="B19" s="78" t="s">
        <v>232</v>
      </c>
      <c r="C19" s="74">
        <v>4</v>
      </c>
      <c r="D19" s="79">
        <v>499</v>
      </c>
      <c r="E19" s="75">
        <f>D19*C19</f>
        <v>1996</v>
      </c>
      <c r="F19" s="75">
        <f>E19*12</f>
        <v>23952</v>
      </c>
      <c r="G19" s="41"/>
      <c r="I19" t="s">
        <v>265</v>
      </c>
    </row>
    <row r="20" spans="1:9" x14ac:dyDescent="0.3">
      <c r="A20" s="88">
        <v>3</v>
      </c>
      <c r="B20" s="89" t="s">
        <v>260</v>
      </c>
      <c r="C20" s="74">
        <v>20</v>
      </c>
      <c r="D20" s="79">
        <v>499</v>
      </c>
      <c r="E20" s="75">
        <f>D20*C20</f>
        <v>9980</v>
      </c>
      <c r="F20" s="75">
        <f>E20*12</f>
        <v>119760</v>
      </c>
      <c r="G20" s="41"/>
      <c r="I20" t="s">
        <v>266</v>
      </c>
    </row>
    <row r="21" spans="1:9" x14ac:dyDescent="0.3">
      <c r="A21" s="87"/>
      <c r="B21" s="66" t="s">
        <v>240</v>
      </c>
      <c r="C21" s="87"/>
      <c r="D21" s="87"/>
      <c r="E21" s="87"/>
      <c r="F21" s="92">
        <f>SUM(F16,F12,F8,F4,F20)</f>
        <v>18841236</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f>SUM(C16,C12,C8,C4)</f>
        <v>27</v>
      </c>
      <c r="D24" s="79">
        <v>2083</v>
      </c>
      <c r="E24" s="75">
        <f>D24*C24</f>
        <v>56241</v>
      </c>
      <c r="F24" s="75">
        <f>E24*12</f>
        <v>674892</v>
      </c>
      <c r="G24" s="41"/>
    </row>
    <row r="25" spans="1:9" x14ac:dyDescent="0.3">
      <c r="A25" s="81">
        <v>2</v>
      </c>
      <c r="B25" s="82" t="s">
        <v>267</v>
      </c>
      <c r="C25" s="74">
        <f>C24</f>
        <v>27</v>
      </c>
      <c r="D25" s="79">
        <v>4560</v>
      </c>
      <c r="E25" s="75">
        <f>D25*C25</f>
        <v>123120</v>
      </c>
      <c r="F25" s="75">
        <f>E25*12</f>
        <v>1477440</v>
      </c>
      <c r="G25" s="41"/>
    </row>
    <row r="26" spans="1:9" ht="15.6" x14ac:dyDescent="0.3">
      <c r="A26" s="83">
        <v>3</v>
      </c>
      <c r="B26" s="84" t="s">
        <v>239</v>
      </c>
      <c r="C26" s="74">
        <f>C25</f>
        <v>27</v>
      </c>
      <c r="D26" s="79">
        <v>22200</v>
      </c>
      <c r="E26" s="75">
        <f>D26*C26</f>
        <v>599400</v>
      </c>
      <c r="F26" s="75">
        <f>E26*12</f>
        <v>7192800</v>
      </c>
      <c r="G26" s="41"/>
      <c r="H26" t="s">
        <v>255</v>
      </c>
      <c r="I26" s="94">
        <v>15111480</v>
      </c>
    </row>
    <row r="27" spans="1:9" x14ac:dyDescent="0.3">
      <c r="A27" s="83">
        <v>4</v>
      </c>
      <c r="B27" s="84" t="s">
        <v>287</v>
      </c>
      <c r="C27" s="74">
        <v>22</v>
      </c>
      <c r="D27" s="79">
        <v>1340</v>
      </c>
      <c r="E27" s="75">
        <f>D27*C27</f>
        <v>29480</v>
      </c>
      <c r="F27" s="75">
        <f>E27*12</f>
        <v>353760</v>
      </c>
      <c r="G27" s="41"/>
      <c r="H27" t="s">
        <v>256</v>
      </c>
      <c r="I27" s="95">
        <v>2644848</v>
      </c>
    </row>
    <row r="28" spans="1:9" x14ac:dyDescent="0.3">
      <c r="A28" s="83">
        <v>5</v>
      </c>
      <c r="B28" s="84" t="s">
        <v>244</v>
      </c>
      <c r="C28" s="74">
        <v>8</v>
      </c>
      <c r="D28" s="79">
        <v>13440</v>
      </c>
      <c r="E28" s="75">
        <f>D28*C28</f>
        <v>107520</v>
      </c>
      <c r="F28" s="75">
        <f>E28*12</f>
        <v>1290240</v>
      </c>
      <c r="G28" s="41"/>
      <c r="H28" t="s">
        <v>257</v>
      </c>
      <c r="I28" s="95">
        <v>6988430</v>
      </c>
    </row>
    <row r="29" spans="1:9" x14ac:dyDescent="0.3">
      <c r="A29" s="83">
        <v>6</v>
      </c>
      <c r="B29" s="75" t="s">
        <v>208</v>
      </c>
      <c r="C29" s="75">
        <v>1</v>
      </c>
      <c r="D29" s="75">
        <v>1</v>
      </c>
      <c r="E29" s="75">
        <v>1</v>
      </c>
      <c r="F29" s="75">
        <v>1249650</v>
      </c>
    </row>
    <row r="30" spans="1:9" x14ac:dyDescent="0.3">
      <c r="I30" s="96">
        <f>SUM(I26:I28)</f>
        <v>24744758</v>
      </c>
    </row>
    <row r="31" spans="1:9" x14ac:dyDescent="0.3">
      <c r="A31" s="87"/>
      <c r="B31" s="66" t="s">
        <v>242</v>
      </c>
      <c r="C31" s="87"/>
      <c r="D31" s="87"/>
      <c r="E31" s="87"/>
      <c r="F31" s="92">
        <f>SUM(F24:F29)</f>
        <v>12238782</v>
      </c>
    </row>
    <row r="32" spans="1:9" x14ac:dyDescent="0.3">
      <c r="A32" s="87"/>
      <c r="B32" s="87" t="s">
        <v>246</v>
      </c>
      <c r="C32" s="87"/>
      <c r="D32" s="87"/>
      <c r="E32" s="87"/>
      <c r="F32" s="75">
        <f>F31+F21</f>
        <v>31080018</v>
      </c>
    </row>
    <row r="33" spans="1:9" x14ac:dyDescent="0.3">
      <c r="A33" s="87"/>
      <c r="B33" s="87" t="s">
        <v>247</v>
      </c>
      <c r="C33" s="87"/>
      <c r="D33" s="87"/>
      <c r="E33" s="87"/>
      <c r="F33" s="75">
        <f>F32*0.25</f>
        <v>7770004.5</v>
      </c>
    </row>
    <row r="34" spans="1:9" x14ac:dyDescent="0.3">
      <c r="A34" s="87"/>
      <c r="B34" s="93" t="s">
        <v>248</v>
      </c>
      <c r="C34" s="87"/>
      <c r="D34" s="87"/>
      <c r="E34" s="87"/>
      <c r="F34" s="92">
        <f>F32-F33</f>
        <v>23310013.5</v>
      </c>
    </row>
    <row r="37" spans="1:9" ht="15" thickBot="1" x14ac:dyDescent="0.35"/>
    <row r="38" spans="1:9" x14ac:dyDescent="0.3">
      <c r="B38" s="100" t="s">
        <v>263</v>
      </c>
      <c r="C38" s="103">
        <f>F34</f>
        <v>23310013.5</v>
      </c>
      <c r="D38" s="91">
        <f>F34</f>
        <v>23310013.5</v>
      </c>
      <c r="E38" s="91">
        <f>F77</f>
        <v>19993986</v>
      </c>
      <c r="F38">
        <f>F73*0.75</f>
        <v>562500</v>
      </c>
      <c r="H38" s="100" t="s">
        <v>293</v>
      </c>
      <c r="I38" s="111">
        <f>E41</f>
        <v>36238959</v>
      </c>
    </row>
    <row r="39" spans="1:9" x14ac:dyDescent="0.3">
      <c r="B39" s="101" t="s">
        <v>265</v>
      </c>
      <c r="C39" s="98">
        <v>18087854</v>
      </c>
      <c r="D39">
        <f>'Hartron Internal'!F26</f>
        <v>19197913.5</v>
      </c>
      <c r="E39">
        <f>'Hartron Internal'!F56</f>
        <v>10917333</v>
      </c>
      <c r="F39">
        <f>0.75*'Hartron Internal'!F52</f>
        <v>562500</v>
      </c>
      <c r="H39" s="101" t="s">
        <v>294</v>
      </c>
      <c r="I39" s="47">
        <f>F41</f>
        <v>1575000</v>
      </c>
    </row>
    <row r="40" spans="1:9" x14ac:dyDescent="0.3">
      <c r="B40" s="101" t="s">
        <v>266</v>
      </c>
      <c r="C40" s="98">
        <v>9353160</v>
      </c>
      <c r="D40">
        <f>'Hartron FamilyID'!F19</f>
        <v>8953560</v>
      </c>
      <c r="E40">
        <f>'Hartron FamilyID'!F41</f>
        <v>5327640</v>
      </c>
      <c r="F40">
        <f>0.75*'Hartron FamilyID'!F37</f>
        <v>450000</v>
      </c>
      <c r="H40" s="101" t="s">
        <v>295</v>
      </c>
      <c r="I40" s="47">
        <f>1050000</f>
        <v>1050000</v>
      </c>
    </row>
    <row r="41" spans="1:9" x14ac:dyDescent="0.3">
      <c r="B41" s="101"/>
      <c r="C41" s="98">
        <f>SUM(C38:C40)</f>
        <v>50751027.5</v>
      </c>
      <c r="D41" s="98">
        <f>SUM(D38:D40)</f>
        <v>51461487</v>
      </c>
      <c r="E41" s="91">
        <f>SUM(E38:E40)</f>
        <v>36238959</v>
      </c>
      <c r="F41">
        <f>SUM(F38:F40)</f>
        <v>1575000</v>
      </c>
      <c r="H41" s="101" t="s">
        <v>296</v>
      </c>
      <c r="I41" s="47">
        <v>800000</v>
      </c>
    </row>
    <row r="42" spans="1:9" x14ac:dyDescent="0.3">
      <c r="B42" s="101" t="s">
        <v>269</v>
      </c>
      <c r="C42" s="98">
        <f>C41*0.18</f>
        <v>9135184.9499999993</v>
      </c>
      <c r="D42" s="98">
        <f>D41*0.18</f>
        <v>9263067.6600000001</v>
      </c>
      <c r="F42" s="91">
        <f>E41-F41</f>
        <v>34663959</v>
      </c>
      <c r="H42" s="101" t="s">
        <v>297</v>
      </c>
      <c r="I42" s="47">
        <v>200000</v>
      </c>
    </row>
    <row r="43" spans="1:9" ht="15" thickBot="1" x14ac:dyDescent="0.35">
      <c r="B43" s="102" t="s">
        <v>270</v>
      </c>
      <c r="C43" s="99">
        <f>SUM(C41:C42)</f>
        <v>59886212.450000003</v>
      </c>
      <c r="D43" s="99">
        <f>SUM(D41:D42)</f>
        <v>60724554.659999996</v>
      </c>
      <c r="H43" s="101"/>
      <c r="I43" s="47"/>
    </row>
    <row r="44" spans="1:9" x14ac:dyDescent="0.3">
      <c r="H44" s="101" t="s">
        <v>299</v>
      </c>
      <c r="I44" s="112">
        <f>I38-I39-I40-I41-I42</f>
        <v>32613959</v>
      </c>
    </row>
    <row r="45" spans="1:9" x14ac:dyDescent="0.3">
      <c r="H45" s="101" t="s">
        <v>300</v>
      </c>
      <c r="I45" s="113">
        <v>18</v>
      </c>
    </row>
    <row r="46" spans="1:9" ht="31.2" thickBot="1" x14ac:dyDescent="0.35">
      <c r="A46" s="65" t="s">
        <v>222</v>
      </c>
      <c r="B46" s="66" t="s">
        <v>223</v>
      </c>
      <c r="C46" s="66" t="s">
        <v>224</v>
      </c>
      <c r="D46" s="67" t="s">
        <v>225</v>
      </c>
      <c r="E46" s="67" t="s">
        <v>226</v>
      </c>
      <c r="F46" s="68" t="s">
        <v>227</v>
      </c>
      <c r="H46" s="102" t="s">
        <v>298</v>
      </c>
      <c r="I46" s="114">
        <f>I44*100/(100+I45)</f>
        <v>27638948.305084746</v>
      </c>
    </row>
    <row r="47" spans="1:9" ht="15" thickBot="1" x14ac:dyDescent="0.35">
      <c r="A47" s="377" t="s">
        <v>268</v>
      </c>
      <c r="B47" s="378"/>
      <c r="C47" s="378"/>
      <c r="D47" s="378"/>
      <c r="E47" s="378"/>
      <c r="F47" s="379"/>
      <c r="H47" s="115" t="s">
        <v>301</v>
      </c>
      <c r="I47" s="116"/>
    </row>
    <row r="48" spans="1:9" ht="15" thickBot="1" x14ac:dyDescent="0.35">
      <c r="A48" s="369">
        <v>1</v>
      </c>
      <c r="B48" s="69" t="s">
        <v>228</v>
      </c>
      <c r="C48" s="70">
        <v>4</v>
      </c>
      <c r="D48" s="71"/>
      <c r="E48" s="71"/>
      <c r="F48" s="72">
        <f>SUM(F49:F51)*C48</f>
        <v>1177680</v>
      </c>
      <c r="H48" s="117" t="s">
        <v>302</v>
      </c>
      <c r="I48" s="110"/>
    </row>
    <row r="49" spans="1:9" ht="15" thickBot="1" x14ac:dyDescent="0.35">
      <c r="A49" s="370"/>
      <c r="B49" s="73" t="s">
        <v>229</v>
      </c>
      <c r="C49" s="74">
        <v>1</v>
      </c>
      <c r="D49" s="75">
        <v>13349</v>
      </c>
      <c r="E49" s="75">
        <f>D49*C49</f>
        <v>13349</v>
      </c>
      <c r="F49" s="75">
        <f>E49*12</f>
        <v>160188</v>
      </c>
      <c r="H49" s="117" t="s">
        <v>303</v>
      </c>
      <c r="I49" s="110"/>
    </row>
    <row r="50" spans="1:9" x14ac:dyDescent="0.3">
      <c r="A50" s="370"/>
      <c r="B50" s="76" t="s">
        <v>230</v>
      </c>
      <c r="C50" s="74">
        <v>12</v>
      </c>
      <c r="D50" s="77">
        <v>849</v>
      </c>
      <c r="E50" s="75">
        <f>D50*C50</f>
        <v>10188</v>
      </c>
      <c r="F50" s="75">
        <f>E50*12</f>
        <v>122256</v>
      </c>
    </row>
    <row r="51" spans="1:9" x14ac:dyDescent="0.3">
      <c r="A51" s="371"/>
      <c r="B51" s="78" t="s">
        <v>231</v>
      </c>
      <c r="C51" s="74">
        <v>2</v>
      </c>
      <c r="D51" s="79">
        <v>499</v>
      </c>
      <c r="E51" s="75">
        <f>D51*C51</f>
        <v>998</v>
      </c>
      <c r="F51" s="75">
        <f>E51*12</f>
        <v>11976</v>
      </c>
    </row>
    <row r="52" spans="1:9" x14ac:dyDescent="0.3">
      <c r="A52" s="381">
        <v>2</v>
      </c>
      <c r="B52" s="69" t="s">
        <v>249</v>
      </c>
      <c r="C52" s="70">
        <v>6</v>
      </c>
      <c r="D52" s="71"/>
      <c r="E52" s="71"/>
      <c r="F52" s="72">
        <f>SUM(F53:F55)*C52</f>
        <v>3306600</v>
      </c>
    </row>
    <row r="53" spans="1:9" x14ac:dyDescent="0.3">
      <c r="A53" s="382"/>
      <c r="B53" s="73" t="s">
        <v>234</v>
      </c>
      <c r="C53" s="74">
        <v>1</v>
      </c>
      <c r="D53" s="75">
        <v>25549</v>
      </c>
      <c r="E53" s="75">
        <f>D53*C53</f>
        <v>25549</v>
      </c>
      <c r="F53" s="75">
        <f>E53*12</f>
        <v>306588</v>
      </c>
    </row>
    <row r="54" spans="1:9" x14ac:dyDescent="0.3">
      <c r="A54" s="382"/>
      <c r="B54" s="76" t="s">
        <v>230</v>
      </c>
      <c r="C54" s="74">
        <v>24</v>
      </c>
      <c r="D54" s="77">
        <v>849</v>
      </c>
      <c r="E54" s="75">
        <f>D54*C54</f>
        <v>20376</v>
      </c>
      <c r="F54" s="75">
        <f>E54*12</f>
        <v>244512</v>
      </c>
    </row>
    <row r="55" spans="1:9" x14ac:dyDescent="0.3">
      <c r="A55" s="383"/>
      <c r="B55" s="78" t="s">
        <v>232</v>
      </c>
      <c r="C55" s="74">
        <v>0</v>
      </c>
      <c r="D55" s="79">
        <v>499</v>
      </c>
      <c r="E55" s="75">
        <f>D55*C55</f>
        <v>0</v>
      </c>
      <c r="F55" s="75">
        <f>E55*12</f>
        <v>0</v>
      </c>
    </row>
    <row r="56" spans="1:9" x14ac:dyDescent="0.3">
      <c r="A56" s="381">
        <v>3</v>
      </c>
      <c r="B56" s="69" t="s">
        <v>233</v>
      </c>
      <c r="C56" s="70">
        <v>9</v>
      </c>
      <c r="D56" s="71"/>
      <c r="E56" s="71"/>
      <c r="F56" s="72">
        <f>SUM(F57:F59)*C56</f>
        <v>4959900</v>
      </c>
    </row>
    <row r="57" spans="1:9" x14ac:dyDescent="0.3">
      <c r="A57" s="382"/>
      <c r="B57" s="73" t="s">
        <v>234</v>
      </c>
      <c r="C57" s="74">
        <v>1</v>
      </c>
      <c r="D57" s="75">
        <v>25549</v>
      </c>
      <c r="E57" s="75">
        <f>D57*C57</f>
        <v>25549</v>
      </c>
      <c r="F57" s="75">
        <f>E57*12</f>
        <v>306588</v>
      </c>
    </row>
    <row r="58" spans="1:9" x14ac:dyDescent="0.3">
      <c r="A58" s="382"/>
      <c r="B58" s="76" t="s">
        <v>230</v>
      </c>
      <c r="C58" s="74">
        <v>24</v>
      </c>
      <c r="D58" s="77">
        <v>849</v>
      </c>
      <c r="E58" s="75">
        <f>D58*C58</f>
        <v>20376</v>
      </c>
      <c r="F58" s="75">
        <f>E58*12</f>
        <v>244512</v>
      </c>
    </row>
    <row r="59" spans="1:9" x14ac:dyDescent="0.3">
      <c r="A59" s="383"/>
      <c r="B59" s="78" t="s">
        <v>232</v>
      </c>
      <c r="C59" s="74">
        <v>0</v>
      </c>
      <c r="D59" s="79">
        <v>499</v>
      </c>
      <c r="E59" s="75">
        <f>D59*C59</f>
        <v>0</v>
      </c>
      <c r="F59" s="75">
        <f>E59*12</f>
        <v>0</v>
      </c>
    </row>
    <row r="60" spans="1:9" x14ac:dyDescent="0.3">
      <c r="A60" s="381">
        <v>4</v>
      </c>
      <c r="B60" s="69" t="s">
        <v>235</v>
      </c>
      <c r="C60" s="70">
        <v>8</v>
      </c>
      <c r="D60" s="71"/>
      <c r="E60" s="71"/>
      <c r="F60" s="72">
        <f>SUM(F61:F63)*C60</f>
        <v>8678496</v>
      </c>
    </row>
    <row r="61" spans="1:9" x14ac:dyDescent="0.3">
      <c r="A61" s="382"/>
      <c r="B61" s="73" t="s">
        <v>236</v>
      </c>
      <c r="C61" s="74">
        <v>1</v>
      </c>
      <c r="D61" s="75">
        <v>49649</v>
      </c>
      <c r="E61" s="75">
        <f>D61*C61</f>
        <v>49649</v>
      </c>
      <c r="F61" s="75">
        <f>E61*12</f>
        <v>595788</v>
      </c>
    </row>
    <row r="62" spans="1:9" x14ac:dyDescent="0.3">
      <c r="A62" s="382"/>
      <c r="B62" s="76" t="s">
        <v>230</v>
      </c>
      <c r="C62" s="74">
        <v>48</v>
      </c>
      <c r="D62" s="77">
        <v>849</v>
      </c>
      <c r="E62" s="75">
        <f>D62*C62</f>
        <v>40752</v>
      </c>
      <c r="F62" s="75">
        <f>E62*12</f>
        <v>489024</v>
      </c>
    </row>
    <row r="63" spans="1:9" x14ac:dyDescent="0.3">
      <c r="A63" s="383"/>
      <c r="B63" s="78" t="s">
        <v>232</v>
      </c>
      <c r="C63" s="74">
        <v>0</v>
      </c>
      <c r="D63" s="79">
        <v>499</v>
      </c>
      <c r="E63" s="75">
        <f>D63*C63</f>
        <v>0</v>
      </c>
      <c r="F63" s="75">
        <f>E63*12</f>
        <v>0</v>
      </c>
    </row>
    <row r="64" spans="1:9" x14ac:dyDescent="0.3">
      <c r="A64" s="88">
        <v>5</v>
      </c>
      <c r="B64" s="89" t="s">
        <v>260</v>
      </c>
      <c r="C64" s="74">
        <v>30</v>
      </c>
      <c r="D64" s="79">
        <v>499</v>
      </c>
      <c r="E64" s="75">
        <f>D64*C64</f>
        <v>14970</v>
      </c>
      <c r="F64" s="75">
        <f>E64*12</f>
        <v>179640</v>
      </c>
    </row>
    <row r="65" spans="1:6" x14ac:dyDescent="0.3">
      <c r="A65" s="87"/>
      <c r="B65" s="66" t="s">
        <v>240</v>
      </c>
      <c r="C65" s="87"/>
      <c r="D65" s="87"/>
      <c r="E65" s="87"/>
      <c r="F65" s="92">
        <f>SUM(F60,F56,F52,F48,F64)</f>
        <v>18302316</v>
      </c>
    </row>
    <row r="66" spans="1:6" x14ac:dyDescent="0.3">
      <c r="A66" s="81"/>
      <c r="B66" s="89"/>
      <c r="C66" s="74"/>
      <c r="D66" s="79"/>
      <c r="E66" s="75"/>
      <c r="F66" s="75"/>
    </row>
    <row r="67" spans="1:6" x14ac:dyDescent="0.3">
      <c r="A67" s="81"/>
      <c r="B67" s="90" t="s">
        <v>241</v>
      </c>
      <c r="C67" s="74"/>
      <c r="D67" s="79"/>
      <c r="E67" s="75"/>
      <c r="F67" s="75"/>
    </row>
    <row r="68" spans="1:6" x14ac:dyDescent="0.3">
      <c r="A68" s="81">
        <v>1</v>
      </c>
      <c r="B68" s="82" t="s">
        <v>237</v>
      </c>
      <c r="C68" s="74">
        <f>SUM(C60,C56,C52,C48)</f>
        <v>27</v>
      </c>
      <c r="D68" s="79">
        <v>2083</v>
      </c>
      <c r="E68" s="75">
        <f>D68*C68</f>
        <v>56241</v>
      </c>
      <c r="F68" s="75">
        <f>E68*12</f>
        <v>674892</v>
      </c>
    </row>
    <row r="69" spans="1:6" x14ac:dyDescent="0.3">
      <c r="A69" s="81">
        <v>2</v>
      </c>
      <c r="B69" s="82" t="s">
        <v>267</v>
      </c>
      <c r="C69" s="74">
        <f>C68</f>
        <v>27</v>
      </c>
      <c r="D69" s="79">
        <v>4560</v>
      </c>
      <c r="E69" s="75">
        <f>D69*C69</f>
        <v>123120</v>
      </c>
      <c r="F69" s="75">
        <f>E69*12</f>
        <v>1477440</v>
      </c>
    </row>
    <row r="70" spans="1:6" x14ac:dyDescent="0.3">
      <c r="A70" s="83">
        <v>3</v>
      </c>
      <c r="B70" s="84" t="s">
        <v>239</v>
      </c>
      <c r="C70" s="74">
        <v>14</v>
      </c>
      <c r="D70" s="79">
        <v>22200</v>
      </c>
      <c r="E70" s="75">
        <f>D70*C70</f>
        <v>310800</v>
      </c>
      <c r="F70" s="75">
        <f>E70*12</f>
        <v>3729600</v>
      </c>
    </row>
    <row r="71" spans="1:6" x14ac:dyDescent="0.3">
      <c r="A71" s="83">
        <v>4</v>
      </c>
      <c r="B71" s="84" t="s">
        <v>287</v>
      </c>
      <c r="C71" s="74">
        <v>27</v>
      </c>
      <c r="D71" s="79">
        <v>1340</v>
      </c>
      <c r="E71" s="75">
        <f>D71*C71</f>
        <v>36180</v>
      </c>
      <c r="F71" s="75">
        <f>E71*12</f>
        <v>434160</v>
      </c>
    </row>
    <row r="72" spans="1:6" x14ac:dyDescent="0.3">
      <c r="A72" s="83">
        <v>5</v>
      </c>
      <c r="B72" s="84" t="s">
        <v>244</v>
      </c>
      <c r="C72" s="74">
        <v>8</v>
      </c>
      <c r="D72" s="79">
        <v>13440</v>
      </c>
      <c r="E72" s="75">
        <f>D72*C72</f>
        <v>107520</v>
      </c>
      <c r="F72" s="75">
        <f>E72*12</f>
        <v>1290240</v>
      </c>
    </row>
    <row r="73" spans="1:6" x14ac:dyDescent="0.3">
      <c r="A73" s="83">
        <v>6</v>
      </c>
      <c r="B73" s="68" t="s">
        <v>292</v>
      </c>
      <c r="C73" s="74">
        <v>1</v>
      </c>
      <c r="D73" s="75">
        <v>1</v>
      </c>
      <c r="E73" s="85">
        <v>1</v>
      </c>
      <c r="F73" s="75">
        <v>750000</v>
      </c>
    </row>
    <row r="74" spans="1:6" x14ac:dyDescent="0.3">
      <c r="A74" s="87"/>
      <c r="B74" s="66" t="s">
        <v>242</v>
      </c>
      <c r="C74" s="87"/>
      <c r="D74" s="87"/>
      <c r="E74" s="87"/>
      <c r="F74" s="92">
        <f>SUM(F68:F73)</f>
        <v>8356332</v>
      </c>
    </row>
    <row r="75" spans="1:6" x14ac:dyDescent="0.3">
      <c r="A75" s="87"/>
      <c r="B75" s="87" t="s">
        <v>246</v>
      </c>
      <c r="C75" s="87"/>
      <c r="D75" s="87"/>
      <c r="E75" s="87"/>
      <c r="F75" s="75">
        <f>F74+F65</f>
        <v>26658648</v>
      </c>
    </row>
    <row r="76" spans="1:6" x14ac:dyDescent="0.3">
      <c r="A76" s="87"/>
      <c r="B76" s="87" t="s">
        <v>247</v>
      </c>
      <c r="C76" s="87"/>
      <c r="D76" s="87"/>
      <c r="E76" s="87"/>
      <c r="F76" s="75">
        <f>F75*0.25</f>
        <v>6664662</v>
      </c>
    </row>
    <row r="77" spans="1:6" x14ac:dyDescent="0.3">
      <c r="A77" s="87"/>
      <c r="B77" s="93" t="s">
        <v>248</v>
      </c>
      <c r="C77" s="87"/>
      <c r="D77" s="87"/>
      <c r="E77" s="87"/>
      <c r="F77" s="92">
        <f>F75-F76</f>
        <v>19993986</v>
      </c>
    </row>
    <row r="79" spans="1:6" ht="30.6" x14ac:dyDescent="0.3">
      <c r="A79" s="65" t="s">
        <v>222</v>
      </c>
      <c r="B79" s="66" t="s">
        <v>223</v>
      </c>
      <c r="C79" s="66" t="s">
        <v>224</v>
      </c>
      <c r="D79" s="67" t="s">
        <v>225</v>
      </c>
      <c r="E79" s="67" t="s">
        <v>226</v>
      </c>
      <c r="F79" s="68" t="s">
        <v>227</v>
      </c>
    </row>
    <row r="80" spans="1:6" x14ac:dyDescent="0.3">
      <c r="A80" s="377" t="s">
        <v>268</v>
      </c>
      <c r="B80" s="378"/>
      <c r="C80" s="378"/>
      <c r="D80" s="378"/>
      <c r="E80" s="378"/>
      <c r="F80" s="379"/>
    </row>
    <row r="81" spans="1:6" x14ac:dyDescent="0.3">
      <c r="A81" s="369">
        <v>1</v>
      </c>
      <c r="B81" s="69" t="s">
        <v>318</v>
      </c>
      <c r="C81" s="70">
        <v>12</v>
      </c>
      <c r="D81" s="71"/>
      <c r="E81" s="71"/>
      <c r="F81" s="72">
        <f>SUM(F82:F84)*C81</f>
        <v>3820464</v>
      </c>
    </row>
    <row r="82" spans="1:6" x14ac:dyDescent="0.3">
      <c r="A82" s="370"/>
      <c r="B82" s="73" t="s">
        <v>229</v>
      </c>
      <c r="C82" s="74">
        <v>1</v>
      </c>
      <c r="D82" s="75">
        <v>13349</v>
      </c>
      <c r="E82" s="75">
        <f>D82*C82</f>
        <v>13349</v>
      </c>
      <c r="F82" s="75">
        <f>E82*12</f>
        <v>160188</v>
      </c>
    </row>
    <row r="83" spans="1:6" x14ac:dyDescent="0.3">
      <c r="A83" s="370"/>
      <c r="B83" s="76" t="s">
        <v>230</v>
      </c>
      <c r="C83" s="74">
        <v>12</v>
      </c>
      <c r="D83" s="77">
        <v>849</v>
      </c>
      <c r="E83" s="75">
        <f>D83*C83</f>
        <v>10188</v>
      </c>
      <c r="F83" s="75">
        <f>E83*12</f>
        <v>122256</v>
      </c>
    </row>
    <row r="84" spans="1:6" x14ac:dyDescent="0.3">
      <c r="A84" s="371"/>
      <c r="B84" s="78" t="s">
        <v>231</v>
      </c>
      <c r="C84" s="74">
        <v>6</v>
      </c>
      <c r="D84" s="79">
        <v>499</v>
      </c>
      <c r="E84" s="75">
        <f>D84*C84</f>
        <v>2994</v>
      </c>
      <c r="F84" s="75">
        <f>E84*12</f>
        <v>35928</v>
      </c>
    </row>
    <row r="85" spans="1:6" x14ac:dyDescent="0.3">
      <c r="A85" s="369">
        <v>1</v>
      </c>
      <c r="B85" s="69" t="s">
        <v>319</v>
      </c>
      <c r="C85" s="70">
        <v>7</v>
      </c>
      <c r="D85" s="71"/>
      <c r="E85" s="71"/>
      <c r="F85" s="72">
        <f>SUM(F86:F88)*C85</f>
        <v>3369660</v>
      </c>
    </row>
    <row r="86" spans="1:6" x14ac:dyDescent="0.3">
      <c r="A86" s="370"/>
      <c r="B86" s="73" t="s">
        <v>229</v>
      </c>
      <c r="C86" s="74">
        <v>1</v>
      </c>
      <c r="D86" s="75">
        <v>13349</v>
      </c>
      <c r="E86" s="75">
        <f>D86*C86</f>
        <v>13349</v>
      </c>
      <c r="F86" s="75">
        <f>E86*12</f>
        <v>160188</v>
      </c>
    </row>
    <row r="87" spans="1:6" x14ac:dyDescent="0.3">
      <c r="A87" s="370"/>
      <c r="B87" s="76" t="s">
        <v>230</v>
      </c>
      <c r="C87" s="74">
        <v>28</v>
      </c>
      <c r="D87" s="77">
        <v>849</v>
      </c>
      <c r="E87" s="75">
        <f>D87*C87</f>
        <v>23772</v>
      </c>
      <c r="F87" s="75">
        <f>E87*12</f>
        <v>285264</v>
      </c>
    </row>
    <row r="88" spans="1:6" x14ac:dyDescent="0.3">
      <c r="A88" s="371"/>
      <c r="B88" s="78" t="s">
        <v>231</v>
      </c>
      <c r="C88" s="74">
        <v>6</v>
      </c>
      <c r="D88" s="79">
        <v>499</v>
      </c>
      <c r="E88" s="75">
        <f>D88*C88</f>
        <v>2994</v>
      </c>
      <c r="F88" s="75">
        <f>E88*12</f>
        <v>35928</v>
      </c>
    </row>
    <row r="89" spans="1:6" x14ac:dyDescent="0.3">
      <c r="A89" s="381">
        <v>2</v>
      </c>
      <c r="B89" s="69" t="s">
        <v>291</v>
      </c>
      <c r="C89" s="70">
        <v>7</v>
      </c>
      <c r="D89" s="71"/>
      <c r="E89" s="71"/>
      <c r="F89" s="72">
        <f>SUM(F90:F92)*C89</f>
        <v>4109196</v>
      </c>
    </row>
    <row r="90" spans="1:6" x14ac:dyDescent="0.3">
      <c r="A90" s="382"/>
      <c r="B90" s="73" t="s">
        <v>234</v>
      </c>
      <c r="C90" s="74">
        <v>1</v>
      </c>
      <c r="D90" s="75">
        <v>25549</v>
      </c>
      <c r="E90" s="75">
        <f>D90*C90</f>
        <v>25549</v>
      </c>
      <c r="F90" s="75">
        <f>E90*12</f>
        <v>306588</v>
      </c>
    </row>
    <row r="91" spans="1:6" x14ac:dyDescent="0.3">
      <c r="A91" s="382"/>
      <c r="B91" s="76" t="s">
        <v>230</v>
      </c>
      <c r="C91" s="74">
        <v>24</v>
      </c>
      <c r="D91" s="77">
        <v>849</v>
      </c>
      <c r="E91" s="75">
        <f>D91*C91</f>
        <v>20376</v>
      </c>
      <c r="F91" s="75">
        <f>E91*12</f>
        <v>244512</v>
      </c>
    </row>
    <row r="92" spans="1:6" x14ac:dyDescent="0.3">
      <c r="A92" s="383"/>
      <c r="B92" s="78" t="s">
        <v>232</v>
      </c>
      <c r="C92" s="74">
        <v>6</v>
      </c>
      <c r="D92" s="79">
        <v>499</v>
      </c>
      <c r="E92" s="75">
        <f>D92*C92</f>
        <v>2994</v>
      </c>
      <c r="F92" s="75">
        <f>E92*12</f>
        <v>35928</v>
      </c>
    </row>
    <row r="93" spans="1:6" x14ac:dyDescent="0.3">
      <c r="A93" s="381">
        <v>3</v>
      </c>
      <c r="B93" s="69" t="s">
        <v>233</v>
      </c>
      <c r="C93" s="70">
        <v>0</v>
      </c>
      <c r="D93" s="71"/>
      <c r="E93" s="71"/>
      <c r="F93" s="72">
        <f>SUM(F94:F96)*C93</f>
        <v>0</v>
      </c>
    </row>
    <row r="94" spans="1:6" x14ac:dyDescent="0.3">
      <c r="A94" s="382"/>
      <c r="B94" s="73" t="s">
        <v>234</v>
      </c>
      <c r="C94" s="74">
        <v>1</v>
      </c>
      <c r="D94" s="75">
        <v>25549</v>
      </c>
      <c r="E94" s="75">
        <f>D94*C94</f>
        <v>25549</v>
      </c>
      <c r="F94" s="75">
        <f>E94*12</f>
        <v>306588</v>
      </c>
    </row>
    <row r="95" spans="1:6" x14ac:dyDescent="0.3">
      <c r="A95" s="382"/>
      <c r="B95" s="76" t="s">
        <v>230</v>
      </c>
      <c r="C95" s="74">
        <v>24</v>
      </c>
      <c r="D95" s="77">
        <v>849</v>
      </c>
      <c r="E95" s="75">
        <f>D95*C95</f>
        <v>20376</v>
      </c>
      <c r="F95" s="75">
        <f>E95*12</f>
        <v>244512</v>
      </c>
    </row>
    <row r="96" spans="1:6" x14ac:dyDescent="0.3">
      <c r="A96" s="383"/>
      <c r="B96" s="78" t="s">
        <v>232</v>
      </c>
      <c r="C96" s="74">
        <v>0</v>
      </c>
      <c r="D96" s="79">
        <v>499</v>
      </c>
      <c r="E96" s="75">
        <f>D96*C96</f>
        <v>0</v>
      </c>
      <c r="F96" s="75">
        <f>E96*12</f>
        <v>0</v>
      </c>
    </row>
    <row r="97" spans="1:6" x14ac:dyDescent="0.3">
      <c r="A97" s="381">
        <v>4</v>
      </c>
      <c r="B97" s="69" t="s">
        <v>320</v>
      </c>
      <c r="C97" s="70">
        <v>4</v>
      </c>
      <c r="D97" s="71"/>
      <c r="E97" s="71"/>
      <c r="F97" s="72">
        <f>SUM(F98:F100)*C97</f>
        <v>7905456</v>
      </c>
    </row>
    <row r="98" spans="1:6" x14ac:dyDescent="0.3">
      <c r="A98" s="382"/>
      <c r="B98" s="73" t="s">
        <v>236</v>
      </c>
      <c r="C98" s="74">
        <v>1</v>
      </c>
      <c r="D98" s="75">
        <v>49649</v>
      </c>
      <c r="E98" s="75">
        <f>D98*C98</f>
        <v>49649</v>
      </c>
      <c r="F98" s="75">
        <f>E98*12</f>
        <v>595788</v>
      </c>
    </row>
    <row r="99" spans="1:6" x14ac:dyDescent="0.3">
      <c r="A99" s="382"/>
      <c r="B99" s="76" t="s">
        <v>230</v>
      </c>
      <c r="C99" s="74">
        <v>112</v>
      </c>
      <c r="D99" s="77">
        <v>849</v>
      </c>
      <c r="E99" s="75">
        <f>D99*C99</f>
        <v>95088</v>
      </c>
      <c r="F99" s="75">
        <f>E99*12</f>
        <v>1141056</v>
      </c>
    </row>
    <row r="100" spans="1:6" x14ac:dyDescent="0.3">
      <c r="A100" s="383"/>
      <c r="B100" s="78" t="s">
        <v>232</v>
      </c>
      <c r="C100" s="74">
        <v>40</v>
      </c>
      <c r="D100" s="79">
        <v>499</v>
      </c>
      <c r="E100" s="75">
        <f>D100*C100</f>
        <v>19960</v>
      </c>
      <c r="F100" s="75">
        <f>E100*12</f>
        <v>239520</v>
      </c>
    </row>
    <row r="101" spans="1:6" x14ac:dyDescent="0.3">
      <c r="A101" s="88">
        <v>5</v>
      </c>
      <c r="B101" s="89" t="s">
        <v>260</v>
      </c>
      <c r="C101" s="74">
        <v>0</v>
      </c>
      <c r="D101" s="79">
        <v>499</v>
      </c>
      <c r="E101" s="75">
        <f>D101*C101</f>
        <v>0</v>
      </c>
      <c r="F101" s="75">
        <f>E101*12</f>
        <v>0</v>
      </c>
    </row>
    <row r="102" spans="1:6" x14ac:dyDescent="0.3">
      <c r="A102" s="87"/>
      <c r="B102" s="66" t="s">
        <v>240</v>
      </c>
      <c r="C102" s="87"/>
      <c r="D102" s="87"/>
      <c r="E102" s="87"/>
      <c r="F102" s="92">
        <f>SUM(F97,F93,F89,F81,F85,F101)</f>
        <v>19204776</v>
      </c>
    </row>
    <row r="103" spans="1:6" x14ac:dyDescent="0.3">
      <c r="A103" s="81"/>
      <c r="B103" s="89"/>
      <c r="C103" s="74"/>
      <c r="D103" s="79"/>
      <c r="E103" s="75"/>
      <c r="F103" s="75"/>
    </row>
    <row r="104" spans="1:6" x14ac:dyDescent="0.3">
      <c r="A104" s="81"/>
      <c r="B104" s="90" t="s">
        <v>241</v>
      </c>
      <c r="C104" s="74"/>
      <c r="D104" s="79"/>
      <c r="E104" s="75"/>
      <c r="F104" s="75"/>
    </row>
    <row r="105" spans="1:6" x14ac:dyDescent="0.3">
      <c r="A105" s="81">
        <v>1</v>
      </c>
      <c r="B105" s="82" t="s">
        <v>237</v>
      </c>
      <c r="C105" s="74">
        <f>SUM(C97,C93,C89,C81,C85)</f>
        <v>30</v>
      </c>
      <c r="D105" s="79">
        <v>2083</v>
      </c>
      <c r="E105" s="75">
        <f>D105*C105</f>
        <v>62490</v>
      </c>
      <c r="F105" s="75">
        <f>E105*12</f>
        <v>749880</v>
      </c>
    </row>
    <row r="106" spans="1:6" x14ac:dyDescent="0.3">
      <c r="A106" s="81">
        <v>2</v>
      </c>
      <c r="B106" s="82" t="s">
        <v>267</v>
      </c>
      <c r="C106" s="74">
        <f>C105</f>
        <v>30</v>
      </c>
      <c r="D106" s="79">
        <v>4560</v>
      </c>
      <c r="E106" s="75">
        <f>D106*C106</f>
        <v>136800</v>
      </c>
      <c r="F106" s="75">
        <f>E106*12</f>
        <v>1641600</v>
      </c>
    </row>
    <row r="107" spans="1:6" x14ac:dyDescent="0.3">
      <c r="A107" s="83">
        <v>3</v>
      </c>
      <c r="B107" s="84" t="s">
        <v>239</v>
      </c>
      <c r="C107" s="74">
        <f>(C100*C97+C92*C89+C88*C85+C81*C84)/10</f>
        <v>31.6</v>
      </c>
      <c r="D107" s="79">
        <v>22200</v>
      </c>
      <c r="E107" s="75">
        <f>D107*C107</f>
        <v>701520</v>
      </c>
      <c r="F107" s="75">
        <f>E107*12</f>
        <v>8418240</v>
      </c>
    </row>
    <row r="108" spans="1:6" x14ac:dyDescent="0.3">
      <c r="A108" s="83">
        <v>4</v>
      </c>
      <c r="B108" s="84" t="s">
        <v>287</v>
      </c>
      <c r="C108" s="74">
        <f>C106</f>
        <v>30</v>
      </c>
      <c r="D108" s="79">
        <v>1340</v>
      </c>
      <c r="E108" s="75">
        <f>D108*C108</f>
        <v>40200</v>
      </c>
      <c r="F108" s="75">
        <f>E108*12</f>
        <v>482400</v>
      </c>
    </row>
    <row r="109" spans="1:6" x14ac:dyDescent="0.3">
      <c r="A109" s="83">
        <v>5</v>
      </c>
      <c r="B109" s="84" t="s">
        <v>244</v>
      </c>
      <c r="C109" s="74">
        <v>4</v>
      </c>
      <c r="D109" s="79">
        <v>13440</v>
      </c>
      <c r="E109" s="75">
        <f>D109*C109</f>
        <v>53760</v>
      </c>
      <c r="F109" s="75">
        <f>E109*12</f>
        <v>645120</v>
      </c>
    </row>
    <row r="110" spans="1:6" x14ac:dyDescent="0.3">
      <c r="A110" s="83">
        <v>6</v>
      </c>
      <c r="B110" s="68" t="s">
        <v>292</v>
      </c>
      <c r="C110" s="74">
        <v>1</v>
      </c>
      <c r="D110" s="75">
        <v>1</v>
      </c>
      <c r="E110" s="85">
        <v>1</v>
      </c>
      <c r="F110" s="75">
        <v>750000</v>
      </c>
    </row>
    <row r="111" spans="1:6" x14ac:dyDescent="0.3">
      <c r="A111" s="87"/>
      <c r="B111" s="66" t="s">
        <v>242</v>
      </c>
      <c r="C111" s="87"/>
      <c r="D111" s="87"/>
      <c r="E111" s="87"/>
      <c r="F111" s="92">
        <f>SUM(F105:F110)</f>
        <v>12687240</v>
      </c>
    </row>
    <row r="112" spans="1:6" x14ac:dyDescent="0.3">
      <c r="A112" s="87"/>
      <c r="B112" s="87" t="s">
        <v>246</v>
      </c>
      <c r="C112" s="87"/>
      <c r="D112" s="87"/>
      <c r="E112" s="87"/>
      <c r="F112" s="75">
        <f>F111+F102</f>
        <v>31892016</v>
      </c>
    </row>
    <row r="113" spans="1:9" x14ac:dyDescent="0.3">
      <c r="A113" s="87"/>
      <c r="B113" s="87" t="s">
        <v>247</v>
      </c>
      <c r="C113" s="87"/>
      <c r="D113" s="87"/>
      <c r="E113" s="87"/>
      <c r="F113" s="75">
        <f>F112*0.25</f>
        <v>7973004</v>
      </c>
    </row>
    <row r="114" spans="1:9" x14ac:dyDescent="0.3">
      <c r="A114" s="87"/>
      <c r="B114" s="93" t="s">
        <v>248</v>
      </c>
      <c r="C114" s="87"/>
      <c r="D114" s="87"/>
      <c r="E114" s="87"/>
      <c r="F114" s="92">
        <f>F112-F113</f>
        <v>23919012</v>
      </c>
    </row>
    <row r="115" spans="1:9" x14ac:dyDescent="0.3">
      <c r="F115" t="s">
        <v>352</v>
      </c>
      <c r="G115" t="s">
        <v>444</v>
      </c>
      <c r="H115" t="s">
        <v>445</v>
      </c>
      <c r="I115" t="s">
        <v>446</v>
      </c>
    </row>
    <row r="116" spans="1:9" x14ac:dyDescent="0.3">
      <c r="C116" t="s">
        <v>206</v>
      </c>
      <c r="D116" t="s">
        <v>442</v>
      </c>
      <c r="E116" t="s">
        <v>443</v>
      </c>
    </row>
    <row r="117" spans="1:9" x14ac:dyDescent="0.3">
      <c r="A117" s="59">
        <v>1</v>
      </c>
      <c r="B117" t="s">
        <v>441</v>
      </c>
      <c r="C117">
        <v>8</v>
      </c>
      <c r="D117">
        <v>16</v>
      </c>
      <c r="E117">
        <v>300</v>
      </c>
      <c r="F117">
        <v>4</v>
      </c>
    </row>
  </sheetData>
  <mergeCells count="16">
    <mergeCell ref="A3:F3"/>
    <mergeCell ref="A4:A7"/>
    <mergeCell ref="A8:A11"/>
    <mergeCell ref="A12:A15"/>
    <mergeCell ref="A16:A19"/>
    <mergeCell ref="A47:F47"/>
    <mergeCell ref="A48:A51"/>
    <mergeCell ref="A52:A55"/>
    <mergeCell ref="A56:A59"/>
    <mergeCell ref="A60:A63"/>
    <mergeCell ref="A80:F80"/>
    <mergeCell ref="A81:A84"/>
    <mergeCell ref="A89:A92"/>
    <mergeCell ref="A93:A96"/>
    <mergeCell ref="A97:A100"/>
    <mergeCell ref="A85:A88"/>
  </mergeCells>
  <pageMargins left="0.7" right="0.7" top="0.75" bottom="0.75" header="0.3" footer="0.3"/>
  <pageSetup paperSize="9"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5"/>
  <sheetViews>
    <sheetView workbookViewId="0">
      <selection activeCell="A3" sqref="A3:E31"/>
    </sheetView>
  </sheetViews>
  <sheetFormatPr defaultRowHeight="14.4" x14ac:dyDescent="0.3"/>
  <cols>
    <col min="1" max="1" width="8.88671875" style="59"/>
    <col min="2" max="2" width="35.6640625" customWidth="1"/>
    <col min="6" max="7" width="13.88671875" customWidth="1"/>
    <col min="8" max="8" width="13.33203125" bestFit="1" customWidth="1"/>
    <col min="9" max="9" width="38" bestFit="1" customWidth="1"/>
    <col min="12" max="12" width="24.33203125" customWidth="1"/>
  </cols>
  <sheetData>
    <row r="1" spans="1:13" x14ac:dyDescent="0.3">
      <c r="F1" s="39">
        <f>SUM(F4:F60)</f>
        <v>93004111.680000007</v>
      </c>
      <c r="G1" s="39"/>
    </row>
    <row r="2" spans="1:13" ht="15" thickBot="1" x14ac:dyDescent="0.35"/>
    <row r="3" spans="1:13" ht="15" thickBot="1" x14ac:dyDescent="0.35">
      <c r="A3" s="56" t="s">
        <v>121</v>
      </c>
      <c r="B3" s="57" t="s">
        <v>60</v>
      </c>
      <c r="C3" s="57" t="s">
        <v>206</v>
      </c>
      <c r="D3" s="57" t="s">
        <v>63</v>
      </c>
      <c r="E3" s="57" t="s">
        <v>35</v>
      </c>
      <c r="F3" s="58" t="s">
        <v>193</v>
      </c>
      <c r="G3" s="1"/>
      <c r="H3" s="1" t="s">
        <v>64</v>
      </c>
      <c r="I3" s="1" t="s">
        <v>111</v>
      </c>
    </row>
    <row r="4" spans="1:13" x14ac:dyDescent="0.3">
      <c r="A4" s="60">
        <v>1</v>
      </c>
      <c r="B4" s="54" t="s">
        <v>61</v>
      </c>
      <c r="C4" s="54">
        <v>4</v>
      </c>
      <c r="D4" s="54">
        <v>16</v>
      </c>
      <c r="E4" s="54">
        <v>500</v>
      </c>
      <c r="F4" s="55">
        <f>(C4*$M$4+D4*$M$5+CEILING(E4/100,1)*$M$6)*12</f>
        <v>356640</v>
      </c>
      <c r="G4" s="41">
        <f>CEILING(E4/100,1)</f>
        <v>5</v>
      </c>
      <c r="H4" t="s">
        <v>78</v>
      </c>
      <c r="I4" t="s">
        <v>99</v>
      </c>
      <c r="L4" t="s">
        <v>194</v>
      </c>
      <c r="M4" s="40">
        <f>10324/3</f>
        <v>3441.3333333333335</v>
      </c>
    </row>
    <row r="5" spans="1:13" x14ac:dyDescent="0.3">
      <c r="A5" s="61">
        <v>2</v>
      </c>
      <c r="B5" s="43" t="s">
        <v>65</v>
      </c>
      <c r="C5" s="43">
        <v>8</v>
      </c>
      <c r="D5" s="43">
        <v>32</v>
      </c>
      <c r="E5" s="43">
        <v>300</v>
      </c>
      <c r="F5" s="46">
        <f t="shared" ref="F5:F33" si="0">(C5*$M$4+D5*$M$5+CEILING(E5/100,1)*$M$6)*12</f>
        <v>594336</v>
      </c>
      <c r="G5" s="41">
        <f t="shared" ref="G5:G33" si="1">CEILING(E5/100,1)</f>
        <v>3</v>
      </c>
      <c r="H5" t="s">
        <v>78</v>
      </c>
      <c r="I5" t="s">
        <v>112</v>
      </c>
      <c r="L5" t="s">
        <v>63</v>
      </c>
      <c r="M5" s="40">
        <f>832*2/3</f>
        <v>554.66666666666663</v>
      </c>
    </row>
    <row r="6" spans="1:13" x14ac:dyDescent="0.3">
      <c r="A6" s="61">
        <v>3</v>
      </c>
      <c r="B6" s="43" t="s">
        <v>66</v>
      </c>
      <c r="C6" s="43">
        <v>8</v>
      </c>
      <c r="D6" s="43">
        <v>32</v>
      </c>
      <c r="E6" s="43">
        <v>300</v>
      </c>
      <c r="F6" s="46">
        <f t="shared" si="0"/>
        <v>594336</v>
      </c>
      <c r="G6" s="41">
        <f t="shared" si="1"/>
        <v>3</v>
      </c>
      <c r="H6" t="s">
        <v>78</v>
      </c>
      <c r="I6" t="s">
        <v>113</v>
      </c>
      <c r="L6" t="s">
        <v>195</v>
      </c>
      <c r="M6">
        <f>2832/2</f>
        <v>1416</v>
      </c>
    </row>
    <row r="7" spans="1:13" x14ac:dyDescent="0.3">
      <c r="A7" s="61">
        <v>4</v>
      </c>
      <c r="B7" s="43" t="s">
        <v>67</v>
      </c>
      <c r="C7" s="43">
        <v>4</v>
      </c>
      <c r="D7" s="43">
        <v>16</v>
      </c>
      <c r="E7" s="43">
        <v>200</v>
      </c>
      <c r="F7" s="46">
        <f t="shared" si="0"/>
        <v>305664</v>
      </c>
      <c r="G7" s="41">
        <f t="shared" si="1"/>
        <v>2</v>
      </c>
      <c r="H7" t="s">
        <v>78</v>
      </c>
      <c r="I7" t="s">
        <v>114</v>
      </c>
    </row>
    <row r="8" spans="1:13" x14ac:dyDescent="0.3">
      <c r="A8" s="61">
        <v>5</v>
      </c>
      <c r="B8" s="43" t="s">
        <v>68</v>
      </c>
      <c r="C8" s="43">
        <v>4</v>
      </c>
      <c r="D8" s="43">
        <v>16</v>
      </c>
      <c r="E8" s="43">
        <v>100</v>
      </c>
      <c r="F8" s="46">
        <f t="shared" si="0"/>
        <v>288672</v>
      </c>
      <c r="G8" s="41">
        <f t="shared" si="1"/>
        <v>1</v>
      </c>
      <c r="H8" t="s">
        <v>79</v>
      </c>
      <c r="I8" t="s">
        <v>115</v>
      </c>
      <c r="L8" t="s">
        <v>196</v>
      </c>
      <c r="M8">
        <v>21315</v>
      </c>
    </row>
    <row r="9" spans="1:13" x14ac:dyDescent="0.3">
      <c r="A9" s="61">
        <v>6</v>
      </c>
      <c r="B9" s="43" t="s">
        <v>69</v>
      </c>
      <c r="C9" s="43">
        <v>8</v>
      </c>
      <c r="D9" s="43">
        <v>32</v>
      </c>
      <c r="E9" s="43">
        <v>200</v>
      </c>
      <c r="F9" s="46">
        <f t="shared" si="0"/>
        <v>577344</v>
      </c>
      <c r="G9" s="41">
        <f t="shared" si="1"/>
        <v>2</v>
      </c>
      <c r="H9" t="s">
        <v>79</v>
      </c>
      <c r="I9" t="s">
        <v>116</v>
      </c>
      <c r="L9" t="s">
        <v>197</v>
      </c>
      <c r="M9">
        <v>8464</v>
      </c>
    </row>
    <row r="10" spans="1:13" x14ac:dyDescent="0.3">
      <c r="A10" s="61">
        <v>7</v>
      </c>
      <c r="B10" s="43" t="s">
        <v>70</v>
      </c>
      <c r="C10" s="43">
        <v>8</v>
      </c>
      <c r="D10" s="43">
        <v>32</v>
      </c>
      <c r="E10" s="43">
        <v>100</v>
      </c>
      <c r="F10" s="46">
        <f t="shared" si="0"/>
        <v>560352</v>
      </c>
      <c r="G10" s="41">
        <f t="shared" si="1"/>
        <v>1</v>
      </c>
      <c r="H10" t="s">
        <v>79</v>
      </c>
      <c r="I10" t="s">
        <v>117</v>
      </c>
      <c r="L10" t="s">
        <v>198</v>
      </c>
      <c r="M10">
        <v>11330</v>
      </c>
    </row>
    <row r="11" spans="1:13" x14ac:dyDescent="0.3">
      <c r="A11" s="61">
        <v>8</v>
      </c>
      <c r="B11" s="43" t="s">
        <v>71</v>
      </c>
      <c r="C11" s="43">
        <v>4</v>
      </c>
      <c r="D11" s="43">
        <v>16</v>
      </c>
      <c r="E11" s="43">
        <v>501</v>
      </c>
      <c r="F11" s="46">
        <f t="shared" si="0"/>
        <v>373632</v>
      </c>
      <c r="G11" s="41">
        <f t="shared" si="1"/>
        <v>6</v>
      </c>
      <c r="H11" t="s">
        <v>78</v>
      </c>
      <c r="L11" t="s">
        <v>199</v>
      </c>
      <c r="M11">
        <v>22210</v>
      </c>
    </row>
    <row r="12" spans="1:13" x14ac:dyDescent="0.3">
      <c r="A12" s="61">
        <v>9</v>
      </c>
      <c r="B12" s="43" t="s">
        <v>72</v>
      </c>
      <c r="C12" s="43">
        <v>2</v>
      </c>
      <c r="D12" s="43">
        <v>16</v>
      </c>
      <c r="E12" s="43">
        <v>100</v>
      </c>
      <c r="F12" s="46">
        <f t="shared" si="0"/>
        <v>206080</v>
      </c>
      <c r="G12" s="41">
        <f t="shared" si="1"/>
        <v>1</v>
      </c>
      <c r="H12" t="s">
        <v>79</v>
      </c>
      <c r="L12" t="s">
        <v>200</v>
      </c>
      <c r="M12">
        <v>2430</v>
      </c>
    </row>
    <row r="13" spans="1:13" x14ac:dyDescent="0.3">
      <c r="A13" s="61">
        <v>10</v>
      </c>
      <c r="B13" s="43" t="s">
        <v>73</v>
      </c>
      <c r="C13" s="43">
        <v>2</v>
      </c>
      <c r="D13" s="43">
        <v>16</v>
      </c>
      <c r="E13" s="43">
        <v>100</v>
      </c>
      <c r="F13" s="46">
        <f t="shared" si="0"/>
        <v>206080</v>
      </c>
      <c r="G13" s="41">
        <f t="shared" si="1"/>
        <v>1</v>
      </c>
      <c r="H13" t="s">
        <v>79</v>
      </c>
      <c r="L13" t="s">
        <v>210</v>
      </c>
      <c r="M13" s="42">
        <v>48950</v>
      </c>
    </row>
    <row r="14" spans="1:13" x14ac:dyDescent="0.3">
      <c r="A14" s="61">
        <v>11</v>
      </c>
      <c r="B14" s="43" t="s">
        <v>74</v>
      </c>
      <c r="C14" s="43">
        <v>2</v>
      </c>
      <c r="D14" s="43">
        <v>16</v>
      </c>
      <c r="E14" s="43">
        <v>100</v>
      </c>
      <c r="F14" s="46">
        <f t="shared" si="0"/>
        <v>206080</v>
      </c>
      <c r="G14" s="41">
        <f t="shared" si="1"/>
        <v>1</v>
      </c>
      <c r="H14" t="s">
        <v>79</v>
      </c>
    </row>
    <row r="15" spans="1:13" x14ac:dyDescent="0.3">
      <c r="A15" s="61">
        <v>12</v>
      </c>
      <c r="B15" s="43" t="s">
        <v>75</v>
      </c>
      <c r="C15" s="43">
        <v>2</v>
      </c>
      <c r="D15" s="43">
        <v>16</v>
      </c>
      <c r="E15" s="43">
        <v>100</v>
      </c>
      <c r="F15" s="46">
        <f t="shared" si="0"/>
        <v>206080</v>
      </c>
      <c r="G15" s="41">
        <f t="shared" si="1"/>
        <v>1</v>
      </c>
      <c r="H15" t="s">
        <v>79</v>
      </c>
    </row>
    <row r="16" spans="1:13" x14ac:dyDescent="0.3">
      <c r="A16" s="61">
        <v>13</v>
      </c>
      <c r="B16" s="43" t="s">
        <v>76</v>
      </c>
      <c r="C16" s="43">
        <v>2</v>
      </c>
      <c r="D16" s="43">
        <v>16</v>
      </c>
      <c r="E16" s="43">
        <v>100</v>
      </c>
      <c r="F16" s="46">
        <f t="shared" si="0"/>
        <v>206080</v>
      </c>
      <c r="G16" s="41">
        <f t="shared" si="1"/>
        <v>1</v>
      </c>
      <c r="H16" t="s">
        <v>79</v>
      </c>
    </row>
    <row r="17" spans="1:9" x14ac:dyDescent="0.3">
      <c r="A17" s="61">
        <v>14</v>
      </c>
      <c r="B17" s="43" t="s">
        <v>77</v>
      </c>
      <c r="C17" s="43">
        <v>2</v>
      </c>
      <c r="D17" s="43">
        <v>16</v>
      </c>
      <c r="E17" s="43">
        <v>100</v>
      </c>
      <c r="F17" s="46">
        <f t="shared" si="0"/>
        <v>206080</v>
      </c>
      <c r="G17" s="41">
        <f t="shared" si="1"/>
        <v>1</v>
      </c>
      <c r="H17" t="s">
        <v>79</v>
      </c>
    </row>
    <row r="18" spans="1:9" x14ac:dyDescent="0.3">
      <c r="A18" s="61">
        <v>15</v>
      </c>
      <c r="B18" s="43" t="s">
        <v>80</v>
      </c>
      <c r="C18" s="43">
        <v>8</v>
      </c>
      <c r="D18" s="43">
        <v>32</v>
      </c>
      <c r="E18" s="43">
        <v>528</v>
      </c>
      <c r="F18" s="46">
        <f t="shared" si="0"/>
        <v>645312</v>
      </c>
      <c r="G18" s="41">
        <f t="shared" si="1"/>
        <v>6</v>
      </c>
      <c r="H18" t="s">
        <v>85</v>
      </c>
      <c r="I18" t="s">
        <v>118</v>
      </c>
    </row>
    <row r="19" spans="1:9" x14ac:dyDescent="0.3">
      <c r="A19" s="61">
        <v>16</v>
      </c>
      <c r="B19" s="43" t="s">
        <v>81</v>
      </c>
      <c r="C19" s="43">
        <v>4</v>
      </c>
      <c r="D19" s="43">
        <v>63</v>
      </c>
      <c r="E19" s="43">
        <v>677</v>
      </c>
      <c r="F19" s="46">
        <f>(C19*$M$4+D19*$M$5+CEILING(E19/100,1)*$M$6)*12</f>
        <v>703456</v>
      </c>
      <c r="G19" s="41">
        <f t="shared" si="1"/>
        <v>7</v>
      </c>
      <c r="H19" t="s">
        <v>86</v>
      </c>
      <c r="I19" t="s">
        <v>119</v>
      </c>
    </row>
    <row r="20" spans="1:9" x14ac:dyDescent="0.3">
      <c r="A20" s="61">
        <v>17</v>
      </c>
      <c r="B20" s="43" t="s">
        <v>82</v>
      </c>
      <c r="C20" s="43">
        <v>4</v>
      </c>
      <c r="D20" s="43">
        <v>16</v>
      </c>
      <c r="E20" s="43">
        <v>566</v>
      </c>
      <c r="F20" s="46">
        <f t="shared" si="0"/>
        <v>373632</v>
      </c>
      <c r="G20" s="41">
        <f t="shared" si="1"/>
        <v>6</v>
      </c>
      <c r="H20" t="s">
        <v>87</v>
      </c>
      <c r="I20" t="s">
        <v>120</v>
      </c>
    </row>
    <row r="21" spans="1:9" x14ac:dyDescent="0.3">
      <c r="A21" s="61">
        <v>18</v>
      </c>
      <c r="B21" s="43" t="s">
        <v>83</v>
      </c>
      <c r="C21" s="43">
        <v>4</v>
      </c>
      <c r="D21" s="43">
        <v>32</v>
      </c>
      <c r="E21" s="43">
        <v>596</v>
      </c>
      <c r="F21" s="46">
        <f t="shared" si="0"/>
        <v>480128</v>
      </c>
      <c r="G21" s="41">
        <f t="shared" si="1"/>
        <v>6</v>
      </c>
      <c r="H21" t="s">
        <v>87</v>
      </c>
      <c r="I21" t="s">
        <v>119</v>
      </c>
    </row>
    <row r="22" spans="1:9" x14ac:dyDescent="0.3">
      <c r="A22" s="61">
        <v>19</v>
      </c>
      <c r="B22" s="43" t="s">
        <v>84</v>
      </c>
      <c r="C22" s="43">
        <v>4</v>
      </c>
      <c r="D22" s="43">
        <v>32</v>
      </c>
      <c r="E22" s="43">
        <v>204</v>
      </c>
      <c r="F22" s="46">
        <f t="shared" si="0"/>
        <v>429152</v>
      </c>
      <c r="G22" s="41">
        <f t="shared" si="1"/>
        <v>3</v>
      </c>
      <c r="H22" t="s">
        <v>88</v>
      </c>
      <c r="I22" t="s">
        <v>119</v>
      </c>
    </row>
    <row r="23" spans="1:9" x14ac:dyDescent="0.3">
      <c r="A23" s="61">
        <v>20</v>
      </c>
      <c r="B23" s="43" t="s">
        <v>89</v>
      </c>
      <c r="C23" s="43">
        <v>4</v>
      </c>
      <c r="D23" s="43">
        <v>32</v>
      </c>
      <c r="E23" s="43">
        <v>401</v>
      </c>
      <c r="F23" s="46">
        <f t="shared" si="0"/>
        <v>463136</v>
      </c>
      <c r="G23" s="41">
        <f t="shared" si="1"/>
        <v>5</v>
      </c>
      <c r="I23" t="s">
        <v>100</v>
      </c>
    </row>
    <row r="24" spans="1:9" x14ac:dyDescent="0.3">
      <c r="A24" s="61">
        <v>21</v>
      </c>
      <c r="B24" s="43" t="s">
        <v>90</v>
      </c>
      <c r="C24" s="43">
        <v>2</v>
      </c>
      <c r="D24" s="43">
        <v>4</v>
      </c>
      <c r="E24" s="43">
        <v>201</v>
      </c>
      <c r="F24" s="46">
        <f t="shared" si="0"/>
        <v>160192</v>
      </c>
      <c r="G24" s="41">
        <f t="shared" si="1"/>
        <v>3</v>
      </c>
      <c r="I24" t="s">
        <v>101</v>
      </c>
    </row>
    <row r="25" spans="1:9" x14ac:dyDescent="0.3">
      <c r="A25" s="61">
        <v>22</v>
      </c>
      <c r="B25" s="43" t="s">
        <v>90</v>
      </c>
      <c r="C25" s="43">
        <v>2</v>
      </c>
      <c r="D25" s="43">
        <v>4</v>
      </c>
      <c r="E25" s="43">
        <v>201</v>
      </c>
      <c r="F25" s="46">
        <f t="shared" si="0"/>
        <v>160192</v>
      </c>
      <c r="G25" s="41">
        <f t="shared" si="1"/>
        <v>3</v>
      </c>
      <c r="I25" t="s">
        <v>102</v>
      </c>
    </row>
    <row r="26" spans="1:9" x14ac:dyDescent="0.3">
      <c r="A26" s="61">
        <v>23</v>
      </c>
      <c r="B26" s="43" t="s">
        <v>91</v>
      </c>
      <c r="C26" s="43">
        <v>2</v>
      </c>
      <c r="D26" s="43">
        <v>32</v>
      </c>
      <c r="E26" s="43">
        <v>1240</v>
      </c>
      <c r="F26" s="46">
        <f t="shared" si="0"/>
        <v>516480</v>
      </c>
      <c r="G26" s="41">
        <f t="shared" si="1"/>
        <v>13</v>
      </c>
      <c r="I26" t="s">
        <v>103</v>
      </c>
    </row>
    <row r="27" spans="1:9" x14ac:dyDescent="0.3">
      <c r="A27" s="61">
        <v>24</v>
      </c>
      <c r="B27" s="43" t="s">
        <v>92</v>
      </c>
      <c r="C27" s="43">
        <v>8</v>
      </c>
      <c r="D27" s="43">
        <v>128</v>
      </c>
      <c r="E27" s="43">
        <v>702</v>
      </c>
      <c r="F27" s="46">
        <f t="shared" si="0"/>
        <v>1318272</v>
      </c>
      <c r="G27" s="41">
        <f t="shared" si="1"/>
        <v>8</v>
      </c>
      <c r="I27" t="s">
        <v>104</v>
      </c>
    </row>
    <row r="28" spans="1:9" x14ac:dyDescent="0.3">
      <c r="A28" s="61">
        <v>25</v>
      </c>
      <c r="B28" s="43" t="s">
        <v>93</v>
      </c>
      <c r="C28" s="43">
        <v>4</v>
      </c>
      <c r="D28" s="43">
        <v>36</v>
      </c>
      <c r="E28" s="43">
        <v>1470</v>
      </c>
      <c r="F28" s="46">
        <f t="shared" si="0"/>
        <v>659680</v>
      </c>
      <c r="G28" s="41">
        <f t="shared" si="1"/>
        <v>15</v>
      </c>
      <c r="I28" t="s">
        <v>105</v>
      </c>
    </row>
    <row r="29" spans="1:9" x14ac:dyDescent="0.3">
      <c r="A29" s="61">
        <v>26</v>
      </c>
      <c r="B29" s="43" t="s">
        <v>94</v>
      </c>
      <c r="C29" s="43">
        <v>4</v>
      </c>
      <c r="D29" s="43">
        <v>12</v>
      </c>
      <c r="E29" s="43">
        <v>205</v>
      </c>
      <c r="F29" s="46">
        <f t="shared" si="0"/>
        <v>296032</v>
      </c>
      <c r="G29" s="41">
        <f>CEILING(E29/100,1)</f>
        <v>3</v>
      </c>
      <c r="I29" t="s">
        <v>106</v>
      </c>
    </row>
    <row r="30" spans="1:9" x14ac:dyDescent="0.3">
      <c r="A30" s="61">
        <v>27</v>
      </c>
      <c r="B30" s="43" t="s">
        <v>95</v>
      </c>
      <c r="C30" s="43">
        <v>4</v>
      </c>
      <c r="D30" s="43">
        <v>32</v>
      </c>
      <c r="E30" s="43">
        <v>554</v>
      </c>
      <c r="F30" s="46">
        <f t="shared" si="0"/>
        <v>480128</v>
      </c>
      <c r="G30" s="41">
        <f t="shared" si="1"/>
        <v>6</v>
      </c>
      <c r="I30" t="s">
        <v>107</v>
      </c>
    </row>
    <row r="31" spans="1:9" x14ac:dyDescent="0.3">
      <c r="A31" s="61">
        <v>28</v>
      </c>
      <c r="B31" s="43" t="s">
        <v>96</v>
      </c>
      <c r="C31" s="43">
        <v>4</v>
      </c>
      <c r="D31" s="43">
        <v>40</v>
      </c>
      <c r="E31" s="43">
        <v>115</v>
      </c>
      <c r="F31" s="46">
        <f t="shared" si="0"/>
        <v>465408</v>
      </c>
      <c r="G31" s="41">
        <f t="shared" si="1"/>
        <v>2</v>
      </c>
      <c r="I31" t="s">
        <v>108</v>
      </c>
    </row>
    <row r="32" spans="1:9" x14ac:dyDescent="0.3">
      <c r="A32" s="61">
        <v>29</v>
      </c>
      <c r="B32" s="43" t="s">
        <v>97</v>
      </c>
      <c r="C32" s="43">
        <v>4</v>
      </c>
      <c r="D32" s="43">
        <v>16</v>
      </c>
      <c r="E32" s="43">
        <v>703</v>
      </c>
      <c r="F32" s="46">
        <f t="shared" si="0"/>
        <v>407616</v>
      </c>
      <c r="G32" s="41">
        <f t="shared" si="1"/>
        <v>8</v>
      </c>
      <c r="I32" t="s">
        <v>109</v>
      </c>
    </row>
    <row r="33" spans="1:9" x14ac:dyDescent="0.3">
      <c r="A33" s="61">
        <v>30</v>
      </c>
      <c r="B33" s="43" t="s">
        <v>98</v>
      </c>
      <c r="C33" s="43">
        <v>4</v>
      </c>
      <c r="D33" s="43">
        <v>64</v>
      </c>
      <c r="E33" s="43">
        <v>450</v>
      </c>
      <c r="F33" s="46">
        <f t="shared" si="0"/>
        <v>676128</v>
      </c>
      <c r="G33" s="41">
        <f t="shared" si="1"/>
        <v>5</v>
      </c>
      <c r="I33" t="s">
        <v>110</v>
      </c>
    </row>
    <row r="34" spans="1:9" x14ac:dyDescent="0.3">
      <c r="A34" s="61"/>
      <c r="B34" s="43"/>
      <c r="C34" s="43"/>
      <c r="D34" s="43"/>
      <c r="E34" s="43"/>
      <c r="F34" s="47"/>
    </row>
    <row r="35" spans="1:9" x14ac:dyDescent="0.3">
      <c r="A35" s="61"/>
      <c r="B35" s="44" t="s">
        <v>207</v>
      </c>
      <c r="C35" s="43"/>
      <c r="D35" s="43"/>
      <c r="E35" s="43"/>
      <c r="F35" s="47"/>
    </row>
    <row r="36" spans="1:9" x14ac:dyDescent="0.3">
      <c r="A36" s="61">
        <v>1</v>
      </c>
      <c r="B36" s="43" t="s">
        <v>201</v>
      </c>
      <c r="C36" s="43">
        <f>CEILING(SUM(C4:C33)/8,1)</f>
        <v>16</v>
      </c>
      <c r="D36" s="43">
        <v>1</v>
      </c>
      <c r="E36" s="43">
        <v>1</v>
      </c>
      <c r="F36" s="46">
        <f>C36*D36*E36*M8*12</f>
        <v>4092480</v>
      </c>
      <c r="G36" s="41"/>
    </row>
    <row r="37" spans="1:9" x14ac:dyDescent="0.3">
      <c r="A37" s="61">
        <v>2</v>
      </c>
      <c r="B37" s="43" t="s">
        <v>205</v>
      </c>
      <c r="C37" s="43">
        <f>COUNT(C4:C33)</f>
        <v>30</v>
      </c>
      <c r="D37" s="43">
        <v>1</v>
      </c>
      <c r="E37" s="43">
        <v>1</v>
      </c>
      <c r="F37" s="46">
        <f>C37*D37*E37*M9*12</f>
        <v>3047040</v>
      </c>
    </row>
    <row r="38" spans="1:9" x14ac:dyDescent="0.3">
      <c r="A38" s="61">
        <v>3</v>
      </c>
      <c r="B38" s="43" t="s">
        <v>202</v>
      </c>
      <c r="C38" s="43">
        <f>C37</f>
        <v>30</v>
      </c>
      <c r="D38" s="43">
        <v>1</v>
      </c>
      <c r="E38" s="43">
        <v>1</v>
      </c>
      <c r="F38" s="46">
        <f>C38*D38*E38*M10*12</f>
        <v>4078800</v>
      </c>
    </row>
    <row r="39" spans="1:9" x14ac:dyDescent="0.3">
      <c r="A39" s="61">
        <v>4</v>
      </c>
      <c r="B39" s="43" t="s">
        <v>203</v>
      </c>
      <c r="C39" s="45">
        <f>SUM(G4:G33)</f>
        <v>128</v>
      </c>
      <c r="D39" s="43">
        <v>1</v>
      </c>
      <c r="E39" s="43">
        <v>1</v>
      </c>
      <c r="F39" s="46">
        <f>C39*D39*E39*M11*12/10</f>
        <v>3411456</v>
      </c>
    </row>
    <row r="40" spans="1:9" x14ac:dyDescent="0.3">
      <c r="A40" s="61">
        <v>5</v>
      </c>
      <c r="B40" s="43" t="s">
        <v>204</v>
      </c>
      <c r="C40" s="43">
        <f>C38*2</f>
        <v>60</v>
      </c>
      <c r="D40" s="43">
        <v>0</v>
      </c>
      <c r="E40" s="43">
        <v>1</v>
      </c>
      <c r="F40" s="46">
        <f>C40*D40*E40*M12*12</f>
        <v>0</v>
      </c>
    </row>
    <row r="41" spans="1:9" x14ac:dyDescent="0.3">
      <c r="A41" s="61">
        <v>6</v>
      </c>
      <c r="B41" s="43" t="s">
        <v>209</v>
      </c>
      <c r="C41" s="43">
        <v>5</v>
      </c>
      <c r="D41" s="43">
        <v>1</v>
      </c>
      <c r="E41" s="43">
        <v>1</v>
      </c>
      <c r="F41" s="46">
        <f>C41*D41*E41*M13</f>
        <v>244750</v>
      </c>
    </row>
    <row r="42" spans="1:9" x14ac:dyDescent="0.3">
      <c r="A42" s="61">
        <v>7</v>
      </c>
      <c r="B42" s="43" t="s">
        <v>208</v>
      </c>
      <c r="C42" s="43">
        <v>1</v>
      </c>
      <c r="D42" s="43">
        <v>1</v>
      </c>
      <c r="E42" s="43">
        <v>1</v>
      </c>
      <c r="F42" s="46">
        <v>1249650</v>
      </c>
    </row>
    <row r="43" spans="1:9" ht="15" thickBot="1" x14ac:dyDescent="0.35">
      <c r="A43" s="62"/>
      <c r="B43" s="50"/>
      <c r="C43" s="50"/>
      <c r="D43" s="50"/>
      <c r="E43" s="50"/>
      <c r="F43" s="51"/>
    </row>
    <row r="44" spans="1:9" x14ac:dyDescent="0.3">
      <c r="A44" s="63"/>
      <c r="B44" s="52" t="s">
        <v>211</v>
      </c>
      <c r="C44" s="52"/>
      <c r="D44" s="52"/>
      <c r="E44" s="52"/>
      <c r="F44" s="53">
        <f>SUM(F4:F42)</f>
        <v>29246576</v>
      </c>
    </row>
    <row r="45" spans="1:9" ht="15" thickBot="1" x14ac:dyDescent="0.35">
      <c r="A45" s="64"/>
      <c r="B45" s="48" t="s">
        <v>212</v>
      </c>
      <c r="C45" s="48"/>
      <c r="D45" s="48"/>
      <c r="E45" s="48"/>
      <c r="F45" s="49">
        <f>F44*1.18</f>
        <v>34510959.68</v>
      </c>
    </row>
  </sheetData>
  <pageMargins left="0.7" right="0.7" top="0.75" bottom="0.75" header="0.3" footer="0.3"/>
  <pageSetup paperSize="9" orientation="portrait" r:id="rId1"/>
  <ignoredErrors>
    <ignoredError sqref="F39"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7"/>
  <sheetViews>
    <sheetView workbookViewId="0">
      <selection activeCell="I34" sqref="I34"/>
    </sheetView>
  </sheetViews>
  <sheetFormatPr defaultRowHeight="14.4" x14ac:dyDescent="0.3"/>
  <cols>
    <col min="1" max="1" width="31.109375" bestFit="1" customWidth="1"/>
  </cols>
  <sheetData>
    <row r="1" spans="1:8" x14ac:dyDescent="0.3">
      <c r="A1" t="s">
        <v>0</v>
      </c>
      <c r="C1" t="s">
        <v>32</v>
      </c>
      <c r="D1" t="s">
        <v>33</v>
      </c>
      <c r="E1" t="s">
        <v>34</v>
      </c>
      <c r="F1" t="s">
        <v>35</v>
      </c>
      <c r="G1" t="s">
        <v>36</v>
      </c>
      <c r="H1" t="s">
        <v>37</v>
      </c>
    </row>
    <row r="2" spans="1:8" x14ac:dyDescent="0.3">
      <c r="A2" t="s">
        <v>1</v>
      </c>
      <c r="C2">
        <v>1</v>
      </c>
      <c r="D2">
        <v>8</v>
      </c>
      <c r="E2">
        <v>64</v>
      </c>
      <c r="F2">
        <v>400</v>
      </c>
      <c r="G2" t="s">
        <v>38</v>
      </c>
    </row>
    <row r="3" spans="1:8" x14ac:dyDescent="0.3">
      <c r="A3" t="s">
        <v>2</v>
      </c>
      <c r="C3">
        <v>1</v>
      </c>
      <c r="D3">
        <v>8</v>
      </c>
      <c r="E3">
        <v>64</v>
      </c>
      <c r="F3">
        <v>400</v>
      </c>
      <c r="G3" t="s">
        <v>39</v>
      </c>
    </row>
    <row r="4" spans="1:8" x14ac:dyDescent="0.3">
      <c r="A4" t="s">
        <v>4</v>
      </c>
      <c r="C4">
        <v>1</v>
      </c>
      <c r="D4">
        <v>8</v>
      </c>
      <c r="E4">
        <v>64</v>
      </c>
      <c r="F4">
        <v>400</v>
      </c>
      <c r="G4" t="s">
        <v>40</v>
      </c>
    </row>
    <row r="5" spans="1:8" x14ac:dyDescent="0.3">
      <c r="A5" t="s">
        <v>3</v>
      </c>
      <c r="C5">
        <v>1</v>
      </c>
      <c r="D5">
        <v>4</v>
      </c>
      <c r="E5">
        <v>32</v>
      </c>
      <c r="F5">
        <v>1180</v>
      </c>
      <c r="G5" t="s">
        <v>41</v>
      </c>
    </row>
    <row r="6" spans="1:8" x14ac:dyDescent="0.3">
      <c r="A6" t="s">
        <v>5</v>
      </c>
      <c r="C6">
        <v>1</v>
      </c>
      <c r="D6">
        <v>4</v>
      </c>
      <c r="E6">
        <v>32</v>
      </c>
      <c r="F6">
        <v>1180</v>
      </c>
      <c r="G6" t="s">
        <v>42</v>
      </c>
    </row>
    <row r="7" spans="1:8" x14ac:dyDescent="0.3">
      <c r="A7" t="s">
        <v>6</v>
      </c>
      <c r="C7">
        <v>1</v>
      </c>
      <c r="D7">
        <v>4</v>
      </c>
      <c r="E7">
        <v>32</v>
      </c>
      <c r="F7">
        <v>1180</v>
      </c>
      <c r="G7" t="s">
        <v>43</v>
      </c>
    </row>
    <row r="8" spans="1:8" x14ac:dyDescent="0.3">
      <c r="A8" t="s">
        <v>7</v>
      </c>
      <c r="C8">
        <v>1</v>
      </c>
      <c r="D8">
        <v>8</v>
      </c>
      <c r="E8">
        <v>64</v>
      </c>
      <c r="F8">
        <v>1160</v>
      </c>
      <c r="G8" t="s">
        <v>50</v>
      </c>
    </row>
    <row r="9" spans="1:8" x14ac:dyDescent="0.3">
      <c r="A9" t="s">
        <v>8</v>
      </c>
      <c r="C9">
        <v>1</v>
      </c>
      <c r="D9">
        <v>2</v>
      </c>
      <c r="E9">
        <v>8</v>
      </c>
      <c r="F9">
        <v>250</v>
      </c>
      <c r="G9" t="s">
        <v>44</v>
      </c>
    </row>
    <row r="10" spans="1:8" x14ac:dyDescent="0.3">
      <c r="A10" t="s">
        <v>9</v>
      </c>
      <c r="C10">
        <v>1</v>
      </c>
      <c r="D10">
        <v>8</v>
      </c>
      <c r="E10">
        <v>64</v>
      </c>
      <c r="F10">
        <v>1400</v>
      </c>
      <c r="G10" t="s">
        <v>45</v>
      </c>
    </row>
    <row r="11" spans="1:8" x14ac:dyDescent="0.3">
      <c r="A11" t="s">
        <v>10</v>
      </c>
      <c r="C11">
        <v>1</v>
      </c>
      <c r="D11">
        <v>8</v>
      </c>
      <c r="E11">
        <v>64</v>
      </c>
      <c r="F11">
        <v>1400</v>
      </c>
      <c r="G11" t="s">
        <v>46</v>
      </c>
    </row>
    <row r="12" spans="1:8" x14ac:dyDescent="0.3">
      <c r="A12" t="s">
        <v>11</v>
      </c>
      <c r="C12">
        <v>1</v>
      </c>
      <c r="D12">
        <v>8</v>
      </c>
      <c r="E12">
        <v>64</v>
      </c>
      <c r="F12">
        <v>1400</v>
      </c>
      <c r="G12" t="s">
        <v>47</v>
      </c>
    </row>
    <row r="13" spans="1:8" x14ac:dyDescent="0.3">
      <c r="A13" t="s">
        <v>12</v>
      </c>
      <c r="C13">
        <v>1</v>
      </c>
      <c r="D13">
        <v>8</v>
      </c>
      <c r="E13">
        <v>64</v>
      </c>
      <c r="F13">
        <v>800</v>
      </c>
      <c r="G13" t="s">
        <v>48</v>
      </c>
    </row>
    <row r="14" spans="1:8" x14ac:dyDescent="0.3">
      <c r="A14" t="s">
        <v>13</v>
      </c>
      <c r="C14">
        <v>1</v>
      </c>
      <c r="D14">
        <v>8</v>
      </c>
      <c r="E14">
        <v>64</v>
      </c>
      <c r="F14">
        <v>800</v>
      </c>
      <c r="G14" t="s">
        <v>49</v>
      </c>
    </row>
    <row r="15" spans="1:8" x14ac:dyDescent="0.3">
      <c r="A15" t="s">
        <v>14</v>
      </c>
      <c r="C15">
        <v>1</v>
      </c>
      <c r="D15">
        <v>16</v>
      </c>
      <c r="E15">
        <v>64</v>
      </c>
      <c r="F15">
        <v>2748</v>
      </c>
      <c r="G15" t="s">
        <v>51</v>
      </c>
    </row>
    <row r="16" spans="1:8" x14ac:dyDescent="0.3">
      <c r="A16" t="s">
        <v>15</v>
      </c>
      <c r="C16">
        <v>1</v>
      </c>
      <c r="D16">
        <v>16</v>
      </c>
      <c r="E16">
        <v>64</v>
      </c>
      <c r="F16">
        <v>2748</v>
      </c>
      <c r="G16" t="s">
        <v>52</v>
      </c>
    </row>
    <row r="17" spans="1:7" x14ac:dyDescent="0.3">
      <c r="A17" t="s">
        <v>16</v>
      </c>
      <c r="C17">
        <v>1</v>
      </c>
      <c r="D17">
        <v>2</v>
      </c>
      <c r="E17">
        <v>16</v>
      </c>
      <c r="F17">
        <v>400</v>
      </c>
      <c r="G17" t="s">
        <v>55</v>
      </c>
    </row>
    <row r="18" spans="1:7" x14ac:dyDescent="0.3">
      <c r="A18" t="s">
        <v>17</v>
      </c>
      <c r="C18">
        <v>1</v>
      </c>
      <c r="D18">
        <v>2</v>
      </c>
      <c r="E18">
        <v>16</v>
      </c>
      <c r="F18">
        <v>100</v>
      </c>
      <c r="G18" t="s">
        <v>53</v>
      </c>
    </row>
    <row r="19" spans="1:7" x14ac:dyDescent="0.3">
      <c r="A19" t="s">
        <v>18</v>
      </c>
      <c r="C19">
        <v>1</v>
      </c>
      <c r="D19">
        <v>2</v>
      </c>
      <c r="E19">
        <v>16</v>
      </c>
      <c r="F19">
        <v>100</v>
      </c>
      <c r="G19" t="s">
        <v>54</v>
      </c>
    </row>
    <row r="20" spans="1:7" x14ac:dyDescent="0.3">
      <c r="A20" t="s">
        <v>19</v>
      </c>
      <c r="C20">
        <v>1</v>
      </c>
      <c r="D20">
        <v>2</v>
      </c>
      <c r="E20">
        <v>14</v>
      </c>
      <c r="F20">
        <v>100</v>
      </c>
    </row>
    <row r="21" spans="1:7" x14ac:dyDescent="0.3">
      <c r="A21" t="s">
        <v>20</v>
      </c>
      <c r="C21">
        <v>1</v>
      </c>
      <c r="D21">
        <v>2</v>
      </c>
      <c r="E21">
        <v>8</v>
      </c>
      <c r="F21">
        <v>100</v>
      </c>
    </row>
    <row r="22" spans="1:7" x14ac:dyDescent="0.3">
      <c r="A22" t="s">
        <v>21</v>
      </c>
      <c r="C22">
        <v>1</v>
      </c>
      <c r="D22">
        <v>4</v>
      </c>
      <c r="E22">
        <v>16</v>
      </c>
      <c r="F22">
        <v>100</v>
      </c>
    </row>
    <row r="23" spans="1:7" x14ac:dyDescent="0.3">
      <c r="A23" t="s">
        <v>22</v>
      </c>
      <c r="C23">
        <v>1</v>
      </c>
      <c r="D23">
        <v>2</v>
      </c>
      <c r="E23">
        <v>16</v>
      </c>
      <c r="F23">
        <v>100</v>
      </c>
    </row>
    <row r="24" spans="1:7" x14ac:dyDescent="0.3">
      <c r="A24" t="s">
        <v>23</v>
      </c>
      <c r="C24">
        <v>1</v>
      </c>
      <c r="D24">
        <v>2</v>
      </c>
      <c r="E24">
        <v>16</v>
      </c>
      <c r="F24">
        <v>100</v>
      </c>
    </row>
    <row r="25" spans="1:7" x14ac:dyDescent="0.3">
      <c r="A25" t="s">
        <v>24</v>
      </c>
      <c r="C25">
        <v>1</v>
      </c>
      <c r="D25">
        <v>2</v>
      </c>
      <c r="E25">
        <v>16</v>
      </c>
      <c r="F25">
        <v>100</v>
      </c>
    </row>
    <row r="26" spans="1:7" x14ac:dyDescent="0.3">
      <c r="A26" t="s">
        <v>18</v>
      </c>
      <c r="C26">
        <v>1</v>
      </c>
      <c r="D26">
        <v>2</v>
      </c>
      <c r="E26">
        <v>16</v>
      </c>
      <c r="F26">
        <v>80</v>
      </c>
    </row>
    <row r="27" spans="1:7" x14ac:dyDescent="0.3">
      <c r="A27" t="s">
        <v>25</v>
      </c>
      <c r="C27">
        <v>1</v>
      </c>
      <c r="D27">
        <v>2</v>
      </c>
      <c r="E27">
        <v>16</v>
      </c>
      <c r="F27">
        <v>100</v>
      </c>
    </row>
    <row r="28" spans="1:7" x14ac:dyDescent="0.3">
      <c r="A28" t="s">
        <v>26</v>
      </c>
      <c r="C28">
        <v>1</v>
      </c>
      <c r="D28">
        <v>2</v>
      </c>
      <c r="E28">
        <v>8</v>
      </c>
      <c r="F28">
        <v>100</v>
      </c>
    </row>
    <row r="29" spans="1:7" x14ac:dyDescent="0.3">
      <c r="A29" t="s">
        <v>27</v>
      </c>
      <c r="C29">
        <v>1</v>
      </c>
      <c r="D29">
        <v>2</v>
      </c>
      <c r="E29">
        <v>8</v>
      </c>
      <c r="F29">
        <v>100</v>
      </c>
    </row>
    <row r="30" spans="1:7" x14ac:dyDescent="0.3">
      <c r="A30" t="s">
        <v>28</v>
      </c>
      <c r="C30">
        <v>1</v>
      </c>
      <c r="D30">
        <v>2</v>
      </c>
      <c r="E30">
        <v>16</v>
      </c>
      <c r="F30">
        <v>100</v>
      </c>
    </row>
    <row r="31" spans="1:7" x14ac:dyDescent="0.3">
      <c r="A31" t="s">
        <v>29</v>
      </c>
      <c r="C31">
        <v>1</v>
      </c>
      <c r="D31">
        <v>2</v>
      </c>
      <c r="E31">
        <v>16</v>
      </c>
      <c r="F31">
        <v>100</v>
      </c>
    </row>
    <row r="32" spans="1:7" x14ac:dyDescent="0.3">
      <c r="A32" t="s">
        <v>30</v>
      </c>
      <c r="C32">
        <v>1</v>
      </c>
      <c r="D32">
        <v>2</v>
      </c>
      <c r="E32">
        <v>16</v>
      </c>
      <c r="F32">
        <v>100</v>
      </c>
    </row>
    <row r="33" spans="1:6" x14ac:dyDescent="0.3">
      <c r="A33" t="s">
        <v>31</v>
      </c>
      <c r="C33">
        <v>1</v>
      </c>
      <c r="D33">
        <v>2</v>
      </c>
      <c r="E33">
        <v>16</v>
      </c>
      <c r="F33">
        <v>100</v>
      </c>
    </row>
    <row r="34" spans="1:6" x14ac:dyDescent="0.3">
      <c r="A34" t="s">
        <v>56</v>
      </c>
    </row>
    <row r="35" spans="1:6" x14ac:dyDescent="0.3">
      <c r="A35" t="s">
        <v>57</v>
      </c>
    </row>
    <row r="36" spans="1:6" x14ac:dyDescent="0.3">
      <c r="A36" t="s">
        <v>57</v>
      </c>
    </row>
    <row r="37" spans="1:6" x14ac:dyDescent="0.3">
      <c r="A37" t="s">
        <v>8</v>
      </c>
    </row>
    <row r="38" spans="1:6" x14ac:dyDescent="0.3">
      <c r="A38" t="s">
        <v>58</v>
      </c>
    </row>
    <row r="39" spans="1:6" x14ac:dyDescent="0.3">
      <c r="A39" t="s">
        <v>58</v>
      </c>
    </row>
    <row r="40" spans="1:6" x14ac:dyDescent="0.3">
      <c r="A40" t="s">
        <v>59</v>
      </c>
    </row>
    <row r="41" spans="1:6" x14ac:dyDescent="0.3">
      <c r="A41" t="s">
        <v>59</v>
      </c>
    </row>
    <row r="42" spans="1:6" x14ac:dyDescent="0.3">
      <c r="A42" t="s">
        <v>59</v>
      </c>
    </row>
    <row r="43" spans="1:6" x14ac:dyDescent="0.3">
      <c r="A43" t="s">
        <v>59</v>
      </c>
    </row>
    <row r="44" spans="1:6" x14ac:dyDescent="0.3">
      <c r="A44" t="s">
        <v>59</v>
      </c>
    </row>
    <row r="45" spans="1:6" x14ac:dyDescent="0.3">
      <c r="A45" t="s">
        <v>59</v>
      </c>
    </row>
    <row r="46" spans="1:6" x14ac:dyDescent="0.3">
      <c r="A46" t="s">
        <v>59</v>
      </c>
    </row>
    <row r="47" spans="1:6" x14ac:dyDescent="0.3">
      <c r="A47" t="s">
        <v>59</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1"/>
  <sheetViews>
    <sheetView topLeftCell="A22" workbookViewId="0">
      <selection activeCell="D10" sqref="D10"/>
    </sheetView>
  </sheetViews>
  <sheetFormatPr defaultRowHeight="14.4" x14ac:dyDescent="0.3"/>
  <cols>
    <col min="2" max="2" width="17.6640625" bestFit="1" customWidth="1"/>
    <col min="6" max="6" width="13.33203125" bestFit="1" customWidth="1"/>
    <col min="7" max="7" width="38" bestFit="1" customWidth="1"/>
  </cols>
  <sheetData>
    <row r="1" spans="1:7" x14ac:dyDescent="0.3">
      <c r="A1" s="1" t="s">
        <v>121</v>
      </c>
      <c r="B1" s="1" t="s">
        <v>60</v>
      </c>
      <c r="C1" s="1" t="s">
        <v>62</v>
      </c>
      <c r="D1" s="1" t="s">
        <v>63</v>
      </c>
      <c r="E1" s="1" t="s">
        <v>35</v>
      </c>
      <c r="F1" s="1" t="s">
        <v>64</v>
      </c>
      <c r="G1" s="1" t="s">
        <v>111</v>
      </c>
    </row>
    <row r="2" spans="1:7" x14ac:dyDescent="0.3">
      <c r="A2">
        <v>1</v>
      </c>
      <c r="B2" t="s">
        <v>61</v>
      </c>
      <c r="C2">
        <v>4</v>
      </c>
      <c r="D2">
        <v>16</v>
      </c>
      <c r="E2">
        <v>500</v>
      </c>
      <c r="F2" t="s">
        <v>78</v>
      </c>
      <c r="G2" t="s">
        <v>99</v>
      </c>
    </row>
    <row r="3" spans="1:7" x14ac:dyDescent="0.3">
      <c r="A3">
        <v>2</v>
      </c>
      <c r="B3" t="s">
        <v>65</v>
      </c>
      <c r="C3">
        <v>8</v>
      </c>
      <c r="D3">
        <v>32</v>
      </c>
      <c r="E3">
        <v>300</v>
      </c>
      <c r="F3" t="s">
        <v>78</v>
      </c>
      <c r="G3" t="s">
        <v>112</v>
      </c>
    </row>
    <row r="4" spans="1:7" x14ac:dyDescent="0.3">
      <c r="A4">
        <v>3</v>
      </c>
      <c r="B4" t="s">
        <v>66</v>
      </c>
      <c r="C4">
        <v>8</v>
      </c>
      <c r="D4">
        <v>32</v>
      </c>
      <c r="E4">
        <v>300</v>
      </c>
      <c r="F4" t="s">
        <v>78</v>
      </c>
      <c r="G4" t="s">
        <v>113</v>
      </c>
    </row>
    <row r="5" spans="1:7" x14ac:dyDescent="0.3">
      <c r="A5">
        <v>4</v>
      </c>
      <c r="B5" t="s">
        <v>67</v>
      </c>
      <c r="C5">
        <v>4</v>
      </c>
      <c r="D5">
        <v>16</v>
      </c>
      <c r="E5">
        <v>200</v>
      </c>
      <c r="F5" t="s">
        <v>78</v>
      </c>
      <c r="G5" t="s">
        <v>114</v>
      </c>
    </row>
    <row r="6" spans="1:7" x14ac:dyDescent="0.3">
      <c r="A6">
        <v>5</v>
      </c>
      <c r="B6" t="s">
        <v>68</v>
      </c>
      <c r="C6">
        <v>4</v>
      </c>
      <c r="D6">
        <v>16</v>
      </c>
      <c r="E6">
        <v>100</v>
      </c>
      <c r="F6" t="s">
        <v>79</v>
      </c>
      <c r="G6" t="s">
        <v>115</v>
      </c>
    </row>
    <row r="7" spans="1:7" x14ac:dyDescent="0.3">
      <c r="A7">
        <v>6</v>
      </c>
      <c r="B7" t="s">
        <v>69</v>
      </c>
      <c r="C7">
        <v>8</v>
      </c>
      <c r="D7">
        <v>32</v>
      </c>
      <c r="E7">
        <v>200</v>
      </c>
      <c r="F7" t="s">
        <v>79</v>
      </c>
      <c r="G7" t="s">
        <v>116</v>
      </c>
    </row>
    <row r="8" spans="1:7" x14ac:dyDescent="0.3">
      <c r="A8">
        <v>7</v>
      </c>
      <c r="B8" t="s">
        <v>70</v>
      </c>
      <c r="C8">
        <v>8</v>
      </c>
      <c r="D8">
        <v>32</v>
      </c>
      <c r="E8">
        <v>100</v>
      </c>
      <c r="F8" t="s">
        <v>79</v>
      </c>
      <c r="G8" t="s">
        <v>117</v>
      </c>
    </row>
    <row r="9" spans="1:7" x14ac:dyDescent="0.3">
      <c r="A9">
        <v>8</v>
      </c>
      <c r="B9" t="s">
        <v>71</v>
      </c>
      <c r="C9">
        <v>4</v>
      </c>
      <c r="D9">
        <v>16</v>
      </c>
      <c r="E9">
        <v>501</v>
      </c>
      <c r="F9" t="s">
        <v>78</v>
      </c>
    </row>
    <row r="10" spans="1:7" x14ac:dyDescent="0.3">
      <c r="A10">
        <v>9</v>
      </c>
      <c r="B10" t="s">
        <v>72</v>
      </c>
      <c r="C10">
        <v>2</v>
      </c>
      <c r="D10">
        <v>16</v>
      </c>
      <c r="E10">
        <v>100</v>
      </c>
      <c r="F10" t="s">
        <v>79</v>
      </c>
    </row>
    <row r="11" spans="1:7" x14ac:dyDescent="0.3">
      <c r="A11">
        <v>10</v>
      </c>
      <c r="B11" t="s">
        <v>73</v>
      </c>
      <c r="C11">
        <v>2</v>
      </c>
      <c r="D11">
        <v>16</v>
      </c>
      <c r="E11">
        <v>100</v>
      </c>
      <c r="F11" t="s">
        <v>79</v>
      </c>
    </row>
    <row r="12" spans="1:7" x14ac:dyDescent="0.3">
      <c r="A12">
        <v>11</v>
      </c>
      <c r="B12" t="s">
        <v>74</v>
      </c>
      <c r="C12">
        <v>2</v>
      </c>
      <c r="D12">
        <v>16</v>
      </c>
      <c r="E12">
        <v>100</v>
      </c>
      <c r="F12" t="s">
        <v>79</v>
      </c>
    </row>
    <row r="13" spans="1:7" x14ac:dyDescent="0.3">
      <c r="A13">
        <v>12</v>
      </c>
      <c r="B13" t="s">
        <v>75</v>
      </c>
      <c r="C13">
        <v>2</v>
      </c>
      <c r="D13">
        <v>16</v>
      </c>
      <c r="E13">
        <v>100</v>
      </c>
      <c r="F13" t="s">
        <v>79</v>
      </c>
    </row>
    <row r="14" spans="1:7" x14ac:dyDescent="0.3">
      <c r="A14">
        <v>13</v>
      </c>
      <c r="B14" t="s">
        <v>76</v>
      </c>
      <c r="C14">
        <v>2</v>
      </c>
      <c r="D14">
        <v>16</v>
      </c>
      <c r="E14">
        <v>100</v>
      </c>
      <c r="F14" t="s">
        <v>79</v>
      </c>
    </row>
    <row r="15" spans="1:7" x14ac:dyDescent="0.3">
      <c r="A15">
        <v>14</v>
      </c>
      <c r="B15" t="s">
        <v>77</v>
      </c>
      <c r="C15">
        <v>2</v>
      </c>
      <c r="D15">
        <v>16</v>
      </c>
      <c r="E15">
        <v>100</v>
      </c>
      <c r="F15" t="s">
        <v>79</v>
      </c>
    </row>
    <row r="16" spans="1:7" x14ac:dyDescent="0.3">
      <c r="A16">
        <v>15</v>
      </c>
      <c r="B16" t="s">
        <v>80</v>
      </c>
      <c r="C16">
        <v>8</v>
      </c>
      <c r="D16">
        <v>32</v>
      </c>
      <c r="E16">
        <v>528</v>
      </c>
      <c r="F16" t="s">
        <v>85</v>
      </c>
      <c r="G16" t="s">
        <v>118</v>
      </c>
    </row>
    <row r="17" spans="1:7" x14ac:dyDescent="0.3">
      <c r="A17">
        <v>16</v>
      </c>
      <c r="B17" t="s">
        <v>81</v>
      </c>
      <c r="C17">
        <v>4</v>
      </c>
      <c r="D17">
        <v>63</v>
      </c>
      <c r="E17">
        <v>677</v>
      </c>
      <c r="F17" t="s">
        <v>86</v>
      </c>
      <c r="G17" t="s">
        <v>119</v>
      </c>
    </row>
    <row r="18" spans="1:7" x14ac:dyDescent="0.3">
      <c r="A18">
        <v>17</v>
      </c>
      <c r="B18" t="s">
        <v>82</v>
      </c>
      <c r="C18">
        <v>4</v>
      </c>
      <c r="D18">
        <v>16</v>
      </c>
      <c r="E18">
        <v>566</v>
      </c>
      <c r="F18" t="s">
        <v>87</v>
      </c>
      <c r="G18" t="s">
        <v>120</v>
      </c>
    </row>
    <row r="19" spans="1:7" x14ac:dyDescent="0.3">
      <c r="A19">
        <v>18</v>
      </c>
      <c r="B19" t="s">
        <v>83</v>
      </c>
      <c r="C19">
        <v>4</v>
      </c>
      <c r="D19">
        <v>32</v>
      </c>
      <c r="E19">
        <v>596</v>
      </c>
      <c r="F19" t="s">
        <v>87</v>
      </c>
      <c r="G19" t="s">
        <v>119</v>
      </c>
    </row>
    <row r="20" spans="1:7" x14ac:dyDescent="0.3">
      <c r="A20">
        <v>19</v>
      </c>
      <c r="B20" t="s">
        <v>84</v>
      </c>
      <c r="C20">
        <v>4</v>
      </c>
      <c r="D20">
        <v>32</v>
      </c>
      <c r="E20">
        <v>204</v>
      </c>
      <c r="F20" t="s">
        <v>88</v>
      </c>
      <c r="G20" t="s">
        <v>119</v>
      </c>
    </row>
    <row r="21" spans="1:7" x14ac:dyDescent="0.3">
      <c r="A21">
        <v>20</v>
      </c>
      <c r="B21" t="s">
        <v>89</v>
      </c>
      <c r="C21">
        <v>4</v>
      </c>
      <c r="D21">
        <v>32</v>
      </c>
      <c r="E21">
        <v>401</v>
      </c>
      <c r="G21" t="s">
        <v>100</v>
      </c>
    </row>
    <row r="22" spans="1:7" x14ac:dyDescent="0.3">
      <c r="A22">
        <v>21</v>
      </c>
      <c r="B22" t="s">
        <v>90</v>
      </c>
      <c r="C22">
        <v>2</v>
      </c>
      <c r="D22">
        <v>4</v>
      </c>
      <c r="E22">
        <v>201</v>
      </c>
      <c r="G22" t="s">
        <v>101</v>
      </c>
    </row>
    <row r="23" spans="1:7" x14ac:dyDescent="0.3">
      <c r="A23">
        <v>22</v>
      </c>
      <c r="B23" t="s">
        <v>90</v>
      </c>
      <c r="C23">
        <v>2</v>
      </c>
      <c r="D23">
        <v>4</v>
      </c>
      <c r="E23">
        <v>201</v>
      </c>
      <c r="G23" t="s">
        <v>102</v>
      </c>
    </row>
    <row r="24" spans="1:7" x14ac:dyDescent="0.3">
      <c r="A24">
        <v>23</v>
      </c>
      <c r="B24" t="s">
        <v>91</v>
      </c>
      <c r="C24">
        <v>2</v>
      </c>
      <c r="D24">
        <v>32</v>
      </c>
      <c r="E24">
        <v>1240</v>
      </c>
      <c r="G24" t="s">
        <v>103</v>
      </c>
    </row>
    <row r="25" spans="1:7" x14ac:dyDescent="0.3">
      <c r="A25">
        <v>24</v>
      </c>
      <c r="B25" t="s">
        <v>92</v>
      </c>
      <c r="C25">
        <v>8</v>
      </c>
      <c r="D25">
        <v>128</v>
      </c>
      <c r="E25">
        <v>702</v>
      </c>
      <c r="G25" t="s">
        <v>104</v>
      </c>
    </row>
    <row r="26" spans="1:7" x14ac:dyDescent="0.3">
      <c r="A26">
        <v>25</v>
      </c>
      <c r="B26" t="s">
        <v>93</v>
      </c>
      <c r="C26">
        <v>4</v>
      </c>
      <c r="D26">
        <v>36</v>
      </c>
      <c r="E26">
        <v>1470</v>
      </c>
      <c r="G26" t="s">
        <v>105</v>
      </c>
    </row>
    <row r="27" spans="1:7" x14ac:dyDescent="0.3">
      <c r="A27">
        <v>26</v>
      </c>
      <c r="B27" t="s">
        <v>94</v>
      </c>
      <c r="C27">
        <v>4</v>
      </c>
      <c r="D27">
        <v>12</v>
      </c>
      <c r="E27">
        <v>205</v>
      </c>
      <c r="G27" t="s">
        <v>106</v>
      </c>
    </row>
    <row r="28" spans="1:7" x14ac:dyDescent="0.3">
      <c r="A28">
        <v>27</v>
      </c>
      <c r="B28" t="s">
        <v>95</v>
      </c>
      <c r="C28">
        <v>4</v>
      </c>
      <c r="D28">
        <v>32</v>
      </c>
      <c r="E28">
        <v>554</v>
      </c>
      <c r="G28" t="s">
        <v>107</v>
      </c>
    </row>
    <row r="29" spans="1:7" x14ac:dyDescent="0.3">
      <c r="A29">
        <v>28</v>
      </c>
      <c r="B29" t="s">
        <v>96</v>
      </c>
      <c r="C29">
        <v>4</v>
      </c>
      <c r="D29">
        <v>40</v>
      </c>
      <c r="E29">
        <v>115</v>
      </c>
      <c r="G29" t="s">
        <v>108</v>
      </c>
    </row>
    <row r="30" spans="1:7" x14ac:dyDescent="0.3">
      <c r="A30">
        <v>29</v>
      </c>
      <c r="B30" t="s">
        <v>97</v>
      </c>
      <c r="C30">
        <v>4</v>
      </c>
      <c r="D30">
        <v>16</v>
      </c>
      <c r="E30">
        <v>703</v>
      </c>
      <c r="G30" t="s">
        <v>109</v>
      </c>
    </row>
    <row r="31" spans="1:7" x14ac:dyDescent="0.3">
      <c r="A31">
        <v>30</v>
      </c>
      <c r="B31" t="s">
        <v>98</v>
      </c>
      <c r="C31">
        <v>4</v>
      </c>
      <c r="D31">
        <v>64</v>
      </c>
      <c r="E31">
        <v>450</v>
      </c>
      <c r="G31" t="s">
        <v>110</v>
      </c>
    </row>
  </sheetData>
  <phoneticPr fontId="2"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60"/>
  <sheetViews>
    <sheetView topLeftCell="A12" workbookViewId="0">
      <selection activeCell="C22" sqref="C22"/>
    </sheetView>
  </sheetViews>
  <sheetFormatPr defaultRowHeight="14.4" x14ac:dyDescent="0.3"/>
  <cols>
    <col min="2" max="2" width="61.109375" customWidth="1"/>
    <col min="3" max="3" width="82" customWidth="1"/>
  </cols>
  <sheetData>
    <row r="2" spans="1:18" ht="16.2" thickBot="1" x14ac:dyDescent="0.35">
      <c r="A2" s="462" t="s">
        <v>122</v>
      </c>
      <c r="B2" s="463"/>
      <c r="C2" s="2"/>
      <c r="D2" s="464" t="s">
        <v>123</v>
      </c>
      <c r="E2" s="464"/>
      <c r="F2" s="464"/>
      <c r="G2" s="464"/>
      <c r="H2" s="464"/>
      <c r="I2" s="464"/>
      <c r="J2" s="464"/>
      <c r="K2" s="464"/>
      <c r="L2" s="465"/>
      <c r="M2" s="466" t="s">
        <v>124</v>
      </c>
      <c r="N2" s="467"/>
      <c r="O2" s="467"/>
      <c r="P2" s="467"/>
      <c r="Q2" s="467"/>
      <c r="R2" s="468"/>
    </row>
    <row r="3" spans="1:18" ht="14.4" customHeight="1" x14ac:dyDescent="0.3">
      <c r="A3" s="469">
        <v>1</v>
      </c>
      <c r="B3" s="470"/>
      <c r="C3" s="4"/>
      <c r="D3" s="471" t="s">
        <v>125</v>
      </c>
      <c r="E3" s="471"/>
      <c r="F3" s="471"/>
      <c r="G3" s="471"/>
      <c r="H3" s="471"/>
      <c r="I3" s="471"/>
      <c r="J3" s="471"/>
      <c r="K3" s="471"/>
      <c r="L3" s="470"/>
      <c r="M3" s="472" t="s">
        <v>126</v>
      </c>
      <c r="N3" s="473"/>
      <c r="O3" s="473"/>
      <c r="P3" s="473"/>
      <c r="Q3" s="473"/>
      <c r="R3" s="474"/>
    </row>
    <row r="4" spans="1:18" x14ac:dyDescent="0.3">
      <c r="A4" s="458"/>
      <c r="B4" s="459"/>
      <c r="C4" s="5"/>
      <c r="D4" s="460"/>
      <c r="E4" s="460"/>
      <c r="F4" s="460"/>
      <c r="G4" s="460"/>
      <c r="H4" s="461"/>
      <c r="I4" s="461"/>
      <c r="J4" s="461"/>
      <c r="K4" s="461"/>
      <c r="L4" s="459"/>
      <c r="M4" s="458"/>
      <c r="N4" s="461"/>
      <c r="O4" s="461"/>
      <c r="P4" s="461"/>
      <c r="Q4" s="461"/>
      <c r="R4" s="459"/>
    </row>
    <row r="5" spans="1:18" ht="15.6" x14ac:dyDescent="0.3">
      <c r="A5" s="456"/>
      <c r="B5" s="457"/>
      <c r="C5" s="6"/>
      <c r="D5" s="454" t="s">
        <v>127</v>
      </c>
      <c r="E5" s="454"/>
      <c r="F5" s="454"/>
      <c r="G5" s="454"/>
      <c r="H5" s="454"/>
      <c r="I5" s="454"/>
      <c r="J5" s="454"/>
      <c r="K5" s="454"/>
      <c r="L5" s="455"/>
      <c r="M5" s="453" t="s">
        <v>128</v>
      </c>
      <c r="N5" s="454"/>
      <c r="O5" s="454"/>
      <c r="P5" s="454"/>
      <c r="Q5" s="454"/>
      <c r="R5" s="455"/>
    </row>
    <row r="6" spans="1:18" ht="15" x14ac:dyDescent="0.3">
      <c r="A6" s="451"/>
      <c r="B6" s="452"/>
      <c r="C6" s="8"/>
      <c r="D6" s="454"/>
      <c r="E6" s="454"/>
      <c r="F6" s="454"/>
      <c r="G6" s="454"/>
      <c r="H6" s="454"/>
      <c r="I6" s="454"/>
      <c r="J6" s="454"/>
      <c r="K6" s="454"/>
      <c r="L6" s="455"/>
      <c r="M6" s="453" t="s">
        <v>129</v>
      </c>
      <c r="N6" s="454"/>
      <c r="O6" s="454"/>
      <c r="P6" s="454"/>
      <c r="Q6" s="454"/>
      <c r="R6" s="455"/>
    </row>
    <row r="7" spans="1:18" ht="15" x14ac:dyDescent="0.3">
      <c r="A7" s="451"/>
      <c r="B7" s="452"/>
      <c r="C7" s="8"/>
      <c r="D7" s="454"/>
      <c r="E7" s="454"/>
      <c r="F7" s="454"/>
      <c r="G7" s="454"/>
      <c r="H7" s="454"/>
      <c r="I7" s="454"/>
      <c r="J7" s="454"/>
      <c r="K7" s="454"/>
      <c r="L7" s="455"/>
      <c r="M7" s="453" t="s">
        <v>130</v>
      </c>
      <c r="N7" s="454"/>
      <c r="O7" s="454"/>
      <c r="P7" s="454"/>
      <c r="Q7" s="454"/>
      <c r="R7" s="455"/>
    </row>
    <row r="8" spans="1:18" ht="15.6" x14ac:dyDescent="0.3">
      <c r="A8" s="456"/>
      <c r="B8" s="457"/>
      <c r="C8" s="6"/>
      <c r="D8" s="454"/>
      <c r="E8" s="454"/>
      <c r="F8" s="454"/>
      <c r="G8" s="454"/>
      <c r="H8" s="454"/>
      <c r="I8" s="454"/>
      <c r="J8" s="454"/>
      <c r="K8" s="454"/>
      <c r="L8" s="455"/>
      <c r="M8" s="432" t="s">
        <v>131</v>
      </c>
      <c r="N8" s="433"/>
      <c r="O8" s="433"/>
      <c r="P8" s="433"/>
      <c r="Q8" s="433"/>
      <c r="R8" s="434"/>
    </row>
    <row r="9" spans="1:18" ht="15" x14ac:dyDescent="0.3">
      <c r="A9" s="451"/>
      <c r="B9" s="452"/>
      <c r="C9" s="8"/>
      <c r="D9" s="454"/>
      <c r="E9" s="454"/>
      <c r="F9" s="454"/>
      <c r="G9" s="454"/>
      <c r="H9" s="454"/>
      <c r="I9" s="454"/>
      <c r="J9" s="454"/>
      <c r="K9" s="454"/>
      <c r="L9" s="455"/>
      <c r="M9" s="453" t="s">
        <v>132</v>
      </c>
      <c r="N9" s="454"/>
      <c r="O9" s="454"/>
      <c r="P9" s="454"/>
      <c r="Q9" s="454"/>
      <c r="R9" s="455"/>
    </row>
    <row r="10" spans="1:18" ht="15" x14ac:dyDescent="0.3">
      <c r="A10" s="451"/>
      <c r="B10" s="452"/>
      <c r="C10" s="8"/>
      <c r="D10" s="454"/>
      <c r="E10" s="454"/>
      <c r="F10" s="454"/>
      <c r="G10" s="454"/>
      <c r="H10" s="454"/>
      <c r="I10" s="454"/>
      <c r="J10" s="454"/>
      <c r="K10" s="454"/>
      <c r="L10" s="455"/>
      <c r="M10" s="453" t="s">
        <v>133</v>
      </c>
      <c r="N10" s="454"/>
      <c r="O10" s="454"/>
      <c r="P10" s="454"/>
      <c r="Q10" s="454"/>
      <c r="R10" s="455"/>
    </row>
    <row r="11" spans="1:18" x14ac:dyDescent="0.3">
      <c r="A11" s="451"/>
      <c r="B11" s="452"/>
      <c r="C11" s="451"/>
      <c r="D11" s="448"/>
      <c r="E11" s="448"/>
      <c r="F11" s="448"/>
      <c r="G11" s="448"/>
      <c r="H11" s="448"/>
      <c r="I11" s="448"/>
      <c r="J11" s="448"/>
      <c r="K11" s="448"/>
      <c r="L11" s="452"/>
      <c r="M11" s="453" t="s">
        <v>134</v>
      </c>
      <c r="N11" s="454"/>
      <c r="O11" s="454"/>
      <c r="P11" s="454"/>
      <c r="Q11" s="454"/>
      <c r="R11" s="455"/>
    </row>
    <row r="12" spans="1:18" x14ac:dyDescent="0.3">
      <c r="A12" s="451"/>
      <c r="B12" s="452"/>
      <c r="C12" s="451"/>
      <c r="D12" s="448"/>
      <c r="E12" s="448"/>
      <c r="F12" s="448"/>
      <c r="G12" s="448"/>
      <c r="H12" s="448"/>
      <c r="I12" s="448"/>
      <c r="J12" s="448"/>
      <c r="K12" s="448"/>
      <c r="L12" s="452"/>
      <c r="M12" s="453"/>
      <c r="N12" s="454"/>
      <c r="O12" s="454"/>
      <c r="P12" s="454"/>
      <c r="Q12" s="454"/>
      <c r="R12" s="455"/>
    </row>
    <row r="13" spans="1:18" ht="15" x14ac:dyDescent="0.3">
      <c r="A13" s="451"/>
      <c r="B13" s="452"/>
      <c r="C13" s="8"/>
      <c r="D13" s="448"/>
      <c r="E13" s="448"/>
      <c r="F13" s="448"/>
      <c r="G13" s="448"/>
      <c r="H13" s="448"/>
      <c r="I13" s="448"/>
      <c r="J13" s="448"/>
      <c r="K13" s="448"/>
      <c r="L13" s="452"/>
      <c r="M13" s="453" t="s">
        <v>135</v>
      </c>
      <c r="N13" s="454"/>
      <c r="O13" s="454"/>
      <c r="P13" s="454"/>
      <c r="Q13" s="454"/>
      <c r="R13" s="455"/>
    </row>
    <row r="14" spans="1:18" ht="15" thickBot="1" x14ac:dyDescent="0.35">
      <c r="A14" s="10"/>
      <c r="B14" s="11"/>
      <c r="C14" s="12"/>
      <c r="D14" s="449"/>
      <c r="E14" s="449"/>
      <c r="F14" s="449"/>
      <c r="G14" s="449"/>
      <c r="H14" s="449"/>
      <c r="I14" s="449"/>
      <c r="J14" s="449"/>
      <c r="K14" s="449"/>
      <c r="L14" s="11"/>
      <c r="M14" s="12"/>
      <c r="N14" s="449"/>
      <c r="O14" s="449"/>
      <c r="P14" s="449"/>
      <c r="Q14" s="12"/>
      <c r="R14" s="11"/>
    </row>
    <row r="15" spans="1:18" ht="15" thickBot="1" x14ac:dyDescent="0.35">
      <c r="A15" s="421">
        <v>2</v>
      </c>
      <c r="B15" s="422"/>
      <c r="C15" s="13"/>
      <c r="D15" s="438" t="s">
        <v>136</v>
      </c>
      <c r="E15" s="438"/>
      <c r="F15" s="438"/>
      <c r="G15" s="438"/>
      <c r="H15" s="438"/>
      <c r="I15" s="438"/>
      <c r="J15" s="439"/>
      <c r="K15" s="439"/>
      <c r="L15" s="14"/>
      <c r="M15" s="13"/>
      <c r="N15" s="450" t="s">
        <v>126</v>
      </c>
      <c r="O15" s="450"/>
      <c r="P15" s="450"/>
      <c r="Q15" s="13"/>
      <c r="R15" s="14"/>
    </row>
    <row r="16" spans="1:18" ht="15.6" x14ac:dyDescent="0.3">
      <c r="A16" s="7"/>
      <c r="B16" s="15"/>
      <c r="C16" s="6"/>
      <c r="D16" s="433" t="s">
        <v>137</v>
      </c>
      <c r="E16" s="433"/>
      <c r="F16" s="433"/>
      <c r="G16" s="433"/>
      <c r="H16" s="433"/>
      <c r="I16" s="433"/>
      <c r="J16" s="433"/>
      <c r="K16" s="433"/>
      <c r="L16" s="434"/>
      <c r="M16" s="6"/>
      <c r="N16" s="444" t="s">
        <v>128</v>
      </c>
      <c r="O16" s="444"/>
      <c r="P16" s="444"/>
      <c r="Q16" s="444"/>
      <c r="R16" s="447"/>
    </row>
    <row r="17" spans="1:18" ht="15" x14ac:dyDescent="0.3">
      <c r="A17" s="9"/>
      <c r="B17" s="16"/>
      <c r="C17" s="8"/>
      <c r="D17" s="433" t="s">
        <v>138</v>
      </c>
      <c r="E17" s="433"/>
      <c r="F17" s="433"/>
      <c r="G17" s="433"/>
      <c r="H17" s="433"/>
      <c r="I17" s="433"/>
      <c r="J17" s="433"/>
      <c r="K17" s="433"/>
      <c r="L17" s="434"/>
      <c r="M17" s="8"/>
      <c r="N17" s="444" t="s">
        <v>129</v>
      </c>
      <c r="O17" s="444"/>
      <c r="P17" s="444"/>
      <c r="Q17" s="444"/>
      <c r="R17" s="447"/>
    </row>
    <row r="18" spans="1:18" ht="15" x14ac:dyDescent="0.3">
      <c r="A18" s="9"/>
      <c r="B18" s="16"/>
      <c r="C18" s="8"/>
      <c r="D18" s="433" t="s">
        <v>139</v>
      </c>
      <c r="E18" s="433"/>
      <c r="F18" s="433"/>
      <c r="G18" s="433"/>
      <c r="H18" s="433"/>
      <c r="I18" s="433"/>
      <c r="J18" s="433"/>
      <c r="K18" s="433"/>
      <c r="L18" s="434"/>
      <c r="M18" s="8"/>
      <c r="N18" s="444" t="s">
        <v>140</v>
      </c>
      <c r="O18" s="444"/>
      <c r="P18" s="8"/>
      <c r="Q18" s="8"/>
      <c r="R18" s="16"/>
    </row>
    <row r="19" spans="1:18" ht="15.6" x14ac:dyDescent="0.3">
      <c r="A19" s="7"/>
      <c r="B19" s="15"/>
      <c r="C19" s="6"/>
      <c r="D19" s="433" t="s">
        <v>141</v>
      </c>
      <c r="E19" s="433"/>
      <c r="F19" s="433"/>
      <c r="G19" s="433"/>
      <c r="H19" s="433"/>
      <c r="I19" s="433"/>
      <c r="J19" s="433"/>
      <c r="K19" s="433"/>
      <c r="L19" s="434"/>
      <c r="M19" s="432" t="s">
        <v>131</v>
      </c>
      <c r="N19" s="433"/>
      <c r="O19" s="433"/>
      <c r="P19" s="433"/>
      <c r="Q19" s="433"/>
      <c r="R19" s="434"/>
    </row>
    <row r="20" spans="1:18" ht="28.95" customHeight="1" x14ac:dyDescent="0.3">
      <c r="A20" s="7"/>
      <c r="B20" s="15"/>
      <c r="C20" s="6"/>
      <c r="D20" s="433" t="s">
        <v>142</v>
      </c>
      <c r="E20" s="433"/>
      <c r="F20" s="433"/>
      <c r="G20" s="433"/>
      <c r="H20" s="433"/>
      <c r="I20" s="433"/>
      <c r="J20" s="433"/>
      <c r="K20" s="433"/>
      <c r="L20" s="434"/>
      <c r="M20" s="6"/>
      <c r="N20" s="444" t="s">
        <v>143</v>
      </c>
      <c r="O20" s="444"/>
      <c r="P20" s="445" t="s">
        <v>144</v>
      </c>
      <c r="Q20" s="445"/>
      <c r="R20" s="446"/>
    </row>
    <row r="21" spans="1:18" ht="14.4" customHeight="1" x14ac:dyDescent="0.3">
      <c r="A21" s="17"/>
      <c r="B21" s="18"/>
      <c r="C21" s="19"/>
      <c r="D21" s="433" t="s">
        <v>145</v>
      </c>
      <c r="E21" s="433"/>
      <c r="F21" s="433"/>
      <c r="G21" s="433"/>
      <c r="H21" s="433"/>
      <c r="I21" s="19"/>
      <c r="J21" s="19"/>
      <c r="K21" s="19"/>
      <c r="L21" s="18"/>
      <c r="M21" s="19"/>
      <c r="N21" s="444" t="s">
        <v>133</v>
      </c>
      <c r="O21" s="444"/>
      <c r="P21" s="444"/>
      <c r="Q21" s="444"/>
      <c r="R21" s="447"/>
    </row>
    <row r="22" spans="1:18" ht="15" x14ac:dyDescent="0.3">
      <c r="A22" s="9"/>
      <c r="B22" s="16"/>
      <c r="C22" s="8"/>
      <c r="D22" s="8"/>
      <c r="E22" s="8"/>
      <c r="F22" s="8"/>
      <c r="G22" s="448"/>
      <c r="H22" s="448"/>
      <c r="I22" s="8"/>
      <c r="J22" s="8"/>
      <c r="K22" s="8"/>
      <c r="L22" s="16"/>
      <c r="M22" s="8"/>
      <c r="N22" s="444" t="s">
        <v>146</v>
      </c>
      <c r="O22" s="444"/>
      <c r="P22" s="444"/>
      <c r="Q22" s="444"/>
      <c r="R22" s="447"/>
    </row>
    <row r="23" spans="1:18" ht="28.95" customHeight="1" x14ac:dyDescent="0.3">
      <c r="A23" s="9"/>
      <c r="B23" s="16"/>
      <c r="C23" s="8"/>
      <c r="D23" s="433"/>
      <c r="E23" s="433"/>
      <c r="F23" s="433"/>
      <c r="G23" s="433"/>
      <c r="H23" s="433"/>
      <c r="I23" s="433"/>
      <c r="J23" s="433"/>
      <c r="K23" s="433"/>
      <c r="L23" s="434"/>
      <c r="M23" s="8"/>
      <c r="N23" s="444" t="s">
        <v>135</v>
      </c>
      <c r="O23" s="444"/>
      <c r="P23" s="444"/>
      <c r="Q23" s="8"/>
      <c r="R23" s="16"/>
    </row>
    <row r="24" spans="1:18" x14ac:dyDescent="0.3">
      <c r="A24" s="17"/>
      <c r="B24" s="18"/>
      <c r="C24" s="19"/>
      <c r="D24" s="433"/>
      <c r="E24" s="433"/>
      <c r="F24" s="433"/>
      <c r="G24" s="433"/>
      <c r="H24" s="433"/>
      <c r="I24" s="433"/>
      <c r="J24" s="433"/>
      <c r="K24" s="433"/>
      <c r="L24" s="434"/>
      <c r="M24" s="19"/>
      <c r="N24" s="19"/>
      <c r="O24" s="19"/>
      <c r="P24" s="19"/>
      <c r="Q24" s="19"/>
      <c r="R24" s="18"/>
    </row>
    <row r="25" spans="1:18" ht="15.6" x14ac:dyDescent="0.3">
      <c r="A25" s="7"/>
      <c r="B25" s="15"/>
      <c r="C25" s="6"/>
      <c r="D25" s="433"/>
      <c r="E25" s="433"/>
      <c r="F25" s="433"/>
      <c r="G25" s="433"/>
      <c r="H25" s="433"/>
      <c r="I25" s="433"/>
      <c r="J25" s="433"/>
      <c r="K25" s="433"/>
      <c r="L25" s="434"/>
      <c r="M25" s="416" t="s">
        <v>147</v>
      </c>
      <c r="N25" s="417"/>
      <c r="O25" s="417"/>
      <c r="P25" s="417"/>
      <c r="Q25" s="417"/>
      <c r="R25" s="418"/>
    </row>
    <row r="26" spans="1:18" ht="14.4" customHeight="1" x14ac:dyDescent="0.3">
      <c r="A26" s="17"/>
      <c r="B26" s="18"/>
      <c r="C26" s="19"/>
      <c r="D26" s="433"/>
      <c r="E26" s="433"/>
      <c r="F26" s="433"/>
      <c r="G26" s="433"/>
      <c r="H26" s="433"/>
      <c r="I26" s="433"/>
      <c r="J26" s="433"/>
      <c r="K26" s="433"/>
      <c r="L26" s="434"/>
      <c r="M26" s="416" t="s">
        <v>148</v>
      </c>
      <c r="N26" s="417"/>
      <c r="O26" s="417"/>
      <c r="P26" s="417"/>
      <c r="Q26" s="417"/>
      <c r="R26" s="418"/>
    </row>
    <row r="27" spans="1:18" ht="15" x14ac:dyDescent="0.3">
      <c r="A27" s="9"/>
      <c r="B27" s="16"/>
      <c r="C27" s="8"/>
      <c r="D27" s="433"/>
      <c r="E27" s="433"/>
      <c r="F27" s="433"/>
      <c r="G27" s="433"/>
      <c r="H27" s="433"/>
      <c r="I27" s="8"/>
      <c r="J27" s="8"/>
      <c r="K27" s="8"/>
      <c r="L27" s="16"/>
      <c r="M27" s="416" t="s">
        <v>149</v>
      </c>
      <c r="N27" s="417"/>
      <c r="O27" s="417"/>
      <c r="P27" s="417"/>
      <c r="Q27" s="8"/>
      <c r="R27" s="16"/>
    </row>
    <row r="28" spans="1:18" ht="15" thickBot="1" x14ac:dyDescent="0.35">
      <c r="A28" s="20"/>
      <c r="B28" s="21"/>
      <c r="C28" s="22"/>
      <c r="D28" s="442"/>
      <c r="E28" s="442"/>
      <c r="F28" s="442"/>
      <c r="G28" s="442"/>
      <c r="H28" s="442"/>
      <c r="I28" s="22"/>
      <c r="J28" s="22"/>
      <c r="K28" s="22"/>
      <c r="L28" s="21"/>
      <c r="M28" s="443"/>
      <c r="N28" s="442"/>
      <c r="O28" s="442"/>
      <c r="P28" s="442"/>
      <c r="Q28" s="442"/>
      <c r="R28" s="21"/>
    </row>
    <row r="29" spans="1:18" ht="28.95" customHeight="1" thickBot="1" x14ac:dyDescent="0.35">
      <c r="A29" s="421">
        <v>3</v>
      </c>
      <c r="B29" s="422"/>
      <c r="C29" s="13"/>
      <c r="D29" s="438" t="s">
        <v>150</v>
      </c>
      <c r="E29" s="438"/>
      <c r="F29" s="13"/>
      <c r="G29" s="439"/>
      <c r="H29" s="439"/>
      <c r="I29" s="13"/>
      <c r="J29" s="13"/>
      <c r="K29" s="13"/>
      <c r="L29" s="14"/>
      <c r="M29" s="429" t="s">
        <v>151</v>
      </c>
      <c r="N29" s="430"/>
      <c r="O29" s="430"/>
      <c r="P29" s="430"/>
      <c r="Q29" s="430"/>
      <c r="R29" s="431"/>
    </row>
    <row r="30" spans="1:18" ht="15.6" x14ac:dyDescent="0.3">
      <c r="A30" s="7"/>
      <c r="B30" s="15"/>
      <c r="C30" s="6"/>
      <c r="D30" s="433" t="s">
        <v>152</v>
      </c>
      <c r="E30" s="433"/>
      <c r="F30" s="433"/>
      <c r="G30" s="433"/>
      <c r="H30" s="433"/>
      <c r="I30" s="433"/>
      <c r="J30" s="433"/>
      <c r="K30" s="433"/>
      <c r="L30" s="434"/>
      <c r="M30" s="432" t="s">
        <v>153</v>
      </c>
      <c r="N30" s="433"/>
      <c r="O30" s="433"/>
      <c r="P30" s="433"/>
      <c r="Q30" s="433"/>
      <c r="R30" s="434"/>
    </row>
    <row r="31" spans="1:18" ht="15" x14ac:dyDescent="0.3">
      <c r="A31" s="9"/>
      <c r="B31" s="16"/>
      <c r="C31" s="8"/>
      <c r="D31" s="433"/>
      <c r="E31" s="433"/>
      <c r="F31" s="433"/>
      <c r="G31" s="433"/>
      <c r="H31" s="433"/>
      <c r="I31" s="433"/>
      <c r="J31" s="433"/>
      <c r="K31" s="433"/>
      <c r="L31" s="434"/>
      <c r="M31" s="432" t="s">
        <v>154</v>
      </c>
      <c r="N31" s="433"/>
      <c r="O31" s="433"/>
      <c r="P31" s="433"/>
      <c r="Q31" s="8"/>
      <c r="R31" s="16"/>
    </row>
    <row r="32" spans="1:18" ht="15" x14ac:dyDescent="0.3">
      <c r="A32" s="9"/>
      <c r="B32" s="16"/>
      <c r="C32" s="8"/>
      <c r="D32" s="433"/>
      <c r="E32" s="433"/>
      <c r="F32" s="433"/>
      <c r="G32" s="433"/>
      <c r="H32" s="433"/>
      <c r="I32" s="433"/>
      <c r="J32" s="433"/>
      <c r="K32" s="433"/>
      <c r="L32" s="434"/>
      <c r="M32" s="8"/>
      <c r="N32" s="8"/>
      <c r="O32" s="8"/>
      <c r="P32" s="8"/>
      <c r="Q32" s="8"/>
      <c r="R32" s="16"/>
    </row>
    <row r="33" spans="1:18" ht="15" x14ac:dyDescent="0.3">
      <c r="A33" s="9"/>
      <c r="B33" s="16"/>
      <c r="C33" s="8"/>
      <c r="D33" s="433"/>
      <c r="E33" s="433"/>
      <c r="F33" s="433"/>
      <c r="G33" s="433"/>
      <c r="H33" s="433"/>
      <c r="I33" s="433"/>
      <c r="J33" s="433"/>
      <c r="K33" s="433"/>
      <c r="L33" s="434"/>
      <c r="M33" s="432" t="s">
        <v>155</v>
      </c>
      <c r="N33" s="433"/>
      <c r="O33" s="433"/>
      <c r="P33" s="433"/>
      <c r="Q33" s="433"/>
      <c r="R33" s="434"/>
    </row>
    <row r="34" spans="1:18" ht="15" x14ac:dyDescent="0.3">
      <c r="A34" s="9"/>
      <c r="B34" s="16"/>
      <c r="C34" s="8"/>
      <c r="D34" s="433"/>
      <c r="E34" s="433"/>
      <c r="F34" s="433"/>
      <c r="G34" s="433"/>
      <c r="H34" s="433"/>
      <c r="I34" s="433"/>
      <c r="J34" s="433"/>
      <c r="K34" s="433"/>
      <c r="L34" s="434"/>
      <c r="M34" s="432" t="s">
        <v>156</v>
      </c>
      <c r="N34" s="433"/>
      <c r="O34" s="433"/>
      <c r="P34" s="433"/>
      <c r="Q34" s="433"/>
      <c r="R34" s="434"/>
    </row>
    <row r="35" spans="1:18" ht="15" x14ac:dyDescent="0.3">
      <c r="A35" s="9"/>
      <c r="B35" s="16"/>
      <c r="C35" s="8"/>
      <c r="D35" s="433"/>
      <c r="E35" s="433"/>
      <c r="F35" s="433"/>
      <c r="G35" s="433"/>
      <c r="H35" s="433"/>
      <c r="I35" s="433"/>
      <c r="J35" s="433"/>
      <c r="K35" s="433"/>
      <c r="L35" s="434"/>
      <c r="M35" s="432" t="s">
        <v>157</v>
      </c>
      <c r="N35" s="433"/>
      <c r="O35" s="433"/>
      <c r="P35" s="433"/>
      <c r="Q35" s="433"/>
      <c r="R35" s="434"/>
    </row>
    <row r="36" spans="1:18" ht="15" x14ac:dyDescent="0.3">
      <c r="A36" s="9"/>
      <c r="B36" s="16"/>
      <c r="C36" s="8"/>
      <c r="D36" s="433"/>
      <c r="E36" s="433"/>
      <c r="F36" s="433"/>
      <c r="G36" s="433"/>
      <c r="H36" s="433"/>
      <c r="I36" s="433"/>
      <c r="J36" s="433"/>
      <c r="K36" s="433"/>
      <c r="L36" s="434"/>
      <c r="M36" s="432" t="s">
        <v>158</v>
      </c>
      <c r="N36" s="433"/>
      <c r="O36" s="433"/>
      <c r="P36" s="433"/>
      <c r="Q36" s="433"/>
      <c r="R36" s="434"/>
    </row>
    <row r="37" spans="1:18" ht="15" x14ac:dyDescent="0.3">
      <c r="A37" s="9"/>
      <c r="B37" s="16"/>
      <c r="C37" s="8"/>
      <c r="D37" s="433"/>
      <c r="E37" s="433"/>
      <c r="F37" s="433"/>
      <c r="G37" s="433"/>
      <c r="H37" s="433"/>
      <c r="I37" s="433"/>
      <c r="J37" s="433"/>
      <c r="K37" s="433"/>
      <c r="L37" s="434"/>
      <c r="M37" s="432" t="s">
        <v>159</v>
      </c>
      <c r="N37" s="433"/>
      <c r="O37" s="433"/>
      <c r="P37" s="433"/>
      <c r="Q37" s="8"/>
      <c r="R37" s="16"/>
    </row>
    <row r="38" spans="1:18" ht="15" x14ac:dyDescent="0.3">
      <c r="A38" s="9"/>
      <c r="B38" s="16"/>
      <c r="C38" s="8"/>
      <c r="D38" s="433"/>
      <c r="E38" s="433"/>
      <c r="F38" s="433"/>
      <c r="G38" s="433"/>
      <c r="H38" s="433"/>
      <c r="I38" s="433"/>
      <c r="J38" s="433"/>
      <c r="K38" s="433"/>
      <c r="L38" s="434"/>
      <c r="M38" s="8"/>
      <c r="N38" s="8"/>
      <c r="O38" s="8"/>
      <c r="P38" s="8"/>
      <c r="Q38" s="8"/>
      <c r="R38" s="16"/>
    </row>
    <row r="39" spans="1:18" ht="15" x14ac:dyDescent="0.3">
      <c r="A39" s="9"/>
      <c r="B39" s="16"/>
      <c r="C39" s="8"/>
      <c r="D39" s="433"/>
      <c r="E39" s="433"/>
      <c r="F39" s="433"/>
      <c r="G39" s="433"/>
      <c r="H39" s="433"/>
      <c r="I39" s="433"/>
      <c r="J39" s="433"/>
      <c r="K39" s="433"/>
      <c r="L39" s="434"/>
      <c r="M39" s="432" t="s">
        <v>160</v>
      </c>
      <c r="N39" s="433"/>
      <c r="O39" s="433"/>
      <c r="P39" s="433"/>
      <c r="Q39" s="8"/>
      <c r="R39" s="16"/>
    </row>
    <row r="40" spans="1:18" ht="15" x14ac:dyDescent="0.3">
      <c r="A40" s="9"/>
      <c r="B40" s="16"/>
      <c r="C40" s="8"/>
      <c r="D40" s="433"/>
      <c r="E40" s="433"/>
      <c r="F40" s="433"/>
      <c r="G40" s="433"/>
      <c r="H40" s="433"/>
      <c r="I40" s="433"/>
      <c r="J40" s="433"/>
      <c r="K40" s="433"/>
      <c r="L40" s="434"/>
      <c r="M40" s="8"/>
      <c r="N40" s="8"/>
      <c r="O40" s="8"/>
      <c r="P40" s="8"/>
      <c r="Q40" s="8"/>
      <c r="R40" s="16"/>
    </row>
    <row r="41" spans="1:18" ht="15" x14ac:dyDescent="0.3">
      <c r="A41" s="9"/>
      <c r="B41" s="16"/>
      <c r="C41" s="8"/>
      <c r="D41" s="433"/>
      <c r="E41" s="433"/>
      <c r="F41" s="433"/>
      <c r="G41" s="433"/>
      <c r="H41" s="433"/>
      <c r="I41" s="433"/>
      <c r="J41" s="433"/>
      <c r="K41" s="433"/>
      <c r="L41" s="434"/>
      <c r="M41" s="8"/>
      <c r="N41" s="8"/>
      <c r="O41" s="8"/>
      <c r="P41" s="8"/>
      <c r="Q41" s="8"/>
      <c r="R41" s="16"/>
    </row>
    <row r="42" spans="1:18" ht="15" x14ac:dyDescent="0.3">
      <c r="A42" s="9"/>
      <c r="B42" s="16"/>
      <c r="C42" s="8"/>
      <c r="D42" s="433"/>
      <c r="E42" s="433"/>
      <c r="F42" s="433"/>
      <c r="G42" s="433"/>
      <c r="H42" s="433"/>
      <c r="I42" s="433"/>
      <c r="J42" s="433"/>
      <c r="K42" s="433"/>
      <c r="L42" s="434"/>
      <c r="M42" s="8"/>
      <c r="N42" s="8"/>
      <c r="O42" s="8"/>
      <c r="P42" s="8"/>
      <c r="Q42" s="8"/>
      <c r="R42" s="16"/>
    </row>
    <row r="43" spans="1:18" ht="15" x14ac:dyDescent="0.3">
      <c r="A43" s="9"/>
      <c r="B43" s="16"/>
      <c r="C43" s="8"/>
      <c r="D43" s="433"/>
      <c r="E43" s="433"/>
      <c r="F43" s="433"/>
      <c r="G43" s="433"/>
      <c r="H43" s="433"/>
      <c r="I43" s="433"/>
      <c r="J43" s="433"/>
      <c r="K43" s="433"/>
      <c r="L43" s="434"/>
      <c r="M43" s="8"/>
      <c r="N43" s="8"/>
      <c r="O43" s="8"/>
      <c r="P43" s="8"/>
      <c r="Q43" s="8"/>
      <c r="R43" s="16"/>
    </row>
    <row r="44" spans="1:18" ht="15" x14ac:dyDescent="0.3">
      <c r="A44" s="9"/>
      <c r="B44" s="16"/>
      <c r="C44" s="8"/>
      <c r="D44" s="433"/>
      <c r="E44" s="433"/>
      <c r="F44" s="433"/>
      <c r="G44" s="433"/>
      <c r="H44" s="433"/>
      <c r="I44" s="433"/>
      <c r="J44" s="433"/>
      <c r="K44" s="433"/>
      <c r="L44" s="434"/>
      <c r="M44" s="8"/>
      <c r="N44" s="8"/>
      <c r="O44" s="8"/>
      <c r="P44" s="8"/>
      <c r="Q44" s="8"/>
      <c r="R44" s="16"/>
    </row>
    <row r="45" spans="1:18" ht="15.6" thickBot="1" x14ac:dyDescent="0.35">
      <c r="A45" s="23"/>
      <c r="B45" s="24"/>
      <c r="C45" s="25"/>
      <c r="D45" s="440"/>
      <c r="E45" s="440"/>
      <c r="F45" s="440"/>
      <c r="G45" s="440"/>
      <c r="H45" s="440"/>
      <c r="I45" s="440"/>
      <c r="J45" s="440"/>
      <c r="K45" s="440"/>
      <c r="L45" s="441"/>
      <c r="M45" s="25"/>
      <c r="N45" s="25"/>
      <c r="O45" s="25"/>
      <c r="P45" s="25"/>
      <c r="Q45" s="25"/>
      <c r="R45" s="24"/>
    </row>
    <row r="46" spans="1:18" ht="14.4" customHeight="1" x14ac:dyDescent="0.3">
      <c r="A46" s="421">
        <v>4</v>
      </c>
      <c r="B46" s="422"/>
      <c r="C46" s="26"/>
      <c r="D46" s="423" t="s">
        <v>161</v>
      </c>
      <c r="E46" s="423"/>
      <c r="F46" s="423"/>
      <c r="G46" s="423"/>
      <c r="H46" s="423"/>
      <c r="I46" s="423"/>
      <c r="J46" s="423"/>
      <c r="K46" s="423"/>
      <c r="L46" s="424"/>
      <c r="M46" s="429" t="s">
        <v>151</v>
      </c>
      <c r="N46" s="430"/>
      <c r="O46" s="430"/>
      <c r="P46" s="430"/>
      <c r="Q46" s="430"/>
      <c r="R46" s="431"/>
    </row>
    <row r="47" spans="1:18" ht="15" x14ac:dyDescent="0.3">
      <c r="A47" s="9"/>
      <c r="B47" s="16"/>
      <c r="C47" s="8"/>
      <c r="D47" s="425"/>
      <c r="E47" s="425"/>
      <c r="F47" s="425"/>
      <c r="G47" s="425"/>
      <c r="H47" s="425"/>
      <c r="I47" s="425"/>
      <c r="J47" s="425"/>
      <c r="K47" s="425"/>
      <c r="L47" s="426"/>
      <c r="M47" s="432" t="s">
        <v>162</v>
      </c>
      <c r="N47" s="433"/>
      <c r="O47" s="433"/>
      <c r="P47" s="433"/>
      <c r="Q47" s="433"/>
      <c r="R47" s="434"/>
    </row>
    <row r="48" spans="1:18" ht="15" x14ac:dyDescent="0.3">
      <c r="A48" s="9"/>
      <c r="B48" s="16"/>
      <c r="C48" s="8"/>
      <c r="D48" s="425"/>
      <c r="E48" s="425"/>
      <c r="F48" s="425"/>
      <c r="G48" s="425"/>
      <c r="H48" s="425"/>
      <c r="I48" s="425"/>
      <c r="J48" s="425"/>
      <c r="K48" s="425"/>
      <c r="L48" s="426"/>
      <c r="M48" s="432" t="s">
        <v>163</v>
      </c>
      <c r="N48" s="433"/>
      <c r="O48" s="433"/>
      <c r="P48" s="433"/>
      <c r="Q48" s="433"/>
      <c r="R48" s="434"/>
    </row>
    <row r="49" spans="1:18" ht="15" x14ac:dyDescent="0.3">
      <c r="A49" s="9"/>
      <c r="B49" s="16"/>
      <c r="C49" s="8"/>
      <c r="D49" s="425"/>
      <c r="E49" s="425"/>
      <c r="F49" s="425"/>
      <c r="G49" s="425"/>
      <c r="H49" s="425"/>
      <c r="I49" s="425"/>
      <c r="J49" s="425"/>
      <c r="K49" s="425"/>
      <c r="L49" s="426"/>
      <c r="M49" s="432" t="s">
        <v>164</v>
      </c>
      <c r="N49" s="433"/>
      <c r="O49" s="433"/>
      <c r="P49" s="433"/>
      <c r="Q49" s="8"/>
      <c r="R49" s="16"/>
    </row>
    <row r="50" spans="1:18" ht="15" x14ac:dyDescent="0.3">
      <c r="A50" s="9"/>
      <c r="B50" s="16"/>
      <c r="C50" s="8"/>
      <c r="D50" s="425"/>
      <c r="E50" s="425"/>
      <c r="F50" s="425"/>
      <c r="G50" s="425"/>
      <c r="H50" s="425"/>
      <c r="I50" s="425"/>
      <c r="J50" s="425"/>
      <c r="K50" s="425"/>
      <c r="L50" s="426"/>
      <c r="M50" s="8"/>
      <c r="N50" s="8"/>
      <c r="O50" s="8"/>
      <c r="P50" s="8"/>
      <c r="Q50" s="8"/>
      <c r="R50" s="16"/>
    </row>
    <row r="51" spans="1:18" ht="15" x14ac:dyDescent="0.3">
      <c r="A51" s="9"/>
      <c r="B51" s="16"/>
      <c r="C51" s="8"/>
      <c r="D51" s="425"/>
      <c r="E51" s="425"/>
      <c r="F51" s="425"/>
      <c r="G51" s="425"/>
      <c r="H51" s="425"/>
      <c r="I51" s="425"/>
      <c r="J51" s="425"/>
      <c r="K51" s="425"/>
      <c r="L51" s="426"/>
      <c r="M51" s="416"/>
      <c r="N51" s="417"/>
      <c r="O51" s="417"/>
      <c r="P51" s="417"/>
      <c r="Q51" s="417"/>
      <c r="R51" s="418"/>
    </row>
    <row r="52" spans="1:18" ht="15.6" x14ac:dyDescent="0.3">
      <c r="A52" s="7"/>
      <c r="B52" s="15"/>
      <c r="C52" s="6"/>
      <c r="D52" s="425"/>
      <c r="E52" s="425"/>
      <c r="F52" s="425"/>
      <c r="G52" s="425"/>
      <c r="H52" s="425"/>
      <c r="I52" s="425"/>
      <c r="J52" s="425"/>
      <c r="K52" s="425"/>
      <c r="L52" s="426"/>
      <c r="M52" s="416"/>
      <c r="N52" s="417"/>
      <c r="O52" s="417"/>
      <c r="P52" s="417"/>
      <c r="Q52" s="417"/>
      <c r="R52" s="418"/>
    </row>
    <row r="53" spans="1:18" x14ac:dyDescent="0.3">
      <c r="A53" s="27"/>
      <c r="B53" s="14"/>
      <c r="C53" s="13"/>
      <c r="D53" s="425"/>
      <c r="E53" s="425"/>
      <c r="F53" s="425"/>
      <c r="G53" s="425"/>
      <c r="H53" s="425"/>
      <c r="I53" s="425"/>
      <c r="J53" s="425"/>
      <c r="K53" s="425"/>
      <c r="L53" s="426"/>
      <c r="M53" s="416"/>
      <c r="N53" s="417"/>
      <c r="O53" s="417"/>
      <c r="P53" s="417"/>
      <c r="Q53" s="417"/>
      <c r="R53" s="418"/>
    </row>
    <row r="54" spans="1:18" ht="15" x14ac:dyDescent="0.3">
      <c r="A54" s="9"/>
      <c r="B54" s="16"/>
      <c r="C54" s="8"/>
      <c r="D54" s="425"/>
      <c r="E54" s="425"/>
      <c r="F54" s="425"/>
      <c r="G54" s="425"/>
      <c r="H54" s="425"/>
      <c r="I54" s="425"/>
      <c r="J54" s="425"/>
      <c r="K54" s="425"/>
      <c r="L54" s="426"/>
      <c r="M54" s="416"/>
      <c r="N54" s="417"/>
      <c r="O54" s="417"/>
      <c r="P54" s="417"/>
      <c r="Q54" s="8"/>
      <c r="R54" s="16"/>
    </row>
    <row r="55" spans="1:18" ht="15" x14ac:dyDescent="0.3">
      <c r="A55" s="9"/>
      <c r="B55" s="16"/>
      <c r="C55" s="8"/>
      <c r="D55" s="425"/>
      <c r="E55" s="425"/>
      <c r="F55" s="425"/>
      <c r="G55" s="425"/>
      <c r="H55" s="425"/>
      <c r="I55" s="425"/>
      <c r="J55" s="425"/>
      <c r="K55" s="425"/>
      <c r="L55" s="426"/>
      <c r="M55" s="8"/>
      <c r="N55" s="8"/>
      <c r="O55" s="8"/>
      <c r="P55" s="8"/>
      <c r="Q55" s="8"/>
      <c r="R55" s="16"/>
    </row>
    <row r="56" spans="1:18" ht="15" x14ac:dyDescent="0.3">
      <c r="A56" s="9"/>
      <c r="B56" s="16"/>
      <c r="C56" s="8"/>
      <c r="D56" s="425"/>
      <c r="E56" s="425"/>
      <c r="F56" s="425"/>
      <c r="G56" s="425"/>
      <c r="H56" s="425"/>
      <c r="I56" s="425"/>
      <c r="J56" s="425"/>
      <c r="K56" s="425"/>
      <c r="L56" s="426"/>
      <c r="M56" s="416"/>
      <c r="N56" s="417"/>
      <c r="O56" s="417"/>
      <c r="P56" s="417"/>
      <c r="Q56" s="8"/>
      <c r="R56" s="16"/>
    </row>
    <row r="57" spans="1:18" ht="15" x14ac:dyDescent="0.3">
      <c r="A57" s="9"/>
      <c r="B57" s="16"/>
      <c r="C57" s="8"/>
      <c r="D57" s="425"/>
      <c r="E57" s="425"/>
      <c r="F57" s="425"/>
      <c r="G57" s="425"/>
      <c r="H57" s="425"/>
      <c r="I57" s="425"/>
      <c r="J57" s="425"/>
      <c r="K57" s="425"/>
      <c r="L57" s="426"/>
      <c r="M57" s="416"/>
      <c r="N57" s="417"/>
      <c r="O57" s="417"/>
      <c r="P57" s="417"/>
      <c r="Q57" s="417"/>
      <c r="R57" s="418"/>
    </row>
    <row r="58" spans="1:18" ht="15" x14ac:dyDescent="0.3">
      <c r="A58" s="9"/>
      <c r="B58" s="16"/>
      <c r="C58" s="8"/>
      <c r="D58" s="425"/>
      <c r="E58" s="425"/>
      <c r="F58" s="425"/>
      <c r="G58" s="425"/>
      <c r="H58" s="425"/>
      <c r="I58" s="425"/>
      <c r="J58" s="425"/>
      <c r="K58" s="425"/>
      <c r="L58" s="426"/>
      <c r="M58" s="416"/>
      <c r="N58" s="417"/>
      <c r="O58" s="28"/>
      <c r="P58" s="3"/>
      <c r="Q58" s="419"/>
      <c r="R58" s="420"/>
    </row>
    <row r="59" spans="1:18" ht="15.6" thickBot="1" x14ac:dyDescent="0.35">
      <c r="A59" s="23"/>
      <c r="B59" s="24"/>
      <c r="C59" s="25"/>
      <c r="D59" s="427"/>
      <c r="E59" s="427"/>
      <c r="F59" s="427"/>
      <c r="G59" s="427"/>
      <c r="H59" s="427"/>
      <c r="I59" s="427"/>
      <c r="J59" s="427"/>
      <c r="K59" s="427"/>
      <c r="L59" s="428"/>
      <c r="M59" s="435"/>
      <c r="N59" s="436"/>
      <c r="O59" s="436"/>
      <c r="P59" s="436"/>
      <c r="Q59" s="436"/>
      <c r="R59" s="437"/>
    </row>
    <row r="60" spans="1:18" ht="15" thickBot="1" x14ac:dyDescent="0.35">
      <c r="A60" s="29"/>
      <c r="B60" s="30"/>
      <c r="C60" s="30"/>
      <c r="D60" s="30"/>
      <c r="E60" s="30"/>
      <c r="F60" s="30"/>
      <c r="G60" s="415"/>
      <c r="H60" s="415"/>
      <c r="I60" s="30"/>
      <c r="J60" s="30"/>
      <c r="K60" s="30"/>
      <c r="L60" s="30"/>
      <c r="M60" s="30"/>
      <c r="N60" s="30"/>
      <c r="O60" s="30"/>
      <c r="P60" s="30"/>
      <c r="Q60" s="30"/>
      <c r="R60" s="29"/>
    </row>
  </sheetData>
  <mergeCells count="95">
    <mergeCell ref="A2:B2"/>
    <mergeCell ref="D2:L2"/>
    <mergeCell ref="M2:R2"/>
    <mergeCell ref="A3:B3"/>
    <mergeCell ref="D3:L3"/>
    <mergeCell ref="M3:R3"/>
    <mergeCell ref="A4:B4"/>
    <mergeCell ref="D4:G4"/>
    <mergeCell ref="H4:L4"/>
    <mergeCell ref="M4:R4"/>
    <mergeCell ref="A5:B5"/>
    <mergeCell ref="D5:L10"/>
    <mergeCell ref="M5:R5"/>
    <mergeCell ref="A6:B6"/>
    <mergeCell ref="M6:R6"/>
    <mergeCell ref="A7:B7"/>
    <mergeCell ref="A13:B13"/>
    <mergeCell ref="D13:G13"/>
    <mergeCell ref="H13:L13"/>
    <mergeCell ref="M13:R13"/>
    <mergeCell ref="M7:R7"/>
    <mergeCell ref="A8:B8"/>
    <mergeCell ref="M8:R8"/>
    <mergeCell ref="A9:B9"/>
    <mergeCell ref="M9:R9"/>
    <mergeCell ref="A10:B10"/>
    <mergeCell ref="M10:R10"/>
    <mergeCell ref="A11:B12"/>
    <mergeCell ref="C11:C12"/>
    <mergeCell ref="D11:G12"/>
    <mergeCell ref="H11:L12"/>
    <mergeCell ref="M11:R12"/>
    <mergeCell ref="D14:E14"/>
    <mergeCell ref="F14:K14"/>
    <mergeCell ref="N14:P14"/>
    <mergeCell ref="A15:B15"/>
    <mergeCell ref="D15:I15"/>
    <mergeCell ref="J15:K15"/>
    <mergeCell ref="N15:P15"/>
    <mergeCell ref="D16:L16"/>
    <mergeCell ref="N16:R16"/>
    <mergeCell ref="D17:L17"/>
    <mergeCell ref="N17:R17"/>
    <mergeCell ref="D18:L18"/>
    <mergeCell ref="N18:O18"/>
    <mergeCell ref="D25:L25"/>
    <mergeCell ref="M25:R25"/>
    <mergeCell ref="D19:L19"/>
    <mergeCell ref="M19:R19"/>
    <mergeCell ref="D20:L20"/>
    <mergeCell ref="N20:O20"/>
    <mergeCell ref="P20:R20"/>
    <mergeCell ref="D21:H21"/>
    <mergeCell ref="N21:R21"/>
    <mergeCell ref="G22:H22"/>
    <mergeCell ref="N22:R22"/>
    <mergeCell ref="D23:L23"/>
    <mergeCell ref="N23:P23"/>
    <mergeCell ref="D24:L24"/>
    <mergeCell ref="D26:L26"/>
    <mergeCell ref="M26:R26"/>
    <mergeCell ref="D27:H27"/>
    <mergeCell ref="M27:P27"/>
    <mergeCell ref="D28:F28"/>
    <mergeCell ref="G28:H28"/>
    <mergeCell ref="M28:Q28"/>
    <mergeCell ref="A29:B29"/>
    <mergeCell ref="D29:E29"/>
    <mergeCell ref="G29:H29"/>
    <mergeCell ref="M29:R29"/>
    <mergeCell ref="D30:L45"/>
    <mergeCell ref="M30:R30"/>
    <mergeCell ref="M31:P31"/>
    <mergeCell ref="M33:R33"/>
    <mergeCell ref="M34:R34"/>
    <mergeCell ref="M35:R35"/>
    <mergeCell ref="M36:R36"/>
    <mergeCell ref="M37:P37"/>
    <mergeCell ref="M39:P39"/>
    <mergeCell ref="A46:B46"/>
    <mergeCell ref="D46:L59"/>
    <mergeCell ref="M46:R46"/>
    <mergeCell ref="M47:R47"/>
    <mergeCell ref="M48:R48"/>
    <mergeCell ref="M49:P49"/>
    <mergeCell ref="M51:R51"/>
    <mergeCell ref="M59:R59"/>
    <mergeCell ref="G60:H60"/>
    <mergeCell ref="M52:R52"/>
    <mergeCell ref="M53:R53"/>
    <mergeCell ref="M54:P54"/>
    <mergeCell ref="M56:P56"/>
    <mergeCell ref="M57:R57"/>
    <mergeCell ref="M58:N58"/>
    <mergeCell ref="Q58:R5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K36"/>
  <sheetViews>
    <sheetView topLeftCell="A22" workbookViewId="0">
      <selection activeCell="D35" sqref="D35:F36"/>
    </sheetView>
  </sheetViews>
  <sheetFormatPr defaultRowHeight="14.4" x14ac:dyDescent="0.3"/>
  <cols>
    <col min="4" max="4" width="27.33203125" customWidth="1"/>
    <col min="5" max="5" width="12.44140625" customWidth="1"/>
    <col min="6" max="6" width="15.109375" customWidth="1"/>
    <col min="7" max="7" width="16.109375" customWidth="1"/>
    <col min="9" max="9" width="13" customWidth="1"/>
    <col min="11" max="11" width="16.6640625" bestFit="1" customWidth="1"/>
  </cols>
  <sheetData>
    <row r="2" spans="3:11" ht="15" thickBot="1" x14ac:dyDescent="0.35"/>
    <row r="3" spans="3:11" ht="27.6" x14ac:dyDescent="0.3">
      <c r="C3" s="31" t="s">
        <v>172</v>
      </c>
      <c r="D3" s="32" t="s">
        <v>165</v>
      </c>
      <c r="E3" s="32" t="s">
        <v>166</v>
      </c>
      <c r="F3" s="32" t="s">
        <v>168</v>
      </c>
      <c r="G3" s="32" t="s">
        <v>169</v>
      </c>
      <c r="H3" s="33" t="s">
        <v>180</v>
      </c>
      <c r="I3" s="33" t="s">
        <v>170</v>
      </c>
      <c r="J3" s="32" t="s">
        <v>171</v>
      </c>
      <c r="K3" s="32" t="s">
        <v>167</v>
      </c>
    </row>
    <row r="4" spans="3:11" x14ac:dyDescent="0.3">
      <c r="C4" s="34"/>
      <c r="D4" s="35"/>
      <c r="E4" s="35"/>
      <c r="F4" s="35"/>
      <c r="G4" s="35"/>
      <c r="H4" s="35"/>
      <c r="I4" s="35"/>
      <c r="J4" s="35"/>
      <c r="K4" s="35"/>
    </row>
    <row r="5" spans="3:11" x14ac:dyDescent="0.3">
      <c r="C5" s="34">
        <v>1</v>
      </c>
      <c r="D5" s="34" t="s">
        <v>173</v>
      </c>
      <c r="E5" s="34" t="s">
        <v>174</v>
      </c>
      <c r="F5" s="34" t="s">
        <v>175</v>
      </c>
      <c r="G5" s="36">
        <v>275000</v>
      </c>
      <c r="H5" s="36">
        <v>1</v>
      </c>
      <c r="I5" s="36">
        <f t="shared" ref="I5:I10" si="0">G5*12</f>
        <v>3300000</v>
      </c>
      <c r="J5" s="37">
        <v>0.18</v>
      </c>
      <c r="K5" s="38">
        <f t="shared" ref="K5:K10" si="1">(100+J5)*I5*H5/100</f>
        <v>3305940</v>
      </c>
    </row>
    <row r="6" spans="3:11" x14ac:dyDescent="0.3">
      <c r="C6" s="34">
        <v>2</v>
      </c>
      <c r="D6" s="34" t="s">
        <v>176</v>
      </c>
      <c r="E6" s="34" t="s">
        <v>178</v>
      </c>
      <c r="F6" s="34" t="s">
        <v>179</v>
      </c>
      <c r="G6" s="36">
        <v>175000</v>
      </c>
      <c r="H6" s="36">
        <v>2</v>
      </c>
      <c r="I6" s="36">
        <f t="shared" si="0"/>
        <v>2100000</v>
      </c>
      <c r="J6" s="37">
        <v>0.18</v>
      </c>
      <c r="K6" s="38">
        <f t="shared" si="1"/>
        <v>4207560</v>
      </c>
    </row>
    <row r="7" spans="3:11" x14ac:dyDescent="0.3">
      <c r="C7" s="34">
        <v>3</v>
      </c>
      <c r="D7" s="34" t="s">
        <v>177</v>
      </c>
      <c r="E7" s="34" t="s">
        <v>178</v>
      </c>
      <c r="F7" s="34" t="s">
        <v>179</v>
      </c>
      <c r="G7" s="36">
        <v>150000</v>
      </c>
      <c r="H7" s="36">
        <v>2</v>
      </c>
      <c r="I7" s="36">
        <f t="shared" si="0"/>
        <v>1800000</v>
      </c>
      <c r="J7" s="37">
        <v>0.18</v>
      </c>
      <c r="K7" s="38">
        <f t="shared" si="1"/>
        <v>3606480</v>
      </c>
    </row>
    <row r="8" spans="3:11" x14ac:dyDescent="0.3">
      <c r="C8" s="34">
        <v>4</v>
      </c>
      <c r="D8" s="34" t="s">
        <v>189</v>
      </c>
      <c r="E8" s="34" t="s">
        <v>178</v>
      </c>
      <c r="F8" s="34" t="s">
        <v>181</v>
      </c>
      <c r="G8" s="36">
        <v>250000</v>
      </c>
      <c r="H8" s="34">
        <v>1</v>
      </c>
      <c r="I8" s="36">
        <f t="shared" si="0"/>
        <v>3000000</v>
      </c>
      <c r="J8" s="37">
        <v>0.18</v>
      </c>
      <c r="K8" s="38">
        <f t="shared" si="1"/>
        <v>3005400</v>
      </c>
    </row>
    <row r="9" spans="3:11" x14ac:dyDescent="0.3">
      <c r="C9" s="34">
        <v>5</v>
      </c>
      <c r="D9" s="34" t="s">
        <v>182</v>
      </c>
      <c r="E9" s="34" t="s">
        <v>174</v>
      </c>
      <c r="F9" s="34" t="s">
        <v>183</v>
      </c>
      <c r="G9" s="36">
        <v>75000</v>
      </c>
      <c r="H9" s="34">
        <v>2</v>
      </c>
      <c r="I9" s="36">
        <f t="shared" si="0"/>
        <v>900000</v>
      </c>
      <c r="J9" s="37">
        <v>0.18</v>
      </c>
      <c r="K9" s="38">
        <f t="shared" si="1"/>
        <v>1803240</v>
      </c>
    </row>
    <row r="10" spans="3:11" x14ac:dyDescent="0.3">
      <c r="C10" s="34">
        <v>6</v>
      </c>
      <c r="D10" s="34" t="s">
        <v>184</v>
      </c>
      <c r="E10" s="34" t="s">
        <v>174</v>
      </c>
      <c r="F10" s="34" t="s">
        <v>183</v>
      </c>
      <c r="G10" s="36">
        <v>75000</v>
      </c>
      <c r="H10" s="34">
        <v>4</v>
      </c>
      <c r="I10" s="36">
        <f t="shared" si="0"/>
        <v>900000</v>
      </c>
      <c r="J10" s="37">
        <v>0.18</v>
      </c>
      <c r="K10" s="38">
        <f t="shared" si="1"/>
        <v>3606480</v>
      </c>
    </row>
    <row r="12" spans="3:11" x14ac:dyDescent="0.3">
      <c r="K12" s="39">
        <f>SUM(K5:K10)</f>
        <v>19535100</v>
      </c>
    </row>
    <row r="13" spans="3:11" ht="15" thickBot="1" x14ac:dyDescent="0.35"/>
    <row r="14" spans="3:11" ht="27.6" x14ac:dyDescent="0.3">
      <c r="C14" s="31" t="s">
        <v>172</v>
      </c>
      <c r="D14" s="32" t="s">
        <v>165</v>
      </c>
      <c r="E14" s="32" t="s">
        <v>166</v>
      </c>
      <c r="F14" s="32" t="s">
        <v>168</v>
      </c>
      <c r="G14" s="32" t="s">
        <v>169</v>
      </c>
      <c r="H14" s="33" t="s">
        <v>180</v>
      </c>
      <c r="I14" s="33" t="s">
        <v>170</v>
      </c>
      <c r="J14" s="32" t="s">
        <v>171</v>
      </c>
      <c r="K14" s="32" t="s">
        <v>167</v>
      </c>
    </row>
    <row r="15" spans="3:11" x14ac:dyDescent="0.3">
      <c r="C15" s="34"/>
      <c r="D15" s="35"/>
      <c r="E15" s="35"/>
      <c r="F15" s="35"/>
      <c r="G15" s="35"/>
      <c r="H15" s="35"/>
      <c r="I15" s="35"/>
      <c r="J15" s="35"/>
      <c r="K15" s="35"/>
    </row>
    <row r="16" spans="3:11" x14ac:dyDescent="0.3">
      <c r="C16" s="34">
        <v>1</v>
      </c>
      <c r="D16" s="34" t="s">
        <v>185</v>
      </c>
      <c r="E16" s="34" t="s">
        <v>174</v>
      </c>
      <c r="F16" s="34" t="s">
        <v>186</v>
      </c>
      <c r="G16" s="36">
        <v>175000</v>
      </c>
      <c r="H16" s="36">
        <v>2</v>
      </c>
      <c r="I16" s="36">
        <f>G16*12</f>
        <v>2100000</v>
      </c>
      <c r="J16" s="37">
        <v>0.18</v>
      </c>
      <c r="K16" s="38">
        <f>(100+J16)*I16*H16/100</f>
        <v>4207560</v>
      </c>
    </row>
    <row r="17" spans="3:11" ht="28.8" x14ac:dyDescent="0.3">
      <c r="C17" s="34">
        <v>2</v>
      </c>
      <c r="D17" s="34" t="s">
        <v>188</v>
      </c>
      <c r="E17" s="34" t="s">
        <v>178</v>
      </c>
      <c r="F17" s="34" t="s">
        <v>186</v>
      </c>
      <c r="G17" s="36">
        <v>125000</v>
      </c>
      <c r="H17" s="36">
        <v>4</v>
      </c>
      <c r="I17" s="36">
        <f>G17*12</f>
        <v>1500000</v>
      </c>
      <c r="J17" s="37">
        <v>0.18</v>
      </c>
      <c r="K17" s="38">
        <f>(100+J17)*I17*H17/100</f>
        <v>6010800</v>
      </c>
    </row>
    <row r="18" spans="3:11" x14ac:dyDescent="0.3">
      <c r="C18" s="34">
        <v>3</v>
      </c>
      <c r="D18" s="34" t="s">
        <v>187</v>
      </c>
      <c r="E18" s="34" t="s">
        <v>178</v>
      </c>
      <c r="F18" s="34" t="s">
        <v>192</v>
      </c>
      <c r="G18" s="36">
        <v>75000</v>
      </c>
      <c r="H18" s="36">
        <v>10</v>
      </c>
      <c r="I18" s="36">
        <f>G18*12</f>
        <v>900000</v>
      </c>
      <c r="J18" s="37">
        <v>0.18</v>
      </c>
      <c r="K18" s="38">
        <f>(100+J18)*I18*H18/100</f>
        <v>9016200</v>
      </c>
    </row>
    <row r="19" spans="3:11" x14ac:dyDescent="0.3">
      <c r="C19" s="34">
        <v>4</v>
      </c>
      <c r="D19" s="34" t="s">
        <v>190</v>
      </c>
      <c r="E19" s="34" t="s">
        <v>178</v>
      </c>
      <c r="F19" s="34" t="s">
        <v>192</v>
      </c>
      <c r="G19" s="36">
        <v>50000</v>
      </c>
      <c r="H19" s="34">
        <v>8</v>
      </c>
      <c r="I19" s="36">
        <f>G19*12</f>
        <v>600000</v>
      </c>
      <c r="J19" s="37">
        <v>0.18</v>
      </c>
      <c r="K19" s="38">
        <f>(100+J19)*I19*H19/100</f>
        <v>4808640.0000000009</v>
      </c>
    </row>
    <row r="20" spans="3:11" x14ac:dyDescent="0.3">
      <c r="C20" s="34">
        <v>5</v>
      </c>
      <c r="D20" s="34" t="s">
        <v>191</v>
      </c>
      <c r="E20" s="34" t="s">
        <v>174</v>
      </c>
      <c r="F20" s="34" t="s">
        <v>183</v>
      </c>
      <c r="G20" s="36">
        <v>35000</v>
      </c>
      <c r="H20" s="34">
        <v>8</v>
      </c>
      <c r="I20" s="36">
        <f>G20*12</f>
        <v>420000</v>
      </c>
      <c r="J20" s="37">
        <v>0.18</v>
      </c>
      <c r="K20" s="38">
        <f>(100+J20)*I20*H20/100</f>
        <v>3366048</v>
      </c>
    </row>
    <row r="21" spans="3:11" x14ac:dyDescent="0.3">
      <c r="C21" s="34"/>
      <c r="D21" s="34"/>
      <c r="E21" s="34"/>
      <c r="F21" s="34"/>
      <c r="G21" s="36"/>
      <c r="H21" s="34"/>
      <c r="I21" s="36"/>
      <c r="J21" s="37"/>
      <c r="K21" s="38"/>
    </row>
    <row r="22" spans="3:11" x14ac:dyDescent="0.3">
      <c r="K22" s="39">
        <f>SUM(K16:K20)</f>
        <v>27409248</v>
      </c>
    </row>
    <row r="24" spans="3:11" x14ac:dyDescent="0.3">
      <c r="D24" t="s">
        <v>306</v>
      </c>
      <c r="K24" s="39">
        <f>SUM(K22+K12)</f>
        <v>46944348</v>
      </c>
    </row>
    <row r="28" spans="3:11" ht="15" thickBot="1" x14ac:dyDescent="0.35"/>
    <row r="29" spans="3:11" ht="15" thickBot="1" x14ac:dyDescent="0.35">
      <c r="C29" s="122" t="s">
        <v>307</v>
      </c>
      <c r="D29" s="123" t="s">
        <v>308</v>
      </c>
      <c r="E29" s="123" t="s">
        <v>309</v>
      </c>
      <c r="F29" s="123" t="s">
        <v>310</v>
      </c>
      <c r="G29" s="123" t="s">
        <v>311</v>
      </c>
    </row>
    <row r="30" spans="3:11" ht="15.6" thickTop="1" thickBot="1" x14ac:dyDescent="0.35">
      <c r="C30" s="124">
        <v>1</v>
      </c>
      <c r="D30" s="125" t="s">
        <v>314</v>
      </c>
      <c r="E30" s="126">
        <v>1</v>
      </c>
      <c r="F30" s="127">
        <v>1240000</v>
      </c>
      <c r="G30" s="127">
        <v>1240000</v>
      </c>
    </row>
    <row r="31" spans="3:11" ht="15" thickBot="1" x14ac:dyDescent="0.35">
      <c r="C31" s="128">
        <v>2</v>
      </c>
      <c r="D31" s="129" t="s">
        <v>313</v>
      </c>
      <c r="E31" s="130">
        <v>100</v>
      </c>
      <c r="F31" s="131">
        <v>22000</v>
      </c>
      <c r="G31" s="131">
        <f>E31*F31</f>
        <v>2200000</v>
      </c>
    </row>
    <row r="32" spans="3:11" ht="15" thickBot="1" x14ac:dyDescent="0.35">
      <c r="C32" s="124">
        <v>3</v>
      </c>
      <c r="D32" s="125" t="s">
        <v>315</v>
      </c>
      <c r="E32" s="126">
        <v>4</v>
      </c>
      <c r="F32" s="127">
        <v>380000</v>
      </c>
      <c r="G32" s="127">
        <f>E32*F32</f>
        <v>1520000</v>
      </c>
    </row>
    <row r="33" spans="3:7" ht="15" thickBot="1" x14ac:dyDescent="0.35">
      <c r="C33" s="128">
        <v>6</v>
      </c>
      <c r="D33" s="132" t="s">
        <v>312</v>
      </c>
      <c r="E33" s="133">
        <v>1</v>
      </c>
      <c r="F33" s="132"/>
      <c r="G33" s="131">
        <f>SUM(G30:G32)*0.18</f>
        <v>892800</v>
      </c>
    </row>
    <row r="34" spans="3:7" ht="15" thickBot="1" x14ac:dyDescent="0.35">
      <c r="C34" s="134"/>
      <c r="D34" s="135"/>
      <c r="E34" s="135"/>
      <c r="F34" s="135"/>
      <c r="G34" s="136">
        <f>SUM(G30:G33)</f>
        <v>5852800</v>
      </c>
    </row>
    <row r="35" spans="3:7" x14ac:dyDescent="0.3">
      <c r="D35" t="s">
        <v>317</v>
      </c>
    </row>
    <row r="36" spans="3:7" x14ac:dyDescent="0.3">
      <c r="D36" t="s">
        <v>316</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3"/>
  <sheetViews>
    <sheetView workbookViewId="0">
      <selection activeCell="A2" sqref="A2:G16"/>
    </sheetView>
  </sheetViews>
  <sheetFormatPr defaultRowHeight="14.4" x14ac:dyDescent="0.3"/>
  <cols>
    <col min="2" max="2" width="34.33203125" customWidth="1"/>
    <col min="3" max="4" width="23.33203125" customWidth="1"/>
  </cols>
  <sheetData>
    <row r="1" spans="1:7" ht="15" thickBot="1" x14ac:dyDescent="0.35"/>
    <row r="2" spans="1:7" ht="15" thickBot="1" x14ac:dyDescent="0.35">
      <c r="A2" s="108" t="s">
        <v>271</v>
      </c>
      <c r="B2" s="109"/>
      <c r="C2" s="109"/>
      <c r="D2" s="109"/>
      <c r="E2" s="109"/>
      <c r="F2" s="109"/>
      <c r="G2" s="110"/>
    </row>
    <row r="3" spans="1:7" ht="15" thickBot="1" x14ac:dyDescent="0.35">
      <c r="A3" s="104"/>
      <c r="G3" s="105"/>
    </row>
    <row r="4" spans="1:7" ht="15" thickBot="1" x14ac:dyDescent="0.35">
      <c r="A4" s="56" t="s">
        <v>121</v>
      </c>
      <c r="B4" s="57" t="s">
        <v>60</v>
      </c>
      <c r="C4" s="57" t="s">
        <v>272</v>
      </c>
      <c r="D4" s="57" t="s">
        <v>285</v>
      </c>
      <c r="E4" s="57" t="s">
        <v>206</v>
      </c>
      <c r="F4" s="57" t="s">
        <v>63</v>
      </c>
      <c r="G4" s="58" t="s">
        <v>35</v>
      </c>
    </row>
    <row r="5" spans="1:7" x14ac:dyDescent="0.3">
      <c r="A5" s="60">
        <v>1</v>
      </c>
      <c r="B5" s="54" t="s">
        <v>273</v>
      </c>
      <c r="C5" s="54">
        <v>10</v>
      </c>
      <c r="D5" s="54" t="s">
        <v>284</v>
      </c>
      <c r="E5" s="54">
        <v>4</v>
      </c>
      <c r="F5" s="54">
        <v>32</v>
      </c>
      <c r="G5" s="106">
        <v>1000</v>
      </c>
    </row>
    <row r="6" spans="1:7" x14ac:dyDescent="0.3">
      <c r="A6" s="61">
        <v>2</v>
      </c>
      <c r="B6" s="43" t="s">
        <v>274</v>
      </c>
      <c r="C6" s="43">
        <v>11</v>
      </c>
      <c r="D6" s="43" t="s">
        <v>264</v>
      </c>
      <c r="E6" s="43">
        <v>4</v>
      </c>
      <c r="F6" s="43">
        <v>16</v>
      </c>
      <c r="G6" s="47">
        <v>350</v>
      </c>
    </row>
    <row r="7" spans="1:7" x14ac:dyDescent="0.3">
      <c r="A7" s="61">
        <v>3</v>
      </c>
      <c r="B7" s="43" t="s">
        <v>275</v>
      </c>
      <c r="C7" s="43">
        <v>12</v>
      </c>
      <c r="D7" s="43" t="s">
        <v>264</v>
      </c>
      <c r="E7" s="43">
        <v>8</v>
      </c>
      <c r="F7" s="43">
        <v>32</v>
      </c>
      <c r="G7" s="47">
        <v>300</v>
      </c>
    </row>
    <row r="8" spans="1:7" x14ac:dyDescent="0.3">
      <c r="A8" s="61">
        <v>4</v>
      </c>
      <c r="B8" s="43" t="s">
        <v>283</v>
      </c>
      <c r="C8" s="43"/>
      <c r="D8" s="43" t="s">
        <v>264</v>
      </c>
      <c r="E8" s="43"/>
      <c r="F8" s="43"/>
      <c r="G8" s="47">
        <v>1000</v>
      </c>
    </row>
    <row r="9" spans="1:7" x14ac:dyDescent="0.3">
      <c r="A9" s="61">
        <v>5</v>
      </c>
      <c r="B9" s="43" t="s">
        <v>276</v>
      </c>
      <c r="C9" s="43">
        <v>4</v>
      </c>
      <c r="D9" s="43" t="s">
        <v>286</v>
      </c>
      <c r="E9" s="43">
        <v>4</v>
      </c>
      <c r="F9" s="43">
        <v>16</v>
      </c>
      <c r="G9" s="47">
        <v>200</v>
      </c>
    </row>
    <row r="10" spans="1:7" x14ac:dyDescent="0.3">
      <c r="A10" s="61">
        <v>6</v>
      </c>
      <c r="B10" s="43" t="s">
        <v>277</v>
      </c>
      <c r="C10" s="43">
        <v>6</v>
      </c>
      <c r="D10" s="43" t="s">
        <v>286</v>
      </c>
      <c r="E10" s="43">
        <v>8</v>
      </c>
      <c r="F10" s="43">
        <v>32</v>
      </c>
      <c r="G10" s="47">
        <v>200</v>
      </c>
    </row>
    <row r="11" spans="1:7" x14ac:dyDescent="0.3">
      <c r="A11" s="61">
        <v>7</v>
      </c>
      <c r="B11" s="43" t="s">
        <v>278</v>
      </c>
      <c r="C11" s="43">
        <v>9</v>
      </c>
      <c r="D11" s="43" t="s">
        <v>286</v>
      </c>
      <c r="E11" s="43">
        <v>8</v>
      </c>
      <c r="F11" s="43">
        <v>32</v>
      </c>
      <c r="G11" s="47">
        <v>200</v>
      </c>
    </row>
    <row r="12" spans="1:7" x14ac:dyDescent="0.3">
      <c r="A12" s="61">
        <v>8</v>
      </c>
      <c r="B12" s="43" t="s">
        <v>279</v>
      </c>
      <c r="C12" s="43">
        <v>8</v>
      </c>
      <c r="D12" s="43" t="s">
        <v>286</v>
      </c>
      <c r="E12" s="43">
        <v>16</v>
      </c>
      <c r="F12" s="43">
        <v>64</v>
      </c>
      <c r="G12" s="47">
        <v>200</v>
      </c>
    </row>
    <row r="13" spans="1:7" x14ac:dyDescent="0.3">
      <c r="A13" s="61">
        <v>9</v>
      </c>
      <c r="B13" s="43" t="s">
        <v>282</v>
      </c>
      <c r="C13" s="43"/>
      <c r="D13" s="43"/>
      <c r="E13" s="43"/>
      <c r="F13" s="43"/>
      <c r="G13" s="47">
        <v>1500</v>
      </c>
    </row>
    <row r="14" spans="1:7" x14ac:dyDescent="0.3">
      <c r="A14" s="61"/>
      <c r="B14" s="43" t="s">
        <v>280</v>
      </c>
      <c r="C14" s="43"/>
      <c r="D14" s="43"/>
      <c r="E14" s="43"/>
      <c r="F14" s="43"/>
      <c r="G14" s="47"/>
    </row>
    <row r="15" spans="1:7" x14ac:dyDescent="0.3">
      <c r="A15" s="61"/>
      <c r="B15" s="43" t="s">
        <v>281</v>
      </c>
      <c r="C15" s="43"/>
      <c r="D15" s="43"/>
      <c r="E15" s="43"/>
      <c r="F15" s="43"/>
      <c r="G15" s="47"/>
    </row>
    <row r="16" spans="1:7" ht="15" thickBot="1" x14ac:dyDescent="0.35">
      <c r="A16" s="64"/>
      <c r="B16" s="48"/>
      <c r="C16" s="48"/>
      <c r="D16" s="48"/>
      <c r="E16" s="48"/>
      <c r="F16" s="48"/>
      <c r="G16" s="107"/>
    </row>
    <row r="17" spans="1:7" x14ac:dyDescent="0.3">
      <c r="A17" s="60"/>
      <c r="B17" s="54"/>
      <c r="C17" s="54"/>
      <c r="D17" s="54"/>
      <c r="E17" s="54"/>
      <c r="F17" s="54"/>
      <c r="G17" s="54"/>
    </row>
    <row r="18" spans="1:7" x14ac:dyDescent="0.3">
      <c r="A18" s="61"/>
      <c r="B18" s="43"/>
      <c r="C18" s="43"/>
      <c r="D18" s="43"/>
      <c r="E18" s="43"/>
      <c r="F18" s="43"/>
      <c r="G18" s="43"/>
    </row>
    <row r="19" spans="1:7" x14ac:dyDescent="0.3">
      <c r="A19" s="61"/>
      <c r="B19" s="43"/>
      <c r="C19" s="43"/>
      <c r="D19" s="43"/>
      <c r="E19" s="43"/>
      <c r="F19" s="43"/>
      <c r="G19" s="43"/>
    </row>
    <row r="20" spans="1:7" x14ac:dyDescent="0.3">
      <c r="A20" s="61"/>
      <c r="B20" s="43"/>
      <c r="C20" s="43"/>
      <c r="D20" s="43"/>
      <c r="E20" s="43"/>
      <c r="F20" s="43"/>
      <c r="G20" s="43"/>
    </row>
    <row r="21" spans="1:7" x14ac:dyDescent="0.3">
      <c r="A21" s="61"/>
      <c r="B21" s="43"/>
      <c r="C21" s="43"/>
      <c r="D21" s="43"/>
      <c r="E21" s="43"/>
      <c r="F21" s="43"/>
      <c r="G21" s="43"/>
    </row>
    <row r="22" spans="1:7" x14ac:dyDescent="0.3">
      <c r="A22" s="61"/>
      <c r="B22" s="43"/>
      <c r="C22" s="43"/>
      <c r="D22" s="43"/>
      <c r="E22" s="43"/>
      <c r="F22" s="43"/>
      <c r="G22" s="43"/>
    </row>
    <row r="23" spans="1:7" x14ac:dyDescent="0.3">
      <c r="A23" s="61"/>
      <c r="B23" s="43"/>
      <c r="C23" s="43"/>
      <c r="D23" s="43"/>
      <c r="E23" s="43"/>
      <c r="F23" s="43"/>
      <c r="G23" s="43"/>
    </row>
    <row r="24" spans="1:7" x14ac:dyDescent="0.3">
      <c r="A24" s="61"/>
      <c r="B24" s="43"/>
      <c r="C24" s="43"/>
      <c r="D24" s="43"/>
      <c r="E24" s="43"/>
      <c r="F24" s="43"/>
      <c r="G24" s="43"/>
    </row>
    <row r="25" spans="1:7" x14ac:dyDescent="0.3">
      <c r="A25" s="61"/>
      <c r="B25" s="43"/>
      <c r="C25" s="43"/>
      <c r="D25" s="43"/>
      <c r="E25" s="43"/>
      <c r="F25" s="43"/>
      <c r="G25" s="43"/>
    </row>
    <row r="26" spans="1:7" x14ac:dyDescent="0.3">
      <c r="A26" s="61"/>
      <c r="B26" s="43"/>
      <c r="C26" s="43"/>
      <c r="D26" s="43"/>
      <c r="E26" s="43"/>
      <c r="F26" s="43"/>
      <c r="G26" s="43"/>
    </row>
    <row r="27" spans="1:7" x14ac:dyDescent="0.3">
      <c r="A27" s="61"/>
      <c r="B27" s="43"/>
      <c r="C27" s="43"/>
      <c r="D27" s="43"/>
      <c r="E27" s="43"/>
      <c r="F27" s="43"/>
      <c r="G27" s="43"/>
    </row>
    <row r="28" spans="1:7" x14ac:dyDescent="0.3">
      <c r="A28" s="61"/>
      <c r="B28" s="43"/>
      <c r="C28" s="43"/>
      <c r="D28" s="43"/>
      <c r="E28" s="43"/>
      <c r="F28" s="43"/>
      <c r="G28" s="43"/>
    </row>
    <row r="29" spans="1:7" x14ac:dyDescent="0.3">
      <c r="A29" s="61"/>
      <c r="B29" s="43"/>
      <c r="C29" s="43"/>
      <c r="D29" s="43"/>
      <c r="E29" s="43"/>
      <c r="F29" s="43"/>
      <c r="G29" s="43"/>
    </row>
    <row r="30" spans="1:7" x14ac:dyDescent="0.3">
      <c r="A30" s="61"/>
      <c r="B30" s="43"/>
      <c r="C30" s="43"/>
      <c r="D30" s="43"/>
      <c r="E30" s="43"/>
      <c r="F30" s="43"/>
      <c r="G30" s="43"/>
    </row>
    <row r="31" spans="1:7" x14ac:dyDescent="0.3">
      <c r="A31" s="61"/>
      <c r="B31" s="43"/>
      <c r="C31" s="43"/>
      <c r="D31" s="43"/>
      <c r="E31" s="43"/>
      <c r="F31" s="43"/>
      <c r="G31" s="43"/>
    </row>
    <row r="32" spans="1:7" x14ac:dyDescent="0.3">
      <c r="A32" s="61"/>
      <c r="B32" s="43"/>
      <c r="C32" s="43"/>
      <c r="D32" s="43"/>
      <c r="E32" s="43"/>
      <c r="F32" s="43"/>
      <c r="G32" s="43"/>
    </row>
    <row r="33" spans="1:7" x14ac:dyDescent="0.3">
      <c r="A33" s="61"/>
      <c r="B33" s="43"/>
      <c r="C33" s="43"/>
      <c r="D33" s="43"/>
      <c r="E33" s="43"/>
      <c r="F33" s="43"/>
      <c r="G33" s="4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44"/>
  <sheetViews>
    <sheetView workbookViewId="0">
      <selection activeCell="L40" sqref="L40"/>
    </sheetView>
  </sheetViews>
  <sheetFormatPr defaultRowHeight="14.4" x14ac:dyDescent="0.3"/>
  <cols>
    <col min="2" max="2" width="15.6640625" customWidth="1"/>
    <col min="9" max="9" width="11.5546875" customWidth="1"/>
    <col min="10" max="11" width="11.5546875" bestFit="1" customWidth="1"/>
    <col min="12" max="12" width="17.33203125" customWidth="1"/>
    <col min="13" max="13" width="19.6640625" customWidth="1"/>
    <col min="16" max="16" width="13.6640625" customWidth="1"/>
  </cols>
  <sheetData>
    <row r="1" spans="1:17" ht="57.6" x14ac:dyDescent="0.3">
      <c r="A1" s="100"/>
      <c r="B1" s="475" t="s">
        <v>351</v>
      </c>
      <c r="C1" s="475"/>
      <c r="D1" s="475"/>
      <c r="E1" s="475"/>
      <c r="F1" s="168" t="s">
        <v>352</v>
      </c>
      <c r="G1" s="169" t="s">
        <v>353</v>
      </c>
      <c r="H1" s="169" t="s">
        <v>354</v>
      </c>
      <c r="I1" s="170" t="s">
        <v>355</v>
      </c>
    </row>
    <row r="2" spans="1:17" x14ac:dyDescent="0.3">
      <c r="A2" s="171"/>
      <c r="B2" s="482" t="s">
        <v>325</v>
      </c>
      <c r="C2" s="483" t="s">
        <v>326</v>
      </c>
      <c r="D2" s="154" t="s">
        <v>63</v>
      </c>
      <c r="E2" s="154" t="s">
        <v>35</v>
      </c>
      <c r="F2" s="43"/>
      <c r="G2" s="155"/>
      <c r="H2" s="155"/>
      <c r="I2" s="172"/>
      <c r="M2" t="s">
        <v>362</v>
      </c>
      <c r="N2" t="s">
        <v>363</v>
      </c>
      <c r="O2" t="s">
        <v>364</v>
      </c>
      <c r="P2" t="s">
        <v>365</v>
      </c>
      <c r="Q2" t="s">
        <v>366</v>
      </c>
    </row>
    <row r="3" spans="1:17" x14ac:dyDescent="0.3">
      <c r="A3" s="484" t="s">
        <v>121</v>
      </c>
      <c r="B3" s="482"/>
      <c r="C3" s="483"/>
      <c r="D3" s="482" t="s">
        <v>328</v>
      </c>
      <c r="E3" s="482" t="s">
        <v>328</v>
      </c>
      <c r="F3" s="156"/>
      <c r="G3" s="156"/>
      <c r="H3" s="156"/>
      <c r="I3" s="173"/>
      <c r="K3">
        <v>1</v>
      </c>
      <c r="L3" t="s">
        <v>356</v>
      </c>
      <c r="M3">
        <v>8</v>
      </c>
      <c r="N3">
        <v>4</v>
      </c>
      <c r="O3">
        <v>0</v>
      </c>
      <c r="P3">
        <v>32</v>
      </c>
      <c r="Q3">
        <v>0</v>
      </c>
    </row>
    <row r="4" spans="1:17" x14ac:dyDescent="0.3">
      <c r="A4" s="484"/>
      <c r="B4" s="156"/>
      <c r="C4" s="156"/>
      <c r="D4" s="482"/>
      <c r="E4" s="482"/>
      <c r="F4" s="156"/>
      <c r="G4" s="156"/>
      <c r="H4" s="156"/>
      <c r="I4" s="173"/>
      <c r="K4">
        <v>2</v>
      </c>
      <c r="L4" t="s">
        <v>356</v>
      </c>
      <c r="M4">
        <v>8</v>
      </c>
      <c r="N4">
        <v>4</v>
      </c>
      <c r="O4">
        <v>0</v>
      </c>
      <c r="P4">
        <v>32</v>
      </c>
      <c r="Q4">
        <v>0</v>
      </c>
    </row>
    <row r="5" spans="1:17" x14ac:dyDescent="0.3">
      <c r="A5" s="174"/>
      <c r="B5" s="157"/>
      <c r="C5" s="157"/>
      <c r="D5" s="157"/>
      <c r="E5" s="157"/>
      <c r="F5" s="157"/>
      <c r="G5" s="157"/>
      <c r="H5" s="157"/>
      <c r="I5" s="175"/>
      <c r="K5">
        <v>3</v>
      </c>
      <c r="L5" t="s">
        <v>357</v>
      </c>
    </row>
    <row r="6" spans="1:17" ht="27.6" x14ac:dyDescent="0.3">
      <c r="A6" s="176">
        <v>1</v>
      </c>
      <c r="B6" s="158" t="s">
        <v>329</v>
      </c>
      <c r="C6" s="158">
        <v>32</v>
      </c>
      <c r="D6" s="158">
        <v>96</v>
      </c>
      <c r="E6" s="158">
        <v>480</v>
      </c>
      <c r="F6" s="158">
        <v>1</v>
      </c>
      <c r="G6" s="159">
        <v>151329</v>
      </c>
      <c r="H6" s="159">
        <v>151329</v>
      </c>
      <c r="I6" s="177">
        <v>1815948</v>
      </c>
      <c r="K6">
        <v>4</v>
      </c>
      <c r="L6" t="s">
        <v>367</v>
      </c>
    </row>
    <row r="7" spans="1:17" ht="41.4" x14ac:dyDescent="0.3">
      <c r="A7" s="176">
        <v>2</v>
      </c>
      <c r="B7" s="158" t="s">
        <v>330</v>
      </c>
      <c r="C7" s="158">
        <v>16</v>
      </c>
      <c r="D7" s="158">
        <v>48</v>
      </c>
      <c r="E7" s="158">
        <v>480</v>
      </c>
      <c r="F7" s="158">
        <v>1</v>
      </c>
      <c r="G7" s="159">
        <v>76817</v>
      </c>
      <c r="H7" s="159">
        <v>76817</v>
      </c>
      <c r="I7" s="177">
        <v>921804</v>
      </c>
      <c r="K7">
        <v>5</v>
      </c>
      <c r="L7" t="s">
        <v>358</v>
      </c>
    </row>
    <row r="8" spans="1:17" x14ac:dyDescent="0.3">
      <c r="A8" s="176">
        <v>3</v>
      </c>
      <c r="B8" s="158" t="s">
        <v>331</v>
      </c>
      <c r="C8" s="158">
        <v>4</v>
      </c>
      <c r="D8" s="158">
        <v>8</v>
      </c>
      <c r="E8" s="158">
        <v>1020</v>
      </c>
      <c r="F8" s="158">
        <v>1</v>
      </c>
      <c r="G8" s="159">
        <v>25727</v>
      </c>
      <c r="H8" s="159">
        <v>25727</v>
      </c>
      <c r="I8" s="177">
        <v>308724</v>
      </c>
      <c r="K8">
        <v>6</v>
      </c>
      <c r="L8" t="s">
        <v>359</v>
      </c>
    </row>
    <row r="9" spans="1:17" x14ac:dyDescent="0.3">
      <c r="A9" s="176">
        <v>4</v>
      </c>
      <c r="B9" s="158" t="s">
        <v>332</v>
      </c>
      <c r="C9" s="158">
        <v>8</v>
      </c>
      <c r="D9" s="158">
        <v>16</v>
      </c>
      <c r="E9" s="158">
        <v>240</v>
      </c>
      <c r="F9" s="158">
        <v>1</v>
      </c>
      <c r="G9" s="159">
        <v>32341</v>
      </c>
      <c r="H9" s="159">
        <v>32341</v>
      </c>
      <c r="I9" s="177">
        <v>388092</v>
      </c>
      <c r="K9">
        <v>7</v>
      </c>
      <c r="L9" t="s">
        <v>359</v>
      </c>
    </row>
    <row r="10" spans="1:17" ht="27.6" x14ac:dyDescent="0.3">
      <c r="A10" s="176">
        <v>5</v>
      </c>
      <c r="B10" s="158" t="s">
        <v>333</v>
      </c>
      <c r="C10" s="158">
        <v>16</v>
      </c>
      <c r="D10" s="158">
        <v>32</v>
      </c>
      <c r="E10" s="158">
        <v>2130</v>
      </c>
      <c r="F10" s="158">
        <v>1</v>
      </c>
      <c r="G10" s="159">
        <v>79700</v>
      </c>
      <c r="H10" s="159">
        <v>79700</v>
      </c>
      <c r="I10" s="177">
        <v>956400</v>
      </c>
      <c r="K10">
        <v>8</v>
      </c>
      <c r="L10" t="s">
        <v>361</v>
      </c>
      <c r="M10">
        <v>4</v>
      </c>
      <c r="N10">
        <v>4</v>
      </c>
      <c r="O10">
        <v>0.8</v>
      </c>
      <c r="P10">
        <v>16</v>
      </c>
      <c r="Q10">
        <v>3</v>
      </c>
    </row>
    <row r="11" spans="1:17" ht="27.6" x14ac:dyDescent="0.3">
      <c r="A11" s="176">
        <v>6</v>
      </c>
      <c r="B11" s="158" t="s">
        <v>334</v>
      </c>
      <c r="C11" s="158">
        <v>16</v>
      </c>
      <c r="D11" s="158">
        <v>32</v>
      </c>
      <c r="E11" s="158">
        <v>480</v>
      </c>
      <c r="F11" s="158">
        <v>1</v>
      </c>
      <c r="G11" s="159">
        <v>63233</v>
      </c>
      <c r="H11" s="159">
        <v>63233</v>
      </c>
      <c r="I11" s="177">
        <v>758796</v>
      </c>
      <c r="L11" t="s">
        <v>360</v>
      </c>
    </row>
    <row r="12" spans="1:17" x14ac:dyDescent="0.3">
      <c r="A12" s="176">
        <v>7</v>
      </c>
      <c r="B12" s="158" t="s">
        <v>335</v>
      </c>
      <c r="C12" s="158">
        <v>4</v>
      </c>
      <c r="D12" s="158">
        <v>8</v>
      </c>
      <c r="E12" s="158">
        <v>120</v>
      </c>
      <c r="F12" s="158">
        <v>1</v>
      </c>
      <c r="G12" s="159">
        <v>16745</v>
      </c>
      <c r="H12" s="159">
        <v>16745</v>
      </c>
      <c r="I12" s="177">
        <v>200940</v>
      </c>
    </row>
    <row r="13" spans="1:17" x14ac:dyDescent="0.3">
      <c r="A13" s="176">
        <v>8</v>
      </c>
      <c r="B13" s="158" t="s">
        <v>35</v>
      </c>
      <c r="C13" s="158">
        <v>4</v>
      </c>
      <c r="D13" s="158">
        <v>8</v>
      </c>
      <c r="E13" s="158">
        <v>2170</v>
      </c>
      <c r="F13" s="158">
        <v>1</v>
      </c>
      <c r="G13" s="159">
        <v>37204</v>
      </c>
      <c r="H13" s="159">
        <v>37204</v>
      </c>
      <c r="I13" s="177">
        <v>446448</v>
      </c>
    </row>
    <row r="14" spans="1:17" x14ac:dyDescent="0.3">
      <c r="A14" s="176">
        <v>9</v>
      </c>
      <c r="B14" s="158" t="s">
        <v>337</v>
      </c>
      <c r="C14" s="158">
        <v>4</v>
      </c>
      <c r="D14" s="158">
        <v>8</v>
      </c>
      <c r="E14" s="158">
        <v>2520</v>
      </c>
      <c r="F14" s="158">
        <v>1</v>
      </c>
      <c r="G14" s="159">
        <v>40697</v>
      </c>
      <c r="H14" s="159">
        <v>40697</v>
      </c>
      <c r="I14" s="177">
        <v>488364</v>
      </c>
    </row>
    <row r="15" spans="1:17" x14ac:dyDescent="0.3">
      <c r="A15" s="176">
        <v>10</v>
      </c>
      <c r="B15" s="158" t="s">
        <v>338</v>
      </c>
      <c r="C15" s="158">
        <v>4</v>
      </c>
      <c r="D15" s="158">
        <v>8</v>
      </c>
      <c r="E15" s="158">
        <v>2520</v>
      </c>
      <c r="F15" s="158">
        <v>1</v>
      </c>
      <c r="G15" s="159">
        <v>40697</v>
      </c>
      <c r="H15" s="159">
        <v>40697</v>
      </c>
      <c r="I15" s="177">
        <v>488364</v>
      </c>
      <c r="L15" s="143">
        <f>400000/3</f>
        <v>133333.33333333334</v>
      </c>
    </row>
    <row r="16" spans="1:17" x14ac:dyDescent="0.3">
      <c r="A16" s="178"/>
      <c r="B16" s="160"/>
      <c r="C16" s="160"/>
      <c r="D16" s="160"/>
      <c r="E16" s="160"/>
      <c r="F16" s="160"/>
      <c r="G16" s="160"/>
      <c r="H16" s="160"/>
      <c r="I16" s="179"/>
    </row>
    <row r="17" spans="1:15" ht="27.6" x14ac:dyDescent="0.3">
      <c r="A17" s="180"/>
      <c r="B17" s="155"/>
      <c r="C17" s="158" t="s">
        <v>240</v>
      </c>
      <c r="D17" s="155"/>
      <c r="E17" s="155"/>
      <c r="F17" s="158">
        <v>10</v>
      </c>
      <c r="G17" s="155"/>
      <c r="H17" s="155"/>
      <c r="I17" s="181">
        <v>6773880</v>
      </c>
      <c r="N17">
        <v>390000</v>
      </c>
    </row>
    <row r="18" spans="1:15" x14ac:dyDescent="0.3">
      <c r="A18" s="485"/>
      <c r="B18" s="486"/>
      <c r="C18" s="486"/>
      <c r="D18" s="160"/>
      <c r="E18" s="160"/>
      <c r="F18" s="160"/>
      <c r="G18" s="160"/>
      <c r="H18" s="160"/>
      <c r="I18" s="179"/>
      <c r="L18">
        <v>12</v>
      </c>
      <c r="M18">
        <v>23000</v>
      </c>
      <c r="N18">
        <f>L18*M18</f>
        <v>276000</v>
      </c>
      <c r="O18">
        <f>N18*1.18</f>
        <v>325680</v>
      </c>
    </row>
    <row r="19" spans="1:15" x14ac:dyDescent="0.3">
      <c r="A19" s="480"/>
      <c r="B19" s="481"/>
      <c r="C19" s="481"/>
      <c r="D19" s="161"/>
      <c r="E19" s="161"/>
      <c r="F19" s="161"/>
      <c r="G19" s="161"/>
      <c r="H19" s="161"/>
      <c r="I19" s="182"/>
      <c r="N19">
        <f>N17+N18</f>
        <v>666000</v>
      </c>
    </row>
    <row r="20" spans="1:15" ht="14.4" customHeight="1" x14ac:dyDescent="0.3">
      <c r="A20" s="183">
        <v>1</v>
      </c>
      <c r="B20" s="162" t="s">
        <v>241</v>
      </c>
      <c r="C20" s="163"/>
      <c r="D20" s="163"/>
      <c r="E20" s="155"/>
      <c r="F20" s="155"/>
      <c r="G20" s="155"/>
      <c r="H20" s="155"/>
      <c r="I20" s="172"/>
    </row>
    <row r="21" spans="1:15" ht="16.2" customHeight="1" x14ac:dyDescent="0.3">
      <c r="A21" s="183">
        <v>2</v>
      </c>
      <c r="B21" s="164" t="s">
        <v>339</v>
      </c>
      <c r="C21" s="164"/>
      <c r="D21" s="164"/>
      <c r="E21" s="165"/>
      <c r="F21" s="158">
        <v>10</v>
      </c>
      <c r="G21" s="166">
        <v>2083</v>
      </c>
      <c r="H21" s="166">
        <v>20833.3</v>
      </c>
      <c r="I21" s="184">
        <v>249999.6</v>
      </c>
    </row>
    <row r="22" spans="1:15" ht="16.2" customHeight="1" x14ac:dyDescent="0.3">
      <c r="A22" s="183">
        <v>3</v>
      </c>
      <c r="B22" s="164" t="s">
        <v>340</v>
      </c>
      <c r="C22" s="164"/>
      <c r="D22" s="164"/>
      <c r="E22" s="165"/>
      <c r="F22" s="158">
        <v>10</v>
      </c>
      <c r="G22" s="166">
        <v>4560</v>
      </c>
      <c r="H22" s="166">
        <v>45600</v>
      </c>
      <c r="I22" s="184">
        <v>547200</v>
      </c>
    </row>
    <row r="23" spans="1:15" ht="16.2" customHeight="1" x14ac:dyDescent="0.3">
      <c r="A23" s="183">
        <v>4</v>
      </c>
      <c r="B23" s="164" t="s">
        <v>239</v>
      </c>
      <c r="C23" s="164"/>
      <c r="D23" s="164"/>
      <c r="E23" s="165"/>
      <c r="F23" s="158">
        <v>12</v>
      </c>
      <c r="G23" s="166">
        <v>22200</v>
      </c>
      <c r="H23" s="166">
        <v>266400</v>
      </c>
      <c r="I23" s="184">
        <v>3196800</v>
      </c>
    </row>
    <row r="24" spans="1:15" ht="16.2" customHeight="1" x14ac:dyDescent="0.3">
      <c r="A24" s="183">
        <v>5</v>
      </c>
      <c r="B24" s="164" t="s">
        <v>341</v>
      </c>
      <c r="C24" s="164"/>
      <c r="D24" s="164"/>
      <c r="E24" s="165"/>
      <c r="F24" s="158">
        <v>1</v>
      </c>
      <c r="G24" s="166">
        <v>3340</v>
      </c>
      <c r="H24" s="166">
        <v>3340</v>
      </c>
      <c r="I24" s="184">
        <v>40080</v>
      </c>
    </row>
    <row r="25" spans="1:15" ht="16.2" customHeight="1" x14ac:dyDescent="0.3">
      <c r="A25" s="183">
        <v>6</v>
      </c>
      <c r="B25" s="164" t="s">
        <v>244</v>
      </c>
      <c r="C25" s="164"/>
      <c r="D25" s="164"/>
      <c r="E25" s="165"/>
      <c r="F25" s="158">
        <v>3</v>
      </c>
      <c r="G25" s="166">
        <v>13440</v>
      </c>
      <c r="H25" s="166">
        <v>40320</v>
      </c>
      <c r="I25" s="184">
        <v>483840</v>
      </c>
    </row>
    <row r="26" spans="1:15" x14ac:dyDescent="0.3">
      <c r="A26" s="183"/>
      <c r="B26" s="43"/>
      <c r="C26" s="43"/>
      <c r="D26" s="43"/>
      <c r="E26" s="43"/>
      <c r="F26" s="43"/>
      <c r="G26" s="43"/>
      <c r="H26" s="43"/>
      <c r="I26" s="47"/>
    </row>
    <row r="27" spans="1:15" ht="27.6" x14ac:dyDescent="0.3">
      <c r="A27" s="183"/>
      <c r="B27" s="43"/>
      <c r="C27" s="158" t="s">
        <v>242</v>
      </c>
      <c r="D27" s="43"/>
      <c r="E27" s="43"/>
      <c r="F27" s="43"/>
      <c r="G27" s="43"/>
      <c r="H27" s="43"/>
      <c r="I27" s="181">
        <f>SUM(I21:I25)</f>
        <v>4517919.5999999996</v>
      </c>
    </row>
    <row r="28" spans="1:15" ht="15.6" x14ac:dyDescent="0.3">
      <c r="A28" s="183"/>
      <c r="B28" s="479" t="s">
        <v>342</v>
      </c>
      <c r="C28" s="479"/>
      <c r="D28" s="479"/>
      <c r="E28" s="478"/>
      <c r="F28" s="478"/>
      <c r="G28" s="478"/>
      <c r="H28" s="478"/>
      <c r="I28" s="181">
        <f>I17+I27</f>
        <v>11291799.6</v>
      </c>
      <c r="J28" s="148"/>
      <c r="K28" s="476"/>
      <c r="L28" s="476"/>
    </row>
    <row r="29" spans="1:15" ht="15.6" x14ac:dyDescent="0.3">
      <c r="A29" s="183"/>
      <c r="B29" s="477" t="s">
        <v>343</v>
      </c>
      <c r="C29" s="477"/>
      <c r="D29" s="43"/>
      <c r="E29" s="43"/>
      <c r="F29" s="478"/>
      <c r="G29" s="478"/>
      <c r="H29" s="165"/>
      <c r="I29" s="181">
        <f>I28/4</f>
        <v>2822949.9</v>
      </c>
      <c r="J29" s="148"/>
      <c r="K29" s="148"/>
      <c r="L29" s="148"/>
    </row>
    <row r="30" spans="1:15" ht="14.4" customHeight="1" x14ac:dyDescent="0.3">
      <c r="A30" s="183"/>
      <c r="B30" s="479" t="s">
        <v>344</v>
      </c>
      <c r="C30" s="479"/>
      <c r="D30" s="479"/>
      <c r="E30" s="479"/>
      <c r="F30" s="479"/>
      <c r="G30" s="165"/>
      <c r="H30" s="165"/>
      <c r="I30" s="181">
        <f>I28-I29</f>
        <v>8468849.6999999993</v>
      </c>
      <c r="J30" s="148"/>
      <c r="K30" s="148"/>
      <c r="L30" s="148"/>
    </row>
    <row r="31" spans="1:15" ht="15" customHeight="1" x14ac:dyDescent="0.3">
      <c r="A31" s="183"/>
      <c r="B31" s="479" t="s">
        <v>347</v>
      </c>
      <c r="C31" s="479"/>
      <c r="D31" s="479"/>
      <c r="E31" s="479"/>
      <c r="F31" s="479"/>
      <c r="G31" s="165"/>
      <c r="H31" s="165"/>
      <c r="I31" s="181">
        <v>750000</v>
      </c>
      <c r="J31" s="148"/>
      <c r="K31" s="148"/>
      <c r="L31" s="148"/>
    </row>
    <row r="32" spans="1:15" ht="14.4" customHeight="1" x14ac:dyDescent="0.3">
      <c r="A32" s="183"/>
      <c r="B32" s="167"/>
      <c r="C32" s="167"/>
      <c r="D32" s="167"/>
      <c r="E32" s="167"/>
      <c r="F32" s="167"/>
      <c r="G32" s="167"/>
      <c r="H32" s="167"/>
      <c r="I32" s="185"/>
      <c r="J32" s="153"/>
      <c r="K32" s="153"/>
      <c r="L32" s="148"/>
    </row>
    <row r="33" spans="1:11" ht="15" customHeight="1" x14ac:dyDescent="0.3">
      <c r="A33" s="183"/>
      <c r="B33" s="167"/>
      <c r="C33" s="167"/>
      <c r="D33" s="167"/>
      <c r="E33" s="167"/>
      <c r="F33" s="167"/>
      <c r="G33" s="167"/>
      <c r="H33" s="167"/>
      <c r="I33" s="185"/>
      <c r="J33" s="153"/>
      <c r="K33" s="153"/>
    </row>
    <row r="34" spans="1:11" ht="14.4" customHeight="1" x14ac:dyDescent="0.3">
      <c r="A34" s="183"/>
      <c r="B34" s="167" t="s">
        <v>346</v>
      </c>
      <c r="C34" s="167"/>
      <c r="D34" s="167"/>
      <c r="E34" s="167"/>
      <c r="F34" s="167"/>
      <c r="G34" s="167"/>
      <c r="H34" s="167"/>
      <c r="I34" s="185">
        <f>I30+I31</f>
        <v>9218849.6999999993</v>
      </c>
      <c r="J34" s="153">
        <f>I34*3</f>
        <v>27656549.099999998</v>
      </c>
      <c r="K34" s="153">
        <f>J34*1.18</f>
        <v>32634727.937999997</v>
      </c>
    </row>
    <row r="35" spans="1:11" x14ac:dyDescent="0.3">
      <c r="A35" s="183"/>
      <c r="B35" s="167"/>
      <c r="C35" s="167"/>
      <c r="D35" s="167"/>
      <c r="E35" s="167"/>
      <c r="F35" s="167"/>
      <c r="G35" s="167"/>
      <c r="H35" s="167"/>
      <c r="I35" s="185"/>
      <c r="J35" s="153"/>
      <c r="K35" s="153"/>
    </row>
    <row r="36" spans="1:11" x14ac:dyDescent="0.3">
      <c r="A36" s="183"/>
      <c r="B36" s="167" t="s">
        <v>348</v>
      </c>
      <c r="C36" s="167"/>
      <c r="D36" s="167"/>
      <c r="E36" s="167"/>
      <c r="F36" s="167"/>
      <c r="G36" s="167"/>
      <c r="H36" s="167"/>
      <c r="I36" s="185">
        <f>I34*3</f>
        <v>27656549.099999998</v>
      </c>
      <c r="J36" s="153"/>
      <c r="K36" s="153"/>
    </row>
    <row r="37" spans="1:11" x14ac:dyDescent="0.3">
      <c r="A37" s="183"/>
      <c r="B37" s="167"/>
      <c r="C37" s="167"/>
      <c r="D37" s="167"/>
      <c r="E37" s="167"/>
      <c r="F37" s="167"/>
      <c r="G37" s="167"/>
      <c r="H37" s="167"/>
      <c r="I37" s="185"/>
      <c r="J37" s="153"/>
      <c r="K37" s="153"/>
    </row>
    <row r="38" spans="1:11" x14ac:dyDescent="0.3">
      <c r="A38" s="183"/>
      <c r="B38" s="167" t="s">
        <v>349</v>
      </c>
      <c r="C38" s="167"/>
      <c r="D38" s="167"/>
      <c r="E38" s="167"/>
      <c r="F38" s="167"/>
      <c r="G38" s="167"/>
      <c r="H38" s="167"/>
      <c r="I38" s="185">
        <f>I34</f>
        <v>9218849.6999999993</v>
      </c>
      <c r="J38" s="153"/>
      <c r="K38" s="153"/>
    </row>
    <row r="39" spans="1:11" x14ac:dyDescent="0.3">
      <c r="A39" s="183"/>
      <c r="B39" s="167"/>
      <c r="C39" s="167"/>
      <c r="D39" s="167"/>
      <c r="E39" s="167"/>
      <c r="F39" s="167"/>
      <c r="G39" s="167"/>
      <c r="H39" s="167"/>
      <c r="I39" s="185"/>
      <c r="J39" s="153"/>
      <c r="K39" s="153"/>
    </row>
    <row r="40" spans="1:11" x14ac:dyDescent="0.3">
      <c r="A40" s="183"/>
      <c r="B40" s="167" t="s">
        <v>350</v>
      </c>
      <c r="C40" s="167"/>
      <c r="D40" s="167"/>
      <c r="E40" s="167"/>
      <c r="F40" s="167"/>
      <c r="G40" s="167"/>
      <c r="H40" s="167"/>
      <c r="I40" s="185">
        <f>I38</f>
        <v>9218849.6999999993</v>
      </c>
      <c r="J40" s="153"/>
      <c r="K40" s="153"/>
    </row>
    <row r="41" spans="1:11" ht="15" thickBot="1" x14ac:dyDescent="0.35">
      <c r="A41" s="186"/>
      <c r="B41" s="187"/>
      <c r="C41" s="187"/>
      <c r="D41" s="187"/>
      <c r="E41" s="187"/>
      <c r="F41" s="187"/>
      <c r="G41" s="187"/>
      <c r="H41" s="187"/>
      <c r="I41" s="188"/>
      <c r="J41" s="153"/>
      <c r="K41" s="153"/>
    </row>
    <row r="42" spans="1:11" x14ac:dyDescent="0.3">
      <c r="B42" s="153"/>
      <c r="C42" s="153"/>
      <c r="D42" s="153"/>
      <c r="E42" s="153"/>
      <c r="F42" s="153"/>
      <c r="G42" s="153"/>
      <c r="H42" s="153"/>
      <c r="I42" s="153"/>
      <c r="J42" s="153"/>
      <c r="K42" s="153"/>
    </row>
    <row r="43" spans="1:11" x14ac:dyDescent="0.3">
      <c r="B43" s="153"/>
      <c r="C43" s="153"/>
      <c r="D43" s="153"/>
      <c r="E43" s="153"/>
      <c r="F43" s="153"/>
      <c r="G43" s="153"/>
      <c r="H43" s="153"/>
      <c r="I43" s="153"/>
      <c r="J43" s="153"/>
      <c r="K43" s="153"/>
    </row>
    <row r="44" spans="1:11" x14ac:dyDescent="0.3">
      <c r="B44" s="153"/>
      <c r="C44" s="153"/>
      <c r="D44" s="153"/>
      <c r="E44" s="153"/>
      <c r="F44" s="153"/>
      <c r="G44" s="153"/>
      <c r="H44" s="153"/>
      <c r="I44" s="153"/>
      <c r="J44" s="153"/>
      <c r="K44" s="153"/>
    </row>
  </sheetData>
  <mergeCells count="16">
    <mergeCell ref="B31:F31"/>
    <mergeCell ref="A19:C19"/>
    <mergeCell ref="B2:B3"/>
    <mergeCell ref="C2:C3"/>
    <mergeCell ref="A3:A4"/>
    <mergeCell ref="D3:D4"/>
    <mergeCell ref="E3:E4"/>
    <mergeCell ref="A18:C18"/>
    <mergeCell ref="B1:E1"/>
    <mergeCell ref="K28:L28"/>
    <mergeCell ref="B29:C29"/>
    <mergeCell ref="F29:G29"/>
    <mergeCell ref="B30:F30"/>
    <mergeCell ref="B28:D28"/>
    <mergeCell ref="E28:F28"/>
    <mergeCell ref="G28:H2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H41"/>
  <sheetViews>
    <sheetView topLeftCell="A10" workbookViewId="0">
      <selection activeCell="D47" sqref="D47"/>
    </sheetView>
  </sheetViews>
  <sheetFormatPr defaultRowHeight="14.4" x14ac:dyDescent="0.3"/>
  <cols>
    <col min="3" max="3" width="47.33203125" customWidth="1"/>
    <col min="4" max="4" width="18.6640625" customWidth="1"/>
    <col min="5" max="5" width="19.6640625" customWidth="1"/>
    <col min="6" max="6" width="16.88671875" customWidth="1"/>
    <col min="7" max="7" width="17.88671875" bestFit="1" customWidth="1"/>
    <col min="8" max="8" width="15.33203125" bestFit="1" customWidth="1"/>
  </cols>
  <sheetData>
    <row r="1" spans="2:8" x14ac:dyDescent="0.3">
      <c r="B1" s="43"/>
      <c r="C1" s="44"/>
      <c r="D1" s="44"/>
      <c r="E1" s="44" t="s">
        <v>470</v>
      </c>
      <c r="F1" s="44" t="s">
        <v>472</v>
      </c>
      <c r="G1" s="44" t="s">
        <v>486</v>
      </c>
      <c r="H1" s="44" t="s">
        <v>487</v>
      </c>
    </row>
    <row r="2" spans="2:8" x14ac:dyDescent="0.3">
      <c r="B2" s="43"/>
      <c r="C2" s="43"/>
      <c r="D2" s="43" t="s">
        <v>465</v>
      </c>
      <c r="E2" s="43" t="s">
        <v>471</v>
      </c>
      <c r="F2" s="43" t="s">
        <v>471</v>
      </c>
      <c r="G2" s="43"/>
      <c r="H2" s="43"/>
    </row>
    <row r="3" spans="2:8" x14ac:dyDescent="0.3">
      <c r="B3" s="43">
        <v>1</v>
      </c>
      <c r="C3" s="43" t="s">
        <v>424</v>
      </c>
      <c r="D3" s="43" t="s">
        <v>466</v>
      </c>
      <c r="E3" s="43">
        <v>13499</v>
      </c>
      <c r="F3" s="43">
        <f>E3*2.5</f>
        <v>33747.5</v>
      </c>
      <c r="G3" s="287">
        <v>0.1</v>
      </c>
      <c r="H3" s="287">
        <v>0.25</v>
      </c>
    </row>
    <row r="4" spans="2:8" x14ac:dyDescent="0.3">
      <c r="B4" s="43">
        <v>2</v>
      </c>
      <c r="C4" s="43" t="s">
        <v>469</v>
      </c>
      <c r="D4" s="43" t="s">
        <v>466</v>
      </c>
      <c r="E4" s="43">
        <v>19499</v>
      </c>
      <c r="F4" s="43">
        <f t="shared" ref="F4:F9" si="0">E4*2.5</f>
        <v>48747.5</v>
      </c>
      <c r="G4" s="287">
        <v>0.1</v>
      </c>
      <c r="H4" s="287">
        <v>0.25</v>
      </c>
    </row>
    <row r="5" spans="2:8" x14ac:dyDescent="0.3">
      <c r="B5" s="43">
        <v>3</v>
      </c>
      <c r="C5" s="43" t="s">
        <v>467</v>
      </c>
      <c r="D5" s="43" t="s">
        <v>466</v>
      </c>
      <c r="E5" s="43">
        <v>25499</v>
      </c>
      <c r="F5" s="43">
        <f t="shared" si="0"/>
        <v>63747.5</v>
      </c>
      <c r="G5" s="287">
        <v>0.1</v>
      </c>
      <c r="H5" s="287">
        <v>0.25</v>
      </c>
    </row>
    <row r="6" spans="2:8" x14ac:dyDescent="0.3">
      <c r="B6" s="43">
        <v>4</v>
      </c>
      <c r="C6" s="43" t="s">
        <v>468</v>
      </c>
      <c r="D6" s="43" t="s">
        <v>466</v>
      </c>
      <c r="E6" s="43">
        <v>49499</v>
      </c>
      <c r="F6" s="43">
        <f t="shared" si="0"/>
        <v>123747.5</v>
      </c>
      <c r="G6" s="287">
        <v>0.1</v>
      </c>
      <c r="H6" s="287">
        <v>0.25</v>
      </c>
    </row>
    <row r="7" spans="2:8" x14ac:dyDescent="0.3">
      <c r="B7" s="43">
        <v>5</v>
      </c>
      <c r="C7" s="43" t="s">
        <v>473</v>
      </c>
      <c r="D7" s="43" t="s">
        <v>476</v>
      </c>
      <c r="E7" s="43">
        <v>2110</v>
      </c>
      <c r="F7" s="43">
        <f t="shared" si="0"/>
        <v>5275</v>
      </c>
      <c r="G7" s="287">
        <v>0.1</v>
      </c>
      <c r="H7" s="287">
        <v>0.25</v>
      </c>
    </row>
    <row r="8" spans="2:8" x14ac:dyDescent="0.3">
      <c r="B8" s="43">
        <v>6</v>
      </c>
      <c r="C8" s="43" t="s">
        <v>474</v>
      </c>
      <c r="D8" s="43" t="s">
        <v>476</v>
      </c>
      <c r="E8" s="43">
        <v>849</v>
      </c>
      <c r="F8" s="43">
        <f t="shared" si="0"/>
        <v>2122.5</v>
      </c>
      <c r="G8" s="287">
        <v>0.1</v>
      </c>
      <c r="H8" s="287">
        <v>0.25</v>
      </c>
    </row>
    <row r="9" spans="2:8" x14ac:dyDescent="0.3">
      <c r="B9" s="43">
        <v>7</v>
      </c>
      <c r="C9" s="43" t="s">
        <v>475</v>
      </c>
      <c r="D9" s="43" t="s">
        <v>476</v>
      </c>
      <c r="E9" s="43">
        <v>499</v>
      </c>
      <c r="F9" s="43">
        <f t="shared" si="0"/>
        <v>1247.5</v>
      </c>
      <c r="G9" s="287">
        <v>0.1</v>
      </c>
      <c r="H9" s="287">
        <v>0.25</v>
      </c>
    </row>
    <row r="10" spans="2:8" x14ac:dyDescent="0.3">
      <c r="B10" s="43">
        <v>8</v>
      </c>
      <c r="C10" s="43" t="s">
        <v>477</v>
      </c>
      <c r="D10" s="43" t="s">
        <v>480</v>
      </c>
      <c r="E10" s="43">
        <v>4449</v>
      </c>
      <c r="F10" s="43" t="s">
        <v>479</v>
      </c>
      <c r="G10" s="287">
        <v>0.1</v>
      </c>
      <c r="H10" s="287">
        <v>0.25</v>
      </c>
    </row>
    <row r="11" spans="2:8" x14ac:dyDescent="0.3">
      <c r="B11" s="43">
        <v>9</v>
      </c>
      <c r="C11" s="43" t="s">
        <v>478</v>
      </c>
      <c r="D11" s="43" t="s">
        <v>480</v>
      </c>
      <c r="E11" s="43">
        <v>349</v>
      </c>
      <c r="F11" s="43" t="s">
        <v>479</v>
      </c>
      <c r="G11" s="287">
        <v>0.1</v>
      </c>
      <c r="H11" s="287">
        <v>0.25</v>
      </c>
    </row>
    <row r="12" spans="2:8" x14ac:dyDescent="0.3">
      <c r="B12" s="43"/>
      <c r="C12" s="43"/>
      <c r="D12" s="43"/>
      <c r="E12" s="43"/>
      <c r="F12" s="43"/>
      <c r="G12" s="43"/>
      <c r="H12" s="43"/>
    </row>
    <row r="13" spans="2:8" x14ac:dyDescent="0.3">
      <c r="B13" s="43"/>
      <c r="C13" s="43" t="s">
        <v>485</v>
      </c>
      <c r="D13" s="43"/>
      <c r="E13" s="43"/>
      <c r="F13" s="43"/>
      <c r="G13" s="43"/>
      <c r="H13" s="43"/>
    </row>
    <row r="14" spans="2:8" x14ac:dyDescent="0.3">
      <c r="B14" s="43"/>
      <c r="C14" s="43"/>
      <c r="D14" s="43"/>
      <c r="E14" s="43"/>
      <c r="F14" s="43"/>
      <c r="G14" s="43"/>
      <c r="H14" s="43"/>
    </row>
    <row r="15" spans="2:8" x14ac:dyDescent="0.3">
      <c r="B15" s="43">
        <v>1</v>
      </c>
      <c r="C15" s="43" t="s">
        <v>481</v>
      </c>
      <c r="D15" s="43" t="s">
        <v>466</v>
      </c>
      <c r="E15" s="43">
        <v>16105.4</v>
      </c>
      <c r="F15" s="43" t="s">
        <v>479</v>
      </c>
      <c r="G15" s="287">
        <v>0.1</v>
      </c>
      <c r="H15" s="287">
        <v>0.25</v>
      </c>
    </row>
    <row r="16" spans="2:8" x14ac:dyDescent="0.3">
      <c r="B16" s="43">
        <v>2</v>
      </c>
      <c r="C16" s="43" t="s">
        <v>482</v>
      </c>
      <c r="D16" s="43" t="s">
        <v>466</v>
      </c>
      <c r="E16" s="43">
        <v>1503.36</v>
      </c>
      <c r="F16" s="43" t="s">
        <v>479</v>
      </c>
      <c r="G16" s="287">
        <v>0.1</v>
      </c>
      <c r="H16" s="287">
        <v>0.25</v>
      </c>
    </row>
    <row r="17" spans="2:8" x14ac:dyDescent="0.3">
      <c r="B17" s="43">
        <v>3</v>
      </c>
      <c r="C17" s="43" t="s">
        <v>483</v>
      </c>
      <c r="D17" s="43" t="s">
        <v>466</v>
      </c>
      <c r="E17" s="43">
        <v>6136</v>
      </c>
      <c r="F17" s="43" t="s">
        <v>479</v>
      </c>
      <c r="G17" s="287">
        <v>0.1</v>
      </c>
      <c r="H17" s="287">
        <v>0.25</v>
      </c>
    </row>
    <row r="18" spans="2:8" x14ac:dyDescent="0.3">
      <c r="B18" s="43">
        <v>4</v>
      </c>
      <c r="C18" s="43" t="s">
        <v>484</v>
      </c>
      <c r="D18" s="43" t="s">
        <v>466</v>
      </c>
      <c r="E18" s="43">
        <v>18408</v>
      </c>
      <c r="F18" s="43" t="s">
        <v>479</v>
      </c>
      <c r="G18" s="287">
        <v>0.1</v>
      </c>
      <c r="H18" s="287">
        <v>0.25</v>
      </c>
    </row>
    <row r="19" spans="2:8" x14ac:dyDescent="0.3">
      <c r="B19" s="43"/>
      <c r="C19" s="43"/>
      <c r="D19" s="43"/>
      <c r="E19" s="43"/>
      <c r="F19" s="43"/>
      <c r="G19" s="287"/>
      <c r="H19" s="287"/>
    </row>
    <row r="20" spans="2:8" x14ac:dyDescent="0.3">
      <c r="B20" s="43"/>
      <c r="C20" s="43"/>
      <c r="D20" s="43"/>
      <c r="E20" s="43"/>
      <c r="F20" s="43"/>
      <c r="G20" s="287"/>
      <c r="H20" s="287"/>
    </row>
    <row r="21" spans="2:8" x14ac:dyDescent="0.3">
      <c r="B21" s="43"/>
      <c r="C21" s="43"/>
      <c r="D21" s="43"/>
      <c r="E21" s="43"/>
      <c r="F21" s="43"/>
      <c r="G21" s="43"/>
      <c r="H21" s="43"/>
    </row>
    <row r="22" spans="2:8" x14ac:dyDescent="0.3">
      <c r="B22" s="43">
        <v>1</v>
      </c>
      <c r="C22" s="43" t="s">
        <v>488</v>
      </c>
      <c r="D22" s="43" t="s">
        <v>493</v>
      </c>
      <c r="E22" s="43">
        <v>2083</v>
      </c>
      <c r="F22" s="43">
        <f>E22*0.25</f>
        <v>520.75</v>
      </c>
      <c r="G22" s="287">
        <v>0.1</v>
      </c>
      <c r="H22" s="287">
        <v>0.25</v>
      </c>
    </row>
    <row r="23" spans="2:8" x14ac:dyDescent="0.3">
      <c r="B23" s="43">
        <v>2</v>
      </c>
      <c r="C23" s="43" t="s">
        <v>489</v>
      </c>
      <c r="D23" s="43" t="s">
        <v>493</v>
      </c>
      <c r="E23" s="43">
        <v>4560</v>
      </c>
      <c r="F23" s="43">
        <f t="shared" ref="F23:F29" si="1">E23*0.25</f>
        <v>1140</v>
      </c>
      <c r="G23" s="287">
        <v>0.1</v>
      </c>
      <c r="H23" s="287">
        <v>0.25</v>
      </c>
    </row>
    <row r="24" spans="2:8" x14ac:dyDescent="0.3">
      <c r="B24" s="43">
        <v>3</v>
      </c>
      <c r="C24" s="43" t="s">
        <v>490</v>
      </c>
      <c r="D24" s="43" t="s">
        <v>493</v>
      </c>
      <c r="E24" s="43">
        <v>22200</v>
      </c>
      <c r="F24" s="43">
        <f t="shared" si="1"/>
        <v>5550</v>
      </c>
      <c r="G24" s="287">
        <v>0.1</v>
      </c>
      <c r="H24" s="287">
        <v>0.25</v>
      </c>
    </row>
    <row r="25" spans="2:8" x14ac:dyDescent="0.3">
      <c r="B25" s="43">
        <v>4</v>
      </c>
      <c r="C25" s="43" t="s">
        <v>491</v>
      </c>
      <c r="D25" s="43" t="s">
        <v>493</v>
      </c>
      <c r="E25" s="43">
        <v>1340</v>
      </c>
      <c r="F25" s="43">
        <f t="shared" si="1"/>
        <v>335</v>
      </c>
      <c r="G25" s="287">
        <v>0.1</v>
      </c>
      <c r="H25" s="287">
        <v>0.25</v>
      </c>
    </row>
    <row r="26" spans="2:8" x14ac:dyDescent="0.3">
      <c r="B26" s="43">
        <v>5</v>
      </c>
      <c r="C26" s="43" t="s">
        <v>492</v>
      </c>
      <c r="D26" s="43" t="s">
        <v>493</v>
      </c>
      <c r="E26" s="43">
        <v>13440</v>
      </c>
      <c r="F26" s="43">
        <f t="shared" si="1"/>
        <v>3360</v>
      </c>
      <c r="G26" s="287">
        <v>0.1</v>
      </c>
      <c r="H26" s="287">
        <v>0.25</v>
      </c>
    </row>
    <row r="27" spans="2:8" x14ac:dyDescent="0.3">
      <c r="B27" s="43">
        <v>6</v>
      </c>
      <c r="C27" s="43" t="s">
        <v>494</v>
      </c>
      <c r="D27" s="43" t="s">
        <v>497</v>
      </c>
      <c r="E27" s="43">
        <v>8800</v>
      </c>
      <c r="F27" s="43">
        <f t="shared" si="1"/>
        <v>2200</v>
      </c>
      <c r="G27" s="287">
        <v>0.1</v>
      </c>
      <c r="H27" s="287">
        <v>0.25</v>
      </c>
    </row>
    <row r="28" spans="2:8" x14ac:dyDescent="0.3">
      <c r="B28" s="43">
        <v>7</v>
      </c>
      <c r="C28" s="43" t="s">
        <v>495</v>
      </c>
      <c r="D28" s="43" t="s">
        <v>497</v>
      </c>
      <c r="E28" s="43">
        <v>14080</v>
      </c>
      <c r="F28" s="43">
        <f t="shared" si="1"/>
        <v>3520</v>
      </c>
      <c r="G28" s="287">
        <v>0.1</v>
      </c>
      <c r="H28" s="287">
        <v>0.25</v>
      </c>
    </row>
    <row r="29" spans="2:8" x14ac:dyDescent="0.3">
      <c r="B29" s="43">
        <v>8</v>
      </c>
      <c r="C29" s="43" t="s">
        <v>496</v>
      </c>
      <c r="D29" s="43" t="s">
        <v>497</v>
      </c>
      <c r="E29" s="43">
        <v>19360</v>
      </c>
      <c r="F29" s="43">
        <f t="shared" si="1"/>
        <v>4840</v>
      </c>
      <c r="G29" s="287">
        <v>0.1</v>
      </c>
      <c r="H29" s="287">
        <v>0.25</v>
      </c>
    </row>
    <row r="30" spans="2:8" x14ac:dyDescent="0.3">
      <c r="B30" s="43"/>
      <c r="C30" s="43"/>
      <c r="D30" s="43"/>
      <c r="E30" s="43"/>
      <c r="F30" s="43"/>
      <c r="G30" s="43"/>
      <c r="H30" s="43"/>
    </row>
    <row r="31" spans="2:8" x14ac:dyDescent="0.3">
      <c r="B31" s="43">
        <v>10</v>
      </c>
      <c r="C31" s="43" t="s">
        <v>501</v>
      </c>
      <c r="D31" s="43" t="s">
        <v>505</v>
      </c>
      <c r="E31" s="43">
        <v>149999</v>
      </c>
      <c r="F31" s="43" t="s">
        <v>479</v>
      </c>
      <c r="G31" s="287">
        <v>0.1</v>
      </c>
      <c r="H31" s="287">
        <v>0.25</v>
      </c>
    </row>
    <row r="32" spans="2:8" x14ac:dyDescent="0.3">
      <c r="B32" s="43">
        <v>11</v>
      </c>
      <c r="C32" s="43" t="s">
        <v>500</v>
      </c>
      <c r="D32" s="43" t="s">
        <v>505</v>
      </c>
      <c r="E32" s="43">
        <v>267500</v>
      </c>
      <c r="F32" s="43" t="s">
        <v>479</v>
      </c>
      <c r="G32" s="287">
        <v>0.1</v>
      </c>
      <c r="H32" s="287">
        <v>0.25</v>
      </c>
    </row>
    <row r="33" spans="2:8" x14ac:dyDescent="0.3">
      <c r="B33" s="43">
        <v>12</v>
      </c>
      <c r="C33" s="43" t="s">
        <v>502</v>
      </c>
      <c r="D33" s="43" t="s">
        <v>505</v>
      </c>
      <c r="E33" s="43">
        <v>125000</v>
      </c>
      <c r="F33" s="43" t="s">
        <v>479</v>
      </c>
      <c r="G33" s="287">
        <v>0.1</v>
      </c>
      <c r="H33" s="287">
        <v>0.25</v>
      </c>
    </row>
    <row r="34" spans="2:8" x14ac:dyDescent="0.3">
      <c r="B34" s="43">
        <v>13</v>
      </c>
      <c r="C34" s="43" t="s">
        <v>503</v>
      </c>
      <c r="D34" s="43" t="s">
        <v>505</v>
      </c>
      <c r="E34" s="43">
        <v>85000</v>
      </c>
      <c r="F34" s="43" t="s">
        <v>479</v>
      </c>
      <c r="G34" s="287">
        <v>0.1</v>
      </c>
      <c r="H34" s="287">
        <v>0.25</v>
      </c>
    </row>
    <row r="35" spans="2:8" x14ac:dyDescent="0.3">
      <c r="B35" s="43">
        <v>14</v>
      </c>
      <c r="C35" s="43" t="s">
        <v>504</v>
      </c>
      <c r="D35" s="43" t="s">
        <v>505</v>
      </c>
      <c r="E35" s="43">
        <v>285000</v>
      </c>
      <c r="F35" s="43" t="s">
        <v>479</v>
      </c>
      <c r="G35" s="287">
        <v>0.1</v>
      </c>
      <c r="H35" s="287">
        <v>0.25</v>
      </c>
    </row>
    <row r="36" spans="2:8" x14ac:dyDescent="0.3">
      <c r="B36" s="43">
        <v>15</v>
      </c>
      <c r="C36" s="43" t="s">
        <v>498</v>
      </c>
      <c r="D36" s="43" t="s">
        <v>505</v>
      </c>
      <c r="E36" s="43">
        <v>320000</v>
      </c>
      <c r="F36" s="43" t="s">
        <v>479</v>
      </c>
      <c r="G36" s="287">
        <v>0.1</v>
      </c>
      <c r="H36" s="287">
        <v>0.25</v>
      </c>
    </row>
    <row r="37" spans="2:8" x14ac:dyDescent="0.3">
      <c r="B37" s="43">
        <v>16</v>
      </c>
      <c r="C37" s="43" t="s">
        <v>499</v>
      </c>
      <c r="D37" s="43" t="s">
        <v>505</v>
      </c>
      <c r="E37" s="43">
        <v>165000</v>
      </c>
      <c r="F37" s="43" t="s">
        <v>479</v>
      </c>
      <c r="G37" s="287">
        <v>0.1</v>
      </c>
      <c r="H37" s="287">
        <v>0.25</v>
      </c>
    </row>
    <row r="38" spans="2:8" x14ac:dyDescent="0.3">
      <c r="B38" s="43">
        <v>17</v>
      </c>
      <c r="C38" s="43" t="s">
        <v>506</v>
      </c>
      <c r="D38" s="43" t="s">
        <v>505</v>
      </c>
      <c r="E38" s="43">
        <v>8999</v>
      </c>
      <c r="F38" s="43" t="s">
        <v>479</v>
      </c>
      <c r="G38" s="287">
        <v>0.1</v>
      </c>
      <c r="H38" s="287">
        <v>0.25</v>
      </c>
    </row>
    <row r="39" spans="2:8" x14ac:dyDescent="0.3">
      <c r="B39" s="43">
        <v>18</v>
      </c>
      <c r="C39" s="43" t="s">
        <v>507</v>
      </c>
      <c r="D39" s="43" t="s">
        <v>505</v>
      </c>
      <c r="E39" s="43">
        <v>12450</v>
      </c>
      <c r="F39" s="43" t="s">
        <v>479</v>
      </c>
      <c r="G39" s="287">
        <v>0.1</v>
      </c>
      <c r="H39" s="287">
        <v>0.25</v>
      </c>
    </row>
    <row r="40" spans="2:8" x14ac:dyDescent="0.3">
      <c r="B40" s="43"/>
      <c r="C40" s="43"/>
      <c r="D40" s="43"/>
      <c r="E40" s="43"/>
      <c r="F40" s="43"/>
      <c r="G40" s="43"/>
      <c r="H40" s="43"/>
    </row>
    <row r="41" spans="2:8" x14ac:dyDescent="0.3">
      <c r="B41" s="43"/>
      <c r="C41" s="43"/>
      <c r="D41" s="43"/>
      <c r="E41" s="43"/>
      <c r="F41" s="43"/>
      <c r="G41" s="43"/>
      <c r="H41" s="43"/>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8:S35"/>
  <sheetViews>
    <sheetView topLeftCell="A18" zoomScale="130" zoomScaleNormal="130" workbookViewId="0">
      <selection activeCell="D19" sqref="D19"/>
    </sheetView>
  </sheetViews>
  <sheetFormatPr defaultRowHeight="14.4" x14ac:dyDescent="0.3"/>
  <cols>
    <col min="4" max="4" width="17" customWidth="1"/>
    <col min="6" max="6" width="11.6640625" customWidth="1"/>
    <col min="7" max="7" width="20.33203125" customWidth="1"/>
    <col min="9" max="9" width="10.33203125" customWidth="1"/>
    <col min="12" max="12" width="9.44140625" bestFit="1" customWidth="1"/>
    <col min="15" max="15" width="14.33203125" customWidth="1"/>
  </cols>
  <sheetData>
    <row r="8" spans="3:12" x14ac:dyDescent="0.3">
      <c r="F8" t="s">
        <v>368</v>
      </c>
      <c r="G8" s="42">
        <f>7500*6</f>
        <v>45000</v>
      </c>
    </row>
    <row r="9" spans="3:12" x14ac:dyDescent="0.3">
      <c r="F9" t="s">
        <v>369</v>
      </c>
      <c r="G9">
        <f>20000*3</f>
        <v>60000</v>
      </c>
    </row>
    <row r="10" spans="3:12" x14ac:dyDescent="0.3">
      <c r="F10" t="s">
        <v>370</v>
      </c>
      <c r="G10" s="42">
        <v>120000</v>
      </c>
    </row>
    <row r="11" spans="3:12" x14ac:dyDescent="0.3">
      <c r="F11" t="s">
        <v>371</v>
      </c>
      <c r="G11" s="42">
        <v>120000</v>
      </c>
    </row>
    <row r="14" spans="3:12" ht="15" thickBot="1" x14ac:dyDescent="0.35"/>
    <row r="15" spans="3:12" ht="52.8" x14ac:dyDescent="0.3">
      <c r="C15" s="228"/>
      <c r="D15" s="231"/>
      <c r="E15" s="234"/>
      <c r="F15" s="231"/>
      <c r="G15" s="238"/>
      <c r="H15" s="241" t="s">
        <v>403</v>
      </c>
      <c r="I15" s="499" t="s">
        <v>405</v>
      </c>
      <c r="J15" s="500"/>
      <c r="K15" s="241" t="s">
        <v>407</v>
      </c>
      <c r="L15" s="487" t="s">
        <v>409</v>
      </c>
    </row>
    <row r="16" spans="3:12" ht="31.2" customHeight="1" thickBot="1" x14ac:dyDescent="0.35">
      <c r="C16" s="229" t="s">
        <v>324</v>
      </c>
      <c r="D16" s="232"/>
      <c r="E16" s="235" t="s">
        <v>401</v>
      </c>
      <c r="F16" s="232"/>
      <c r="G16" s="239" t="s">
        <v>426</v>
      </c>
      <c r="H16" s="242" t="s">
        <v>404</v>
      </c>
      <c r="I16" s="501" t="s">
        <v>406</v>
      </c>
      <c r="J16" s="502"/>
      <c r="K16" s="242" t="s">
        <v>408</v>
      </c>
      <c r="L16" s="488"/>
    </row>
    <row r="17" spans="3:19" ht="15" hidden="1" thickBot="1" x14ac:dyDescent="0.35">
      <c r="C17" s="230" t="s">
        <v>327</v>
      </c>
      <c r="D17" s="233" t="s">
        <v>400</v>
      </c>
      <c r="E17" s="236" t="s">
        <v>402</v>
      </c>
      <c r="F17" s="237" t="s">
        <v>309</v>
      </c>
      <c r="G17" s="240"/>
      <c r="H17" s="240"/>
      <c r="I17" s="233" t="s">
        <v>410</v>
      </c>
      <c r="J17" s="237" t="s">
        <v>411</v>
      </c>
      <c r="K17" s="240"/>
      <c r="L17" s="489"/>
      <c r="O17">
        <v>13349</v>
      </c>
      <c r="P17">
        <f>O17*0.75</f>
        <v>10011.75</v>
      </c>
      <c r="Q17">
        <f>P17/1.16</f>
        <v>8630.8189655172428</v>
      </c>
      <c r="R17">
        <f>P17*0.84</f>
        <v>8409.869999999999</v>
      </c>
    </row>
    <row r="18" spans="3:19" ht="15" thickBot="1" x14ac:dyDescent="0.35">
      <c r="C18" s="490" t="s">
        <v>412</v>
      </c>
      <c r="D18" s="491"/>
      <c r="E18" s="491"/>
      <c r="F18" s="491"/>
      <c r="G18" s="491"/>
      <c r="H18" s="491"/>
      <c r="I18" s="491"/>
      <c r="J18" s="491"/>
      <c r="K18" s="491"/>
      <c r="L18" s="492"/>
      <c r="O18">
        <v>849</v>
      </c>
      <c r="P18">
        <f>O18*0.75</f>
        <v>636.75</v>
      </c>
      <c r="Q18">
        <f>P18/1.16</f>
        <v>548.92241379310349</v>
      </c>
      <c r="R18">
        <f>P18*0.84</f>
        <v>534.87</v>
      </c>
    </row>
    <row r="19" spans="3:19" ht="40.200000000000003" thickBot="1" x14ac:dyDescent="0.35">
      <c r="C19" s="243">
        <v>1</v>
      </c>
      <c r="D19" s="243" t="s">
        <v>424</v>
      </c>
      <c r="E19" s="243"/>
      <c r="F19" s="243" t="s">
        <v>180</v>
      </c>
      <c r="G19" s="243">
        <v>21</v>
      </c>
      <c r="H19" s="243">
        <v>8390</v>
      </c>
      <c r="I19" s="243">
        <v>18</v>
      </c>
      <c r="J19" s="243">
        <f>H19*(I19/100)</f>
        <v>1510.2</v>
      </c>
      <c r="K19" s="243">
        <f>J19+H19</f>
        <v>9900.2000000000007</v>
      </c>
      <c r="L19" s="243">
        <f>K19*G19</f>
        <v>207904.2</v>
      </c>
      <c r="M19">
        <f>G19*H19*1.18</f>
        <v>207904.19999999998</v>
      </c>
      <c r="O19">
        <v>499</v>
      </c>
      <c r="P19">
        <f>O19*0.75</f>
        <v>374.25</v>
      </c>
      <c r="Q19">
        <f>P19/1.16</f>
        <v>322.62931034482762</v>
      </c>
      <c r="R19">
        <f>P19*0.84</f>
        <v>314.37</v>
      </c>
    </row>
    <row r="20" spans="3:19" ht="40.200000000000003" thickBot="1" x14ac:dyDescent="0.35">
      <c r="C20" s="243"/>
      <c r="D20" s="243" t="s">
        <v>425</v>
      </c>
      <c r="E20" s="243"/>
      <c r="F20" s="243" t="s">
        <v>180</v>
      </c>
      <c r="G20" s="243">
        <v>12</v>
      </c>
      <c r="H20" s="243">
        <f>H19*1.9</f>
        <v>15941</v>
      </c>
      <c r="I20" s="243">
        <v>18</v>
      </c>
      <c r="J20" s="243">
        <f t="shared" ref="J20:J26" si="0">H20*(I20/100)</f>
        <v>2869.38</v>
      </c>
      <c r="K20" s="243">
        <f t="shared" ref="K20:K26" si="1">J20+H20</f>
        <v>18810.38</v>
      </c>
      <c r="L20" s="243">
        <f t="shared" ref="L20:L26" si="2">K20*G20</f>
        <v>225724.56</v>
      </c>
      <c r="M20">
        <f t="shared" ref="M20:M29" si="3">G20*H20*1.18</f>
        <v>225724.56</v>
      </c>
      <c r="O20">
        <v>740</v>
      </c>
      <c r="P20">
        <f>O20*0.75</f>
        <v>555</v>
      </c>
      <c r="Q20">
        <f>P20/1.16</f>
        <v>478.44827586206901</v>
      </c>
      <c r="R20">
        <f>P20*0.84</f>
        <v>466.2</v>
      </c>
    </row>
    <row r="21" spans="3:19" ht="15" customHeight="1" thickBot="1" x14ac:dyDescent="0.35">
      <c r="C21" s="493" t="s">
        <v>413</v>
      </c>
      <c r="D21" s="494"/>
      <c r="E21" s="495"/>
      <c r="F21" s="247"/>
      <c r="G21" s="247"/>
      <c r="H21" s="247"/>
      <c r="I21" s="247"/>
      <c r="J21" s="248"/>
      <c r="K21" s="246"/>
      <c r="L21" s="243"/>
      <c r="M21">
        <f t="shared" si="3"/>
        <v>0</v>
      </c>
      <c r="O21">
        <v>22200</v>
      </c>
      <c r="P21">
        <f>O21*0.75</f>
        <v>16650</v>
      </c>
      <c r="Q21">
        <f>P21/1.16</f>
        <v>14353.448275862071</v>
      </c>
      <c r="R21">
        <f>P21*0.84</f>
        <v>13986</v>
      </c>
    </row>
    <row r="22" spans="3:19" ht="40.200000000000003" thickBot="1" x14ac:dyDescent="0.35">
      <c r="C22" s="244">
        <v>3</v>
      </c>
      <c r="D22" s="244" t="s">
        <v>414</v>
      </c>
      <c r="E22" s="244"/>
      <c r="F22" s="244" t="s">
        <v>180</v>
      </c>
      <c r="G22" s="244">
        <v>700</v>
      </c>
      <c r="H22" s="244">
        <v>538</v>
      </c>
      <c r="I22" s="244">
        <v>18</v>
      </c>
      <c r="J22" s="245">
        <f t="shared" si="0"/>
        <v>96.84</v>
      </c>
      <c r="K22" s="243">
        <f t="shared" si="1"/>
        <v>634.84</v>
      </c>
      <c r="L22" s="243">
        <f t="shared" si="2"/>
        <v>444388</v>
      </c>
      <c r="M22">
        <f t="shared" si="3"/>
        <v>444388</v>
      </c>
      <c r="O22">
        <v>4215870</v>
      </c>
    </row>
    <row r="23" spans="3:19" ht="40.200000000000003" thickBot="1" x14ac:dyDescent="0.35">
      <c r="C23" s="243">
        <v>4</v>
      </c>
      <c r="D23" s="243" t="s">
        <v>415</v>
      </c>
      <c r="E23" s="243"/>
      <c r="F23" s="244" t="s">
        <v>180</v>
      </c>
      <c r="G23" s="244">
        <v>279</v>
      </c>
      <c r="H23" s="243">
        <v>325</v>
      </c>
      <c r="I23" s="243">
        <v>18</v>
      </c>
      <c r="J23" s="243">
        <f t="shared" si="0"/>
        <v>58.5</v>
      </c>
      <c r="K23" s="243">
        <f t="shared" si="1"/>
        <v>383.5</v>
      </c>
      <c r="L23" s="243">
        <f t="shared" si="2"/>
        <v>106996.5</v>
      </c>
      <c r="M23">
        <f t="shared" si="3"/>
        <v>106996.5</v>
      </c>
      <c r="O23">
        <v>8965053</v>
      </c>
    </row>
    <row r="24" spans="3:19" ht="15" thickBot="1" x14ac:dyDescent="0.35">
      <c r="C24" s="245"/>
      <c r="D24" s="245" t="s">
        <v>416</v>
      </c>
      <c r="E24" s="245"/>
      <c r="H24" s="245"/>
      <c r="I24" s="245"/>
      <c r="J24" s="243"/>
      <c r="K24" s="243"/>
      <c r="L24" s="243"/>
      <c r="M24">
        <f t="shared" si="3"/>
        <v>0</v>
      </c>
      <c r="O24">
        <f>O22+O23</f>
        <v>13180923</v>
      </c>
    </row>
    <row r="25" spans="3:19" ht="15" customHeight="1" thickBot="1" x14ac:dyDescent="0.35">
      <c r="C25" s="493" t="s">
        <v>417</v>
      </c>
      <c r="D25" s="494"/>
      <c r="E25" s="495"/>
      <c r="F25" s="247"/>
      <c r="G25" s="247"/>
      <c r="H25" s="247"/>
      <c r="I25" s="247"/>
      <c r="J25" s="247"/>
      <c r="K25" s="247"/>
      <c r="L25" s="248"/>
      <c r="M25">
        <f t="shared" si="3"/>
        <v>0</v>
      </c>
      <c r="O25">
        <f>O24/1.16</f>
        <v>11362864.655172415</v>
      </c>
      <c r="P25">
        <f>O25/12</f>
        <v>946905.38793103455</v>
      </c>
      <c r="R25">
        <f>M35*12</f>
        <v>9292433.8983050846</v>
      </c>
      <c r="S25">
        <f>R25/R26</f>
        <v>0.6670364492115759</v>
      </c>
    </row>
    <row r="26" spans="3:19" ht="15" thickBot="1" x14ac:dyDescent="0.35">
      <c r="C26" s="244">
        <v>5</v>
      </c>
      <c r="D26" s="244" t="s">
        <v>418</v>
      </c>
      <c r="E26" s="244"/>
      <c r="F26" s="244" t="s">
        <v>180</v>
      </c>
      <c r="G26" s="244">
        <v>33</v>
      </c>
      <c r="H26" s="244">
        <v>478</v>
      </c>
      <c r="I26" s="244">
        <v>18</v>
      </c>
      <c r="J26" s="245">
        <f t="shared" si="0"/>
        <v>86.039999999999992</v>
      </c>
      <c r="K26" s="245">
        <f t="shared" si="1"/>
        <v>564.04</v>
      </c>
      <c r="L26" s="245">
        <f t="shared" si="2"/>
        <v>18613.32</v>
      </c>
      <c r="M26">
        <f t="shared" si="3"/>
        <v>18613.32</v>
      </c>
      <c r="O26">
        <f>O25*1.18</f>
        <v>13408180.293103449</v>
      </c>
      <c r="P26">
        <f>O26/12</f>
        <v>1117348.3577586208</v>
      </c>
      <c r="R26">
        <f>R27/1.18</f>
        <v>13930923.728813561</v>
      </c>
    </row>
    <row r="27" spans="3:19" ht="15" thickBot="1" x14ac:dyDescent="0.35">
      <c r="C27" s="243"/>
      <c r="D27" s="243" t="s">
        <v>419</v>
      </c>
      <c r="E27" s="243"/>
      <c r="F27" s="243"/>
      <c r="G27" s="243"/>
      <c r="H27" s="243"/>
      <c r="I27" s="243"/>
      <c r="J27" s="243"/>
      <c r="K27" s="243"/>
      <c r="L27" s="243"/>
      <c r="M27">
        <f t="shared" si="3"/>
        <v>0</v>
      </c>
      <c r="R27">
        <v>16438490</v>
      </c>
    </row>
    <row r="28" spans="3:19" ht="15" customHeight="1" thickBot="1" x14ac:dyDescent="0.35">
      <c r="C28" s="496" t="s">
        <v>420</v>
      </c>
      <c r="D28" s="497"/>
      <c r="E28" s="498"/>
      <c r="F28" s="244"/>
      <c r="G28" s="244"/>
      <c r="H28" s="244"/>
      <c r="I28" s="244"/>
      <c r="J28" s="243"/>
      <c r="K28" s="243"/>
      <c r="L28" s="243"/>
      <c r="M28">
        <f t="shared" si="3"/>
        <v>0</v>
      </c>
    </row>
    <row r="29" spans="3:19" ht="102.6" customHeight="1" thickBot="1" x14ac:dyDescent="0.35">
      <c r="C29" s="243">
        <v>6</v>
      </c>
      <c r="D29" s="243" t="s">
        <v>421</v>
      </c>
      <c r="E29" s="243"/>
      <c r="F29" s="244" t="s">
        <v>422</v>
      </c>
      <c r="G29" s="243">
        <v>4</v>
      </c>
      <c r="H29" s="243">
        <v>14410</v>
      </c>
      <c r="I29" s="243">
        <v>18</v>
      </c>
      <c r="J29" s="243">
        <f>H29*(I29/100)</f>
        <v>2593.7999999999997</v>
      </c>
      <c r="K29" s="243">
        <f>J29+H29</f>
        <v>17003.8</v>
      </c>
      <c r="L29" s="243">
        <f>K29*G29</f>
        <v>68015.199999999997</v>
      </c>
      <c r="M29">
        <f t="shared" si="3"/>
        <v>68015.199999999997</v>
      </c>
    </row>
    <row r="30" spans="3:19" ht="15" thickBot="1" x14ac:dyDescent="0.35">
      <c r="C30" s="243"/>
      <c r="D30" s="244"/>
      <c r="E30" s="244"/>
      <c r="G30" s="244"/>
      <c r="H30" s="244"/>
      <c r="I30" s="244"/>
      <c r="J30" s="243"/>
      <c r="K30" s="243"/>
      <c r="L30" s="243"/>
    </row>
    <row r="31" spans="3:19" ht="15" thickBot="1" x14ac:dyDescent="0.35">
      <c r="D31" s="243"/>
      <c r="E31" s="243"/>
      <c r="F31" s="243"/>
      <c r="G31" s="243"/>
      <c r="H31" s="243"/>
      <c r="I31" s="243">
        <f>SUMPRODUCT(G19:G29,H19:H29)</f>
        <v>908171</v>
      </c>
      <c r="J31" s="243"/>
      <c r="K31" s="243"/>
      <c r="L31" s="243"/>
    </row>
    <row r="32" spans="3:19" ht="15" thickBot="1" x14ac:dyDescent="0.35">
      <c r="C32" s="490" t="s">
        <v>423</v>
      </c>
      <c r="D32" s="491"/>
      <c r="E32" s="491"/>
      <c r="F32" s="491"/>
      <c r="G32" s="491"/>
      <c r="H32" s="491"/>
      <c r="I32" s="491"/>
      <c r="J32" s="491"/>
      <c r="K32" s="492"/>
      <c r="L32" s="236">
        <f>SUM(L19:L29)</f>
        <v>1071641.78</v>
      </c>
      <c r="O32">
        <f>L32*12</f>
        <v>12859701.359999999</v>
      </c>
      <c r="P32">
        <f>O32*1.16</f>
        <v>14917253.577599999</v>
      </c>
    </row>
    <row r="33" spans="9:16" x14ac:dyDescent="0.3">
      <c r="I33">
        <f>I31*12</f>
        <v>10898052</v>
      </c>
    </row>
    <row r="34" spans="9:16" x14ac:dyDescent="0.3">
      <c r="O34">
        <v>938577</v>
      </c>
      <c r="P34">
        <f>O34/O35*100</f>
        <v>92.297412245981675</v>
      </c>
    </row>
    <row r="35" spans="9:16" x14ac:dyDescent="0.3">
      <c r="L35">
        <v>913756</v>
      </c>
      <c r="M35">
        <f>L35/1.18</f>
        <v>774369.49152542371</v>
      </c>
      <c r="O35">
        <v>1016905</v>
      </c>
    </row>
  </sheetData>
  <mergeCells count="8">
    <mergeCell ref="L15:L17"/>
    <mergeCell ref="C18:L18"/>
    <mergeCell ref="C32:K32"/>
    <mergeCell ref="C21:E21"/>
    <mergeCell ref="C25:E25"/>
    <mergeCell ref="C28:E28"/>
    <mergeCell ref="I15:J15"/>
    <mergeCell ref="I16: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28052-B31B-4765-9BD0-D24FDCD346F9}">
  <sheetPr>
    <pageSetUpPr fitToPage="1"/>
  </sheetPr>
  <dimension ref="A1:P102"/>
  <sheetViews>
    <sheetView topLeftCell="A3" zoomScale="130" zoomScaleNormal="130" workbookViewId="0">
      <selection sqref="A1:F22"/>
    </sheetView>
  </sheetViews>
  <sheetFormatPr defaultRowHeight="14.4" x14ac:dyDescent="0.3"/>
  <cols>
    <col min="1" max="1" width="8.88671875" style="59"/>
    <col min="2" max="2" width="35.6640625" customWidth="1"/>
    <col min="3" max="3" width="10.6640625" customWidth="1"/>
    <col min="4" max="4" width="9.33203125" customWidth="1"/>
    <col min="5" max="5" width="11.44140625" bestFit="1" customWidth="1"/>
    <col min="6" max="6" width="13.5546875" customWidth="1"/>
    <col min="7" max="7" width="15.88671875" customWidth="1"/>
    <col min="8" max="8" width="13.88671875"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x14ac:dyDescent="0.3">
      <c r="F1" s="39"/>
      <c r="G1" s="39"/>
      <c r="H1" s="39"/>
    </row>
    <row r="2" spans="1:14" ht="40.799999999999997" x14ac:dyDescent="0.3">
      <c r="A2" s="65" t="s">
        <v>222</v>
      </c>
      <c r="B2" s="66" t="s">
        <v>223</v>
      </c>
      <c r="C2" s="66" t="s">
        <v>224</v>
      </c>
      <c r="D2" s="67" t="s">
        <v>225</v>
      </c>
      <c r="E2" s="67" t="s">
        <v>226</v>
      </c>
      <c r="F2" s="68" t="s">
        <v>227</v>
      </c>
      <c r="G2" s="305"/>
    </row>
    <row r="3" spans="1:14" x14ac:dyDescent="0.3">
      <c r="A3" s="384" t="s">
        <v>579</v>
      </c>
      <c r="B3" s="378"/>
      <c r="C3" s="378"/>
      <c r="D3" s="378"/>
      <c r="E3" s="378"/>
      <c r="F3" s="379"/>
      <c r="G3" s="306"/>
      <c r="H3" s="1"/>
      <c r="I3" s="1"/>
      <c r="J3" s="1"/>
    </row>
    <row r="4" spans="1:14" ht="20.399999999999999" x14ac:dyDescent="0.3">
      <c r="A4" s="385">
        <v>1</v>
      </c>
      <c r="B4" s="312" t="s">
        <v>594</v>
      </c>
      <c r="C4" s="70">
        <v>2</v>
      </c>
      <c r="D4" s="71"/>
      <c r="E4" s="71"/>
      <c r="F4" s="72">
        <f>SUM(F5:F7)*C4</f>
        <v>6201576</v>
      </c>
      <c r="G4" s="307"/>
      <c r="H4" s="41"/>
      <c r="M4" t="s">
        <v>213</v>
      </c>
      <c r="N4" s="40">
        <v>4449</v>
      </c>
    </row>
    <row r="5" spans="1:14" x14ac:dyDescent="0.3">
      <c r="A5" s="385"/>
      <c r="B5" s="313" t="s">
        <v>236</v>
      </c>
      <c r="C5" s="74">
        <v>1</v>
      </c>
      <c r="D5" s="75">
        <v>49649</v>
      </c>
      <c r="E5" s="75">
        <f>D5*C5</f>
        <v>49649</v>
      </c>
      <c r="F5" s="75">
        <f>E5*12</f>
        <v>595788</v>
      </c>
      <c r="G5" s="308"/>
      <c r="H5" s="41"/>
      <c r="M5" t="s">
        <v>214</v>
      </c>
      <c r="N5" s="40">
        <v>7349</v>
      </c>
    </row>
    <row r="6" spans="1:14" x14ac:dyDescent="0.3">
      <c r="A6" s="385"/>
      <c r="B6" s="314" t="s">
        <v>230</v>
      </c>
      <c r="C6" s="74">
        <v>240</v>
      </c>
      <c r="D6" s="77">
        <v>849</v>
      </c>
      <c r="E6" s="75">
        <f>D6*C6</f>
        <v>203760</v>
      </c>
      <c r="F6" s="75">
        <f>E6*12</f>
        <v>2445120</v>
      </c>
      <c r="G6" s="308"/>
      <c r="H6" s="41"/>
      <c r="M6" t="s">
        <v>215</v>
      </c>
      <c r="N6">
        <v>13349</v>
      </c>
    </row>
    <row r="7" spans="1:14" x14ac:dyDescent="0.3">
      <c r="A7" s="385"/>
      <c r="B7" s="315" t="s">
        <v>231</v>
      </c>
      <c r="C7" s="74">
        <v>10</v>
      </c>
      <c r="D7" s="79">
        <v>499</v>
      </c>
      <c r="E7" s="75">
        <f>D7*C7</f>
        <v>4990</v>
      </c>
      <c r="F7" s="75">
        <f>E7*12</f>
        <v>59880</v>
      </c>
      <c r="G7" s="308"/>
      <c r="H7" s="41"/>
      <c r="M7" t="s">
        <v>216</v>
      </c>
      <c r="N7">
        <v>19949</v>
      </c>
    </row>
    <row r="8" spans="1:14" x14ac:dyDescent="0.3">
      <c r="A8" s="322"/>
      <c r="B8" s="316"/>
      <c r="C8" s="74"/>
      <c r="D8" s="79"/>
      <c r="E8" s="75"/>
      <c r="F8" s="75"/>
      <c r="G8" s="308"/>
      <c r="H8" s="41"/>
      <c r="J8" t="s">
        <v>266</v>
      </c>
    </row>
    <row r="9" spans="1:14" x14ac:dyDescent="0.3">
      <c r="A9" s="323"/>
      <c r="B9" s="317" t="s">
        <v>240</v>
      </c>
      <c r="C9" s="87"/>
      <c r="D9" s="87"/>
      <c r="E9" s="87"/>
      <c r="F9" s="303">
        <f>F4</f>
        <v>6201576</v>
      </c>
      <c r="G9" s="309"/>
      <c r="H9" s="41"/>
    </row>
    <row r="10" spans="1:14" x14ac:dyDescent="0.3">
      <c r="A10" s="322"/>
      <c r="B10" s="316"/>
      <c r="C10" s="74"/>
      <c r="D10" s="79"/>
      <c r="E10" s="75"/>
      <c r="F10" s="75"/>
      <c r="G10" s="308"/>
      <c r="H10" s="41"/>
    </row>
    <row r="11" spans="1:14" x14ac:dyDescent="0.3">
      <c r="A11" s="322"/>
      <c r="B11" s="318" t="s">
        <v>241</v>
      </c>
      <c r="C11" s="74"/>
      <c r="D11" s="79"/>
      <c r="E11" s="75"/>
      <c r="F11" s="75"/>
      <c r="G11" s="308"/>
      <c r="H11" s="41"/>
      <c r="I11">
        <v>1850</v>
      </c>
      <c r="J11">
        <f>25000/12</f>
        <v>2083.3333333333335</v>
      </c>
    </row>
    <row r="12" spans="1:14" x14ac:dyDescent="0.3">
      <c r="A12" s="322">
        <v>1</v>
      </c>
      <c r="B12" s="319" t="s">
        <v>237</v>
      </c>
      <c r="C12" s="74">
        <v>2</v>
      </c>
      <c r="D12" s="79">
        <v>2083</v>
      </c>
      <c r="E12" s="75">
        <f>D12*C12</f>
        <v>4166</v>
      </c>
      <c r="F12" s="75">
        <f>E12*12</f>
        <v>49992</v>
      </c>
      <c r="G12" s="308"/>
      <c r="H12" s="41"/>
    </row>
    <row r="13" spans="1:14" x14ac:dyDescent="0.3">
      <c r="A13" s="322">
        <v>2</v>
      </c>
      <c r="B13" s="319" t="s">
        <v>267</v>
      </c>
      <c r="C13" s="74">
        <v>1</v>
      </c>
      <c r="D13" s="79">
        <v>4670</v>
      </c>
      <c r="E13" s="75">
        <f>D13*C13</f>
        <v>4670</v>
      </c>
      <c r="F13" s="75">
        <f>E13*12</f>
        <v>56040</v>
      </c>
      <c r="G13" s="308"/>
      <c r="H13" s="41"/>
    </row>
    <row r="14" spans="1:14" x14ac:dyDescent="0.3">
      <c r="A14" s="322">
        <v>3</v>
      </c>
      <c r="B14" s="319" t="s">
        <v>578</v>
      </c>
      <c r="C14" s="74">
        <v>8</v>
      </c>
      <c r="D14" s="79">
        <v>1950</v>
      </c>
      <c r="E14" s="75">
        <f>C14*D14</f>
        <v>15600</v>
      </c>
      <c r="F14" s="75">
        <f>E14*12</f>
        <v>187200</v>
      </c>
      <c r="G14" s="308"/>
      <c r="H14" s="41"/>
    </row>
    <row r="15" spans="1:14" x14ac:dyDescent="0.3">
      <c r="A15" s="324">
        <v>5</v>
      </c>
      <c r="B15" s="320" t="s">
        <v>287</v>
      </c>
      <c r="C15" s="74">
        <v>2</v>
      </c>
      <c r="D15" s="79">
        <v>1340</v>
      </c>
      <c r="E15" s="75">
        <f>D15*C15</f>
        <v>2680</v>
      </c>
      <c r="F15" s="75">
        <f>E15*12</f>
        <v>32160</v>
      </c>
      <c r="G15" s="308"/>
      <c r="H15" s="41"/>
      <c r="I15" t="s">
        <v>256</v>
      </c>
      <c r="J15" s="95">
        <v>2644848</v>
      </c>
    </row>
    <row r="16" spans="1:14" x14ac:dyDescent="0.3">
      <c r="A16" s="324">
        <v>6</v>
      </c>
      <c r="B16" s="320" t="s">
        <v>244</v>
      </c>
      <c r="C16" s="74">
        <v>0</v>
      </c>
      <c r="D16" s="79">
        <v>13440</v>
      </c>
      <c r="E16" s="75">
        <f>D16*C16</f>
        <v>0</v>
      </c>
      <c r="F16" s="75">
        <f>E16*12</f>
        <v>0</v>
      </c>
      <c r="G16" s="308"/>
      <c r="H16" s="41"/>
      <c r="I16" t="s">
        <v>257</v>
      </c>
      <c r="J16" s="95">
        <v>6988430</v>
      </c>
    </row>
    <row r="17" spans="1:16" x14ac:dyDescent="0.3">
      <c r="A17" s="324"/>
      <c r="B17" s="321"/>
      <c r="C17" s="75"/>
      <c r="D17" s="75"/>
      <c r="E17" s="75"/>
      <c r="F17" s="75"/>
      <c r="G17" s="310"/>
    </row>
    <row r="18" spans="1:16" x14ac:dyDescent="0.3">
      <c r="J18" s="96">
        <f>SUM(J15:J16)</f>
        <v>9633278</v>
      </c>
    </row>
    <row r="19" spans="1:16" x14ac:dyDescent="0.3">
      <c r="A19" s="87"/>
      <c r="B19" s="66" t="s">
        <v>242</v>
      </c>
      <c r="C19" s="87"/>
      <c r="D19" s="87"/>
      <c r="E19" s="87"/>
      <c r="F19" s="303">
        <f>SUM(F12:F17)</f>
        <v>325392</v>
      </c>
      <c r="G19" s="309"/>
    </row>
    <row r="20" spans="1:16" x14ac:dyDescent="0.3">
      <c r="A20" s="87"/>
      <c r="B20" s="87" t="s">
        <v>246</v>
      </c>
      <c r="C20" s="87"/>
      <c r="D20" s="87"/>
      <c r="E20" s="87"/>
      <c r="F20" s="303">
        <f>F19+F9</f>
        <v>6526968</v>
      </c>
      <c r="G20" s="308"/>
    </row>
    <row r="21" spans="1:16" x14ac:dyDescent="0.3">
      <c r="A21" s="87"/>
      <c r="B21" s="87"/>
      <c r="C21" s="74"/>
      <c r="D21" s="87"/>
      <c r="E21" s="87"/>
      <c r="F21" s="303"/>
      <c r="G21" s="308"/>
    </row>
    <row r="22" spans="1:16" x14ac:dyDescent="0.3">
      <c r="A22" s="87"/>
      <c r="B22" s="93" t="s">
        <v>248</v>
      </c>
      <c r="C22" s="87"/>
      <c r="D22" s="87"/>
      <c r="E22" s="87"/>
      <c r="F22" s="92">
        <f>F20</f>
        <v>6526968</v>
      </c>
      <c r="G22" s="311"/>
    </row>
    <row r="23" spans="1:16" x14ac:dyDescent="0.3">
      <c r="F23" s="92"/>
      <c r="G23" s="311"/>
    </row>
    <row r="25" spans="1:16" ht="15" thickBot="1" x14ac:dyDescent="0.35">
      <c r="F25" s="289">
        <f>SUM(F22:F23)</f>
        <v>6526968</v>
      </c>
      <c r="G25" s="289"/>
      <c r="K25" s="298" t="s">
        <v>556</v>
      </c>
      <c r="L25" s="298" t="s">
        <v>557</v>
      </c>
      <c r="M25" s="298" t="s">
        <v>308</v>
      </c>
      <c r="N25" s="298" t="s">
        <v>309</v>
      </c>
      <c r="O25" s="298" t="s">
        <v>558</v>
      </c>
      <c r="P25" s="298" t="s">
        <v>559</v>
      </c>
    </row>
    <row r="26" spans="1:16" ht="86.4" x14ac:dyDescent="0.3">
      <c r="B26" s="100"/>
      <c r="C26" s="103"/>
      <c r="D26" s="91"/>
      <c r="E26" s="91"/>
      <c r="I26" s="100"/>
      <c r="J26" s="292"/>
      <c r="K26" s="299">
        <v>1</v>
      </c>
      <c r="L26" s="299" t="s">
        <v>539</v>
      </c>
      <c r="M26" s="300" t="s">
        <v>541</v>
      </c>
      <c r="N26" s="299">
        <v>2</v>
      </c>
      <c r="O26" s="301">
        <v>480000</v>
      </c>
      <c r="P26" s="299">
        <f>N26*O26</f>
        <v>960000</v>
      </c>
    </row>
    <row r="27" spans="1:16" ht="86.4" x14ac:dyDescent="0.3">
      <c r="B27" s="101"/>
      <c r="C27" s="98"/>
      <c r="I27" s="101"/>
      <c r="J27" s="293"/>
      <c r="K27" s="299">
        <v>2</v>
      </c>
      <c r="L27" s="299" t="s">
        <v>333</v>
      </c>
      <c r="M27" s="300" t="s">
        <v>542</v>
      </c>
      <c r="N27" s="299">
        <v>2</v>
      </c>
      <c r="O27" s="301">
        <v>720000</v>
      </c>
      <c r="P27" s="299">
        <f t="shared" ref="P27:P33" si="0">N27*O27</f>
        <v>1440000</v>
      </c>
    </row>
    <row r="28" spans="1:16" ht="100.8" x14ac:dyDescent="0.3">
      <c r="B28" s="101"/>
      <c r="C28" s="98"/>
      <c r="I28" s="101"/>
      <c r="J28" s="293"/>
      <c r="K28" s="299">
        <v>3</v>
      </c>
      <c r="L28" s="299" t="s">
        <v>540</v>
      </c>
      <c r="M28" s="300" t="s">
        <v>547</v>
      </c>
      <c r="N28" s="299">
        <v>2</v>
      </c>
      <c r="O28" s="301">
        <v>840000</v>
      </c>
      <c r="P28" s="299">
        <f t="shared" si="0"/>
        <v>1680000</v>
      </c>
    </row>
    <row r="29" spans="1:16" ht="28.8" x14ac:dyDescent="0.3">
      <c r="B29" s="101"/>
      <c r="C29" s="98"/>
      <c r="D29" s="98"/>
      <c r="E29" s="91"/>
      <c r="I29" s="101"/>
      <c r="J29" s="293"/>
      <c r="K29" s="299">
        <v>4</v>
      </c>
      <c r="L29" s="299" t="s">
        <v>543</v>
      </c>
      <c r="M29" s="300" t="s">
        <v>544</v>
      </c>
      <c r="N29" s="299">
        <v>1</v>
      </c>
      <c r="O29" s="301">
        <v>3480000</v>
      </c>
      <c r="P29" s="299">
        <f t="shared" si="0"/>
        <v>3480000</v>
      </c>
    </row>
    <row r="30" spans="1:16" x14ac:dyDescent="0.3">
      <c r="B30" s="101"/>
      <c r="C30" s="98"/>
      <c r="D30" s="98"/>
      <c r="F30" s="91"/>
      <c r="G30" s="91"/>
      <c r="I30" s="101"/>
      <c r="J30" s="293"/>
      <c r="K30" s="299">
        <v>5</v>
      </c>
      <c r="L30" s="299" t="s">
        <v>545</v>
      </c>
      <c r="M30" s="300" t="s">
        <v>546</v>
      </c>
      <c r="N30" s="299">
        <v>2</v>
      </c>
      <c r="O30" s="301">
        <v>480000</v>
      </c>
      <c r="P30" s="299">
        <f t="shared" si="0"/>
        <v>960000</v>
      </c>
    </row>
    <row r="31" spans="1:16" ht="43.2" x14ac:dyDescent="0.3">
      <c r="B31" s="102"/>
      <c r="C31" s="99"/>
      <c r="D31" s="99"/>
      <c r="I31" s="101"/>
      <c r="J31" s="293"/>
      <c r="K31" s="299">
        <v>6</v>
      </c>
      <c r="L31" s="299" t="s">
        <v>548</v>
      </c>
      <c r="M31" s="300" t="s">
        <v>549</v>
      </c>
      <c r="N31" s="299">
        <v>2</v>
      </c>
      <c r="O31" s="301">
        <v>620000</v>
      </c>
      <c r="P31" s="299">
        <f t="shared" si="0"/>
        <v>1240000</v>
      </c>
    </row>
    <row r="32" spans="1:16" x14ac:dyDescent="0.3">
      <c r="I32" s="101"/>
      <c r="J32" s="294"/>
      <c r="K32" s="299">
        <v>7</v>
      </c>
      <c r="L32" s="299" t="s">
        <v>554</v>
      </c>
      <c r="M32" s="299"/>
      <c r="N32" s="299">
        <v>6</v>
      </c>
      <c r="O32" s="301">
        <v>220000</v>
      </c>
      <c r="P32" s="299">
        <f t="shared" si="0"/>
        <v>1320000</v>
      </c>
    </row>
    <row r="33" spans="1:16" x14ac:dyDescent="0.3">
      <c r="I33" s="101"/>
      <c r="J33" s="295"/>
      <c r="K33" s="299">
        <v>8</v>
      </c>
      <c r="L33" s="299" t="s">
        <v>560</v>
      </c>
      <c r="M33" s="299"/>
      <c r="N33" s="299">
        <v>12</v>
      </c>
      <c r="O33" s="301">
        <v>650000</v>
      </c>
      <c r="P33" s="299">
        <f t="shared" si="0"/>
        <v>7800000</v>
      </c>
    </row>
    <row r="34" spans="1:16" ht="15" thickBot="1" x14ac:dyDescent="0.35">
      <c r="A34" s="65"/>
      <c r="B34" s="66"/>
      <c r="C34" s="66"/>
      <c r="D34" s="67"/>
      <c r="E34" s="67"/>
      <c r="F34" s="68"/>
      <c r="G34" s="305"/>
      <c r="I34" s="102"/>
      <c r="J34" s="296"/>
      <c r="K34" s="299"/>
      <c r="L34" s="299"/>
      <c r="M34" s="299"/>
      <c r="N34" s="299"/>
      <c r="O34" s="299"/>
      <c r="P34" s="299"/>
    </row>
    <row r="35" spans="1:16" ht="15" thickBot="1" x14ac:dyDescent="0.35">
      <c r="A35" s="377"/>
      <c r="B35" s="378"/>
      <c r="C35" s="378"/>
      <c r="D35" s="378"/>
      <c r="E35" s="378"/>
      <c r="F35" s="379"/>
      <c r="G35" s="306"/>
      <c r="I35" s="115"/>
      <c r="J35" s="297"/>
      <c r="K35" s="299"/>
      <c r="L35" s="299"/>
      <c r="M35" s="299"/>
      <c r="N35" s="299"/>
      <c r="O35" s="299"/>
      <c r="P35" s="302">
        <f>SUM(P26:P33)</f>
        <v>18880000</v>
      </c>
    </row>
    <row r="36" spans="1:16" ht="15" thickBot="1" x14ac:dyDescent="0.35">
      <c r="A36" s="369"/>
      <c r="B36" s="69"/>
      <c r="C36" s="70"/>
      <c r="D36" s="71"/>
      <c r="E36" s="71"/>
      <c r="F36" s="72"/>
      <c r="G36" s="307"/>
      <c r="I36" s="117"/>
      <c r="J36" s="110"/>
      <c r="K36" s="290"/>
      <c r="L36" s="290"/>
      <c r="M36" s="290"/>
      <c r="N36" s="290"/>
      <c r="O36" s="290"/>
      <c r="P36" s="291"/>
    </row>
    <row r="37" spans="1:16" ht="15" thickBot="1" x14ac:dyDescent="0.35">
      <c r="A37" s="370"/>
      <c r="B37" s="73"/>
      <c r="C37" s="74"/>
      <c r="D37" s="75"/>
      <c r="E37" s="75"/>
      <c r="F37" s="75"/>
      <c r="G37" s="308"/>
      <c r="I37" s="117"/>
      <c r="J37" s="110"/>
      <c r="K37" s="290"/>
      <c r="L37" s="290"/>
      <c r="M37" s="290"/>
      <c r="N37" s="290"/>
      <c r="O37" s="290"/>
      <c r="P37" s="290"/>
    </row>
    <row r="38" spans="1:16" x14ac:dyDescent="0.3">
      <c r="A38" s="370"/>
      <c r="B38" s="76"/>
      <c r="C38" s="74"/>
      <c r="D38" s="77"/>
      <c r="E38" s="75"/>
      <c r="F38" s="75"/>
      <c r="G38" s="308"/>
      <c r="K38" s="290"/>
      <c r="L38" s="290"/>
      <c r="M38" s="290"/>
      <c r="N38" s="290"/>
      <c r="O38" s="290"/>
      <c r="P38" s="290"/>
    </row>
    <row r="39" spans="1:16" x14ac:dyDescent="0.3">
      <c r="A39" s="371"/>
      <c r="B39" s="78"/>
      <c r="C39" s="74"/>
      <c r="D39" s="79"/>
      <c r="E39" s="75"/>
      <c r="F39" s="75"/>
      <c r="G39" s="308"/>
      <c r="K39" s="290"/>
      <c r="L39" s="290"/>
      <c r="M39" s="290"/>
      <c r="N39" s="290"/>
      <c r="O39" s="290"/>
      <c r="P39" s="290"/>
    </row>
    <row r="40" spans="1:16" x14ac:dyDescent="0.3">
      <c r="A40" s="381"/>
      <c r="B40" s="69"/>
      <c r="C40" s="70"/>
      <c r="D40" s="71"/>
      <c r="E40" s="71"/>
      <c r="F40" s="72"/>
      <c r="G40" s="307"/>
      <c r="K40" s="380" t="s">
        <v>550</v>
      </c>
      <c r="L40" s="380"/>
      <c r="M40" s="380"/>
      <c r="N40" s="380"/>
      <c r="O40" s="380"/>
      <c r="P40" s="380"/>
    </row>
    <row r="41" spans="1:16" x14ac:dyDescent="0.3">
      <c r="A41" s="382"/>
      <c r="B41" s="73"/>
      <c r="C41" s="74"/>
      <c r="D41" s="75"/>
      <c r="E41" s="75"/>
      <c r="F41" s="75"/>
      <c r="G41" s="308"/>
      <c r="K41" s="299"/>
      <c r="L41" s="299"/>
      <c r="M41" s="299"/>
      <c r="N41" s="299"/>
      <c r="O41" s="299" t="s">
        <v>553</v>
      </c>
      <c r="P41" s="299"/>
    </row>
    <row r="42" spans="1:16" x14ac:dyDescent="0.3">
      <c r="A42" s="382"/>
      <c r="B42" s="76"/>
      <c r="C42" s="74"/>
      <c r="D42" s="77"/>
      <c r="E42" s="75"/>
      <c r="F42" s="75"/>
      <c r="G42" s="308"/>
      <c r="K42" s="299">
        <v>1</v>
      </c>
      <c r="L42" s="299" t="s">
        <v>551</v>
      </c>
      <c r="M42" s="299"/>
      <c r="N42" s="299">
        <v>2</v>
      </c>
      <c r="O42" s="301">
        <v>840000</v>
      </c>
      <c r="P42" s="299">
        <f>N42*O42</f>
        <v>1680000</v>
      </c>
    </row>
    <row r="43" spans="1:16" x14ac:dyDescent="0.3">
      <c r="A43" s="383"/>
      <c r="B43" s="78"/>
      <c r="C43" s="74"/>
      <c r="D43" s="79"/>
      <c r="E43" s="75"/>
      <c r="F43" s="75"/>
      <c r="G43" s="308"/>
      <c r="K43" s="299">
        <v>2</v>
      </c>
      <c r="L43" s="299" t="s">
        <v>552</v>
      </c>
      <c r="M43" s="299"/>
      <c r="N43" s="299">
        <v>2</v>
      </c>
      <c r="O43" s="301">
        <v>1640000</v>
      </c>
      <c r="P43" s="299">
        <f>N43*O43</f>
        <v>3280000</v>
      </c>
    </row>
    <row r="44" spans="1:16" x14ac:dyDescent="0.3">
      <c r="A44" s="381"/>
      <c r="B44" s="69"/>
      <c r="C44" s="70"/>
      <c r="D44" s="71"/>
      <c r="E44" s="71"/>
      <c r="F44" s="72"/>
      <c r="G44" s="307"/>
      <c r="K44" s="299">
        <v>3</v>
      </c>
      <c r="L44" s="299" t="s">
        <v>555</v>
      </c>
      <c r="M44" s="299"/>
      <c r="N44" s="299">
        <v>6</v>
      </c>
      <c r="O44" s="301">
        <v>600000</v>
      </c>
      <c r="P44" s="299">
        <f>N44*O44</f>
        <v>3600000</v>
      </c>
    </row>
    <row r="45" spans="1:16" x14ac:dyDescent="0.3">
      <c r="A45" s="382"/>
      <c r="B45" s="73"/>
      <c r="C45" s="74"/>
      <c r="D45" s="75"/>
      <c r="E45" s="75"/>
      <c r="F45" s="75"/>
      <c r="G45" s="308"/>
      <c r="K45" s="299"/>
      <c r="L45" s="299"/>
      <c r="M45" s="299"/>
      <c r="N45" s="299"/>
      <c r="O45" s="299"/>
      <c r="P45" s="299"/>
    </row>
    <row r="46" spans="1:16" x14ac:dyDescent="0.3">
      <c r="A46" s="382"/>
      <c r="B46" s="76"/>
      <c r="C46" s="74"/>
      <c r="D46" s="77"/>
      <c r="E46" s="75"/>
      <c r="F46" s="75"/>
      <c r="G46" s="308"/>
      <c r="K46" s="299"/>
      <c r="L46" s="299"/>
      <c r="M46" s="299"/>
      <c r="N46" s="299"/>
      <c r="O46" s="299"/>
      <c r="P46" s="302">
        <f>SUM(P42:P44)</f>
        <v>8560000</v>
      </c>
    </row>
    <row r="47" spans="1:16" x14ac:dyDescent="0.3">
      <c r="A47" s="383"/>
      <c r="B47" s="78"/>
      <c r="C47" s="74"/>
      <c r="D47" s="79"/>
      <c r="E47" s="75"/>
      <c r="F47" s="75"/>
      <c r="G47" s="308"/>
    </row>
    <row r="48" spans="1:16" x14ac:dyDescent="0.3">
      <c r="A48" s="381"/>
      <c r="B48" s="69"/>
      <c r="C48" s="70"/>
      <c r="D48" s="71"/>
      <c r="E48" s="71"/>
      <c r="F48" s="72"/>
      <c r="G48" s="307"/>
    </row>
    <row r="49" spans="1:12" x14ac:dyDescent="0.3">
      <c r="A49" s="382"/>
      <c r="B49" s="73"/>
      <c r="C49" s="74"/>
      <c r="D49" s="75"/>
      <c r="E49" s="75"/>
      <c r="F49" s="75"/>
      <c r="G49" s="308"/>
    </row>
    <row r="50" spans="1:12" x14ac:dyDescent="0.3">
      <c r="A50" s="382"/>
      <c r="B50" s="76"/>
      <c r="C50" s="74"/>
      <c r="D50" s="77"/>
      <c r="E50" s="75"/>
      <c r="F50" s="75"/>
      <c r="G50" s="308"/>
    </row>
    <row r="51" spans="1:12" x14ac:dyDescent="0.3">
      <c r="A51" s="383"/>
      <c r="B51" s="78"/>
      <c r="C51" s="74"/>
      <c r="D51" s="79"/>
      <c r="E51" s="75"/>
      <c r="F51" s="75"/>
      <c r="G51" s="308"/>
    </row>
    <row r="52" spans="1:12" x14ac:dyDescent="0.3">
      <c r="A52" s="88"/>
      <c r="B52" s="89"/>
      <c r="C52" s="74"/>
      <c r="D52" s="79"/>
      <c r="E52" s="75"/>
      <c r="F52" s="75"/>
      <c r="G52" s="308"/>
    </row>
    <row r="53" spans="1:12" x14ac:dyDescent="0.3">
      <c r="A53" s="87"/>
      <c r="B53" s="66"/>
      <c r="C53" s="87"/>
      <c r="D53" s="87"/>
      <c r="E53" s="87"/>
      <c r="F53" s="92"/>
      <c r="G53" s="311"/>
    </row>
    <row r="54" spans="1:12" x14ac:dyDescent="0.3">
      <c r="A54" s="81"/>
      <c r="B54" s="89"/>
      <c r="C54" s="74"/>
      <c r="D54" s="79"/>
      <c r="E54" s="75"/>
      <c r="F54" s="75"/>
      <c r="G54" s="308"/>
      <c r="J54" t="s">
        <v>566</v>
      </c>
    </row>
    <row r="55" spans="1:12" x14ac:dyDescent="0.3">
      <c r="A55" s="81"/>
      <c r="B55" s="90"/>
      <c r="C55" s="74"/>
      <c r="D55" s="79"/>
      <c r="E55" s="75"/>
      <c r="F55" s="75"/>
      <c r="G55" s="308"/>
      <c r="H55" t="s">
        <v>564</v>
      </c>
      <c r="I55" t="s">
        <v>63</v>
      </c>
    </row>
    <row r="56" spans="1:12" x14ac:dyDescent="0.3">
      <c r="A56" s="81"/>
      <c r="B56" s="82"/>
      <c r="C56" s="74"/>
      <c r="D56" s="79"/>
      <c r="E56" s="75"/>
      <c r="F56" s="75"/>
      <c r="G56" s="308"/>
    </row>
    <row r="57" spans="1:12" x14ac:dyDescent="0.3">
      <c r="A57" s="81"/>
      <c r="B57" s="82"/>
      <c r="C57" s="74"/>
      <c r="D57" s="79"/>
      <c r="E57" s="75"/>
      <c r="F57" s="75"/>
      <c r="G57" s="308">
        <v>1000</v>
      </c>
      <c r="H57">
        <f>G57*3</f>
        <v>3000</v>
      </c>
      <c r="J57" t="s">
        <v>562</v>
      </c>
      <c r="K57" t="s">
        <v>563</v>
      </c>
      <c r="L57" t="s">
        <v>565</v>
      </c>
    </row>
    <row r="58" spans="1:12" x14ac:dyDescent="0.3">
      <c r="A58" s="83"/>
      <c r="B58" s="84"/>
      <c r="C58" s="74"/>
      <c r="D58" s="79"/>
      <c r="E58" s="75"/>
      <c r="F58" s="75"/>
      <c r="G58" s="308"/>
    </row>
    <row r="59" spans="1:12" x14ac:dyDescent="0.3">
      <c r="A59" s="83"/>
      <c r="B59" s="84"/>
      <c r="C59" s="74"/>
      <c r="D59" s="79"/>
      <c r="E59" s="75"/>
      <c r="F59" s="75"/>
      <c r="G59" s="308"/>
    </row>
    <row r="60" spans="1:12" x14ac:dyDescent="0.3">
      <c r="A60" s="83"/>
      <c r="B60" s="84"/>
      <c r="C60" s="74"/>
      <c r="D60" s="79"/>
      <c r="E60" s="75"/>
      <c r="F60" s="75"/>
      <c r="G60" s="308"/>
    </row>
    <row r="61" spans="1:12" x14ac:dyDescent="0.3">
      <c r="A61" s="83"/>
      <c r="B61" s="68"/>
      <c r="C61" s="74"/>
      <c r="D61" s="75"/>
      <c r="E61" s="85"/>
      <c r="F61" s="75"/>
      <c r="G61" s="308"/>
    </row>
    <row r="62" spans="1:12" x14ac:dyDescent="0.3">
      <c r="A62" s="87"/>
      <c r="B62" s="66"/>
      <c r="C62" s="87"/>
      <c r="D62" s="87"/>
      <c r="E62" s="87"/>
      <c r="F62" s="92"/>
      <c r="G62" s="311"/>
    </row>
    <row r="63" spans="1:12" x14ac:dyDescent="0.3">
      <c r="A63" s="87"/>
      <c r="B63" s="87"/>
      <c r="C63" s="87"/>
      <c r="D63" s="87"/>
      <c r="E63" s="87"/>
      <c r="F63" s="75"/>
      <c r="G63" s="308"/>
    </row>
    <row r="64" spans="1:12" x14ac:dyDescent="0.3">
      <c r="A64" s="87"/>
      <c r="B64" s="87"/>
      <c r="C64" s="87"/>
      <c r="D64" s="87"/>
      <c r="E64" s="87"/>
      <c r="F64" s="75"/>
      <c r="G64" s="308"/>
    </row>
    <row r="65" spans="1:7" x14ac:dyDescent="0.3">
      <c r="A65" s="87"/>
      <c r="B65" s="93"/>
      <c r="C65" s="87"/>
      <c r="D65" s="87"/>
      <c r="E65" s="87"/>
      <c r="F65" s="92"/>
      <c r="G65" s="311"/>
    </row>
    <row r="67" spans="1:7" x14ac:dyDescent="0.3">
      <c r="A67" s="65"/>
      <c r="B67" s="66"/>
      <c r="C67" s="66"/>
      <c r="D67" s="67"/>
      <c r="E67" s="67"/>
      <c r="F67" s="68"/>
      <c r="G67" s="305"/>
    </row>
    <row r="68" spans="1:7" x14ac:dyDescent="0.3">
      <c r="A68" s="377"/>
      <c r="B68" s="378"/>
      <c r="C68" s="378"/>
      <c r="D68" s="378"/>
      <c r="E68" s="378"/>
      <c r="F68" s="379"/>
      <c r="G68" s="306"/>
    </row>
    <row r="69" spans="1:7" x14ac:dyDescent="0.3">
      <c r="A69" s="369"/>
      <c r="B69" s="69"/>
      <c r="C69" s="70"/>
      <c r="D69" s="71"/>
      <c r="E69" s="71"/>
      <c r="F69" s="72"/>
      <c r="G69" s="307"/>
    </row>
    <row r="70" spans="1:7" x14ac:dyDescent="0.3">
      <c r="A70" s="370"/>
      <c r="B70" s="73"/>
      <c r="C70" s="74"/>
      <c r="D70" s="75"/>
      <c r="E70" s="75"/>
      <c r="F70" s="75"/>
      <c r="G70" s="308"/>
    </row>
    <row r="71" spans="1:7" x14ac:dyDescent="0.3">
      <c r="A71" s="370"/>
      <c r="B71" s="76"/>
      <c r="C71" s="74"/>
      <c r="D71" s="77"/>
      <c r="E71" s="75"/>
      <c r="F71" s="75"/>
      <c r="G71" s="308"/>
    </row>
    <row r="72" spans="1:7" x14ac:dyDescent="0.3">
      <c r="A72" s="371"/>
      <c r="B72" s="78"/>
      <c r="C72" s="74"/>
      <c r="D72" s="79"/>
      <c r="E72" s="75"/>
      <c r="F72" s="75"/>
      <c r="G72" s="308"/>
    </row>
    <row r="73" spans="1:7" x14ac:dyDescent="0.3">
      <c r="A73" s="369"/>
      <c r="B73" s="69"/>
      <c r="C73" s="70"/>
      <c r="D73" s="71"/>
      <c r="E73" s="71"/>
      <c r="F73" s="72"/>
      <c r="G73" s="307"/>
    </row>
    <row r="74" spans="1:7" x14ac:dyDescent="0.3">
      <c r="A74" s="370"/>
      <c r="B74" s="73"/>
      <c r="C74" s="74"/>
      <c r="D74" s="75"/>
      <c r="E74" s="75"/>
      <c r="F74" s="75"/>
      <c r="G74" s="308"/>
    </row>
    <row r="75" spans="1:7" x14ac:dyDescent="0.3">
      <c r="A75" s="370"/>
      <c r="B75" s="76"/>
      <c r="C75" s="74"/>
      <c r="D75" s="77"/>
      <c r="E75" s="75"/>
      <c r="F75" s="75"/>
      <c r="G75" s="308"/>
    </row>
    <row r="76" spans="1:7" x14ac:dyDescent="0.3">
      <c r="A76" s="371"/>
      <c r="B76" s="78"/>
      <c r="C76" s="74"/>
      <c r="D76" s="79"/>
      <c r="E76" s="75"/>
      <c r="F76" s="75"/>
      <c r="G76" s="308"/>
    </row>
    <row r="77" spans="1:7" x14ac:dyDescent="0.3">
      <c r="A77" s="381"/>
      <c r="B77" s="69"/>
      <c r="C77" s="70"/>
      <c r="D77" s="71"/>
      <c r="E77" s="71"/>
      <c r="F77" s="72"/>
      <c r="G77" s="307"/>
    </row>
    <row r="78" spans="1:7" x14ac:dyDescent="0.3">
      <c r="A78" s="382"/>
      <c r="B78" s="73"/>
      <c r="C78" s="74"/>
      <c r="D78" s="75"/>
      <c r="E78" s="75"/>
      <c r="F78" s="75"/>
      <c r="G78" s="308"/>
    </row>
    <row r="79" spans="1:7" x14ac:dyDescent="0.3">
      <c r="A79" s="382"/>
      <c r="B79" s="76"/>
      <c r="C79" s="74"/>
      <c r="D79" s="77"/>
      <c r="E79" s="75"/>
      <c r="F79" s="75"/>
      <c r="G79" s="308"/>
    </row>
    <row r="80" spans="1:7" x14ac:dyDescent="0.3">
      <c r="A80" s="383"/>
      <c r="B80" s="78"/>
      <c r="C80" s="74"/>
      <c r="D80" s="79"/>
      <c r="E80" s="75"/>
      <c r="F80" s="75"/>
      <c r="G80" s="308"/>
    </row>
    <row r="81" spans="1:7" x14ac:dyDescent="0.3">
      <c r="A81" s="381"/>
      <c r="B81" s="69"/>
      <c r="C81" s="70"/>
      <c r="D81" s="71"/>
      <c r="E81" s="71"/>
      <c r="F81" s="72"/>
      <c r="G81" s="307"/>
    </row>
    <row r="82" spans="1:7" x14ac:dyDescent="0.3">
      <c r="A82" s="382"/>
      <c r="B82" s="73"/>
      <c r="C82" s="74"/>
      <c r="D82" s="75"/>
      <c r="E82" s="75"/>
      <c r="F82" s="75"/>
      <c r="G82" s="308"/>
    </row>
    <row r="83" spans="1:7" x14ac:dyDescent="0.3">
      <c r="A83" s="382"/>
      <c r="B83" s="76"/>
      <c r="C83" s="74"/>
      <c r="D83" s="77"/>
      <c r="E83" s="75"/>
      <c r="F83" s="75"/>
      <c r="G83" s="308"/>
    </row>
    <row r="84" spans="1:7" x14ac:dyDescent="0.3">
      <c r="A84" s="383"/>
      <c r="B84" s="78"/>
      <c r="C84" s="74"/>
      <c r="D84" s="79"/>
      <c r="E84" s="75"/>
      <c r="F84" s="75"/>
      <c r="G84" s="308"/>
    </row>
    <row r="85" spans="1:7" x14ac:dyDescent="0.3">
      <c r="A85" s="381"/>
      <c r="B85" s="69"/>
      <c r="C85" s="70"/>
      <c r="D85" s="71"/>
      <c r="E85" s="71"/>
      <c r="F85" s="72"/>
      <c r="G85" s="307"/>
    </row>
    <row r="86" spans="1:7" x14ac:dyDescent="0.3">
      <c r="A86" s="382"/>
      <c r="B86" s="73"/>
      <c r="C86" s="74"/>
      <c r="D86" s="75"/>
      <c r="E86" s="75"/>
      <c r="F86" s="75"/>
      <c r="G86" s="308"/>
    </row>
    <row r="87" spans="1:7" x14ac:dyDescent="0.3">
      <c r="A87" s="382"/>
      <c r="B87" s="76"/>
      <c r="C87" s="74"/>
      <c r="D87" s="77"/>
      <c r="E87" s="75"/>
      <c r="F87" s="75"/>
      <c r="G87" s="308"/>
    </row>
    <row r="88" spans="1:7" x14ac:dyDescent="0.3">
      <c r="A88" s="383"/>
      <c r="B88" s="78"/>
      <c r="C88" s="74"/>
      <c r="D88" s="79"/>
      <c r="E88" s="75"/>
      <c r="F88" s="75"/>
      <c r="G88" s="308"/>
    </row>
    <row r="89" spans="1:7" x14ac:dyDescent="0.3">
      <c r="A89" s="88"/>
      <c r="B89" s="89"/>
      <c r="C89" s="74"/>
      <c r="D89" s="79"/>
      <c r="E89" s="75"/>
      <c r="F89" s="75"/>
      <c r="G89" s="308"/>
    </row>
    <row r="90" spans="1:7" x14ac:dyDescent="0.3">
      <c r="A90" s="87"/>
      <c r="B90" s="66"/>
      <c r="C90" s="87"/>
      <c r="D90" s="87"/>
      <c r="E90" s="87"/>
      <c r="F90" s="92"/>
      <c r="G90" s="311"/>
    </row>
    <row r="91" spans="1:7" x14ac:dyDescent="0.3">
      <c r="A91" s="81"/>
      <c r="B91" s="89"/>
      <c r="C91" s="74"/>
      <c r="D91" s="79"/>
      <c r="E91" s="75"/>
      <c r="F91" s="75"/>
      <c r="G91" s="308"/>
    </row>
    <row r="92" spans="1:7" x14ac:dyDescent="0.3">
      <c r="A92" s="81"/>
      <c r="B92" s="90"/>
      <c r="C92" s="74"/>
      <c r="D92" s="79"/>
      <c r="E92" s="75"/>
      <c r="F92" s="75"/>
      <c r="G92" s="308"/>
    </row>
    <row r="93" spans="1:7" x14ac:dyDescent="0.3">
      <c r="A93" s="81"/>
      <c r="B93" s="82"/>
      <c r="C93" s="74"/>
      <c r="D93" s="79"/>
      <c r="E93" s="75"/>
      <c r="F93" s="75"/>
      <c r="G93" s="308"/>
    </row>
    <row r="94" spans="1:7" x14ac:dyDescent="0.3">
      <c r="A94" s="81"/>
      <c r="B94" s="82"/>
      <c r="C94" s="74"/>
      <c r="D94" s="79"/>
      <c r="E94" s="75"/>
      <c r="F94" s="75"/>
      <c r="G94" s="308"/>
    </row>
    <row r="95" spans="1:7" x14ac:dyDescent="0.3">
      <c r="A95" s="83"/>
      <c r="B95" s="84"/>
      <c r="C95" s="74"/>
      <c r="D95" s="79"/>
      <c r="E95" s="75"/>
      <c r="F95" s="75"/>
      <c r="G95" s="308"/>
    </row>
    <row r="96" spans="1:7" x14ac:dyDescent="0.3">
      <c r="A96" s="83"/>
      <c r="B96" s="84"/>
      <c r="C96" s="74"/>
      <c r="D96" s="79"/>
      <c r="E96" s="75"/>
      <c r="F96" s="75"/>
      <c r="G96" s="308"/>
    </row>
    <row r="97" spans="1:7" x14ac:dyDescent="0.3">
      <c r="A97" s="83"/>
      <c r="B97" s="84"/>
      <c r="C97" s="74"/>
      <c r="D97" s="79"/>
      <c r="E97" s="75"/>
      <c r="F97" s="75"/>
      <c r="G97" s="308"/>
    </row>
    <row r="98" spans="1:7" x14ac:dyDescent="0.3">
      <c r="A98" s="83"/>
      <c r="B98" s="68"/>
      <c r="C98" s="74"/>
      <c r="D98" s="75"/>
      <c r="E98" s="85"/>
      <c r="F98" s="75"/>
      <c r="G98" s="308"/>
    </row>
    <row r="99" spans="1:7" x14ac:dyDescent="0.3">
      <c r="A99" s="87"/>
      <c r="B99" s="66"/>
      <c r="C99" s="87"/>
      <c r="D99" s="87"/>
      <c r="E99" s="87"/>
      <c r="F99" s="92"/>
      <c r="G99" s="311"/>
    </row>
    <row r="100" spans="1:7" x14ac:dyDescent="0.3">
      <c r="A100" s="87"/>
      <c r="B100" s="87"/>
      <c r="C100" s="87"/>
      <c r="D100" s="87"/>
      <c r="E100" s="87"/>
      <c r="F100" s="75"/>
      <c r="G100" s="308"/>
    </row>
    <row r="101" spans="1:7" x14ac:dyDescent="0.3">
      <c r="A101" s="87"/>
      <c r="B101" s="87"/>
      <c r="C101" s="87"/>
      <c r="D101" s="87"/>
      <c r="E101" s="87"/>
      <c r="F101" s="75"/>
      <c r="G101" s="308"/>
    </row>
    <row r="102" spans="1:7" x14ac:dyDescent="0.3">
      <c r="A102" s="87"/>
      <c r="B102" s="93"/>
      <c r="C102" s="87"/>
      <c r="D102" s="87"/>
      <c r="E102" s="87"/>
      <c r="F102" s="92"/>
      <c r="G102" s="311"/>
    </row>
  </sheetData>
  <mergeCells count="14">
    <mergeCell ref="A3:F3"/>
    <mergeCell ref="A4:A7"/>
    <mergeCell ref="A35:F35"/>
    <mergeCell ref="A36:A39"/>
    <mergeCell ref="K40:P40"/>
    <mergeCell ref="A77:A80"/>
    <mergeCell ref="A81:A84"/>
    <mergeCell ref="A85:A88"/>
    <mergeCell ref="A40:A43"/>
    <mergeCell ref="A44:A47"/>
    <mergeCell ref="A48:A51"/>
    <mergeCell ref="A68:F68"/>
    <mergeCell ref="A69:A72"/>
    <mergeCell ref="A73:A76"/>
  </mergeCells>
  <pageMargins left="0.7" right="0.7" top="0.75" bottom="0.75" header="0.3" footer="0.3"/>
  <pageSetup paperSize="9" scale="32"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E4:J15"/>
  <sheetViews>
    <sheetView workbookViewId="0">
      <selection activeCell="A24" sqref="A24"/>
    </sheetView>
  </sheetViews>
  <sheetFormatPr defaultRowHeight="14.4" x14ac:dyDescent="0.3"/>
  <cols>
    <col min="6" max="6" width="80.33203125" bestFit="1" customWidth="1"/>
    <col min="7" max="7" width="10.88671875" bestFit="1" customWidth="1"/>
    <col min="8" max="8" width="10.88671875" customWidth="1"/>
    <col min="9" max="9" width="9.6640625" bestFit="1" customWidth="1"/>
    <col min="10" max="10" width="10.88671875" bestFit="1" customWidth="1"/>
  </cols>
  <sheetData>
    <row r="4" spans="5:10" ht="15" thickBot="1" x14ac:dyDescent="0.35"/>
    <row r="5" spans="5:10" ht="16.2" thickBot="1" x14ac:dyDescent="0.35">
      <c r="E5" s="249" t="s">
        <v>427</v>
      </c>
      <c r="F5" s="503" t="s">
        <v>428</v>
      </c>
      <c r="G5" s="506" t="s">
        <v>429</v>
      </c>
      <c r="H5" s="507"/>
      <c r="I5" s="507"/>
      <c r="J5" s="508"/>
    </row>
    <row r="6" spans="5:10" ht="15.6" x14ac:dyDescent="0.3">
      <c r="E6" s="250" t="s">
        <v>327</v>
      </c>
      <c r="F6" s="504"/>
      <c r="G6" s="252" t="s">
        <v>311</v>
      </c>
      <c r="H6" s="252"/>
      <c r="I6" s="503" t="s">
        <v>430</v>
      </c>
      <c r="J6" s="252" t="s">
        <v>431</v>
      </c>
    </row>
    <row r="7" spans="5:10" ht="16.2" thickBot="1" x14ac:dyDescent="0.35">
      <c r="E7" s="251"/>
      <c r="F7" s="505"/>
      <c r="G7" s="253" t="s">
        <v>411</v>
      </c>
      <c r="H7" s="262" t="s">
        <v>119</v>
      </c>
      <c r="I7" s="505"/>
      <c r="J7" s="253" t="s">
        <v>411</v>
      </c>
    </row>
    <row r="8" spans="5:10" ht="15.6" thickBot="1" x14ac:dyDescent="0.35">
      <c r="E8" s="254">
        <v>1</v>
      </c>
      <c r="F8" s="255" t="s">
        <v>432</v>
      </c>
      <c r="G8" s="256">
        <v>528570</v>
      </c>
      <c r="H8" s="263">
        <f t="shared" ref="H8:H13" si="0">G8/1.04</f>
        <v>508240.38461538462</v>
      </c>
      <c r="I8" s="256">
        <v>95143</v>
      </c>
      <c r="J8" s="256">
        <v>623713</v>
      </c>
    </row>
    <row r="9" spans="5:10" ht="15.6" thickBot="1" x14ac:dyDescent="0.35">
      <c r="E9" s="254">
        <v>2</v>
      </c>
      <c r="F9" s="257" t="s">
        <v>433</v>
      </c>
      <c r="G9" s="256">
        <v>573876</v>
      </c>
      <c r="H9" s="263">
        <f t="shared" si="0"/>
        <v>551803.84615384613</v>
      </c>
      <c r="I9" s="256">
        <v>103298</v>
      </c>
      <c r="J9" s="256">
        <v>677174</v>
      </c>
    </row>
    <row r="10" spans="5:10" ht="15.6" thickBot="1" x14ac:dyDescent="0.35">
      <c r="E10" s="254">
        <v>3</v>
      </c>
      <c r="F10" s="257" t="s">
        <v>414</v>
      </c>
      <c r="G10" s="256">
        <v>1129800</v>
      </c>
      <c r="H10" s="263">
        <f t="shared" si="0"/>
        <v>1086346.1538461538</v>
      </c>
      <c r="I10" s="256">
        <v>203364</v>
      </c>
      <c r="J10" s="256">
        <v>1333164</v>
      </c>
    </row>
    <row r="11" spans="5:10" ht="15.6" thickBot="1" x14ac:dyDescent="0.35">
      <c r="E11" s="254">
        <v>4</v>
      </c>
      <c r="F11" s="257" t="s">
        <v>434</v>
      </c>
      <c r="G11" s="256">
        <v>272025</v>
      </c>
      <c r="H11" s="263">
        <f t="shared" si="0"/>
        <v>261562.5</v>
      </c>
      <c r="I11" s="256">
        <v>48965</v>
      </c>
      <c r="J11" s="256">
        <v>320990</v>
      </c>
    </row>
    <row r="12" spans="5:10" ht="15.6" thickBot="1" x14ac:dyDescent="0.35">
      <c r="E12" s="254">
        <v>5</v>
      </c>
      <c r="F12" s="257" t="s">
        <v>435</v>
      </c>
      <c r="G12" s="256">
        <v>47322</v>
      </c>
      <c r="H12" s="263">
        <f t="shared" si="0"/>
        <v>45501.923076923078</v>
      </c>
      <c r="I12" s="256">
        <v>8518</v>
      </c>
      <c r="J12" s="256">
        <v>55840</v>
      </c>
    </row>
    <row r="13" spans="5:10" ht="15.6" thickBot="1" x14ac:dyDescent="0.35">
      <c r="E13" s="254">
        <v>6</v>
      </c>
      <c r="F13" s="257" t="s">
        <v>421</v>
      </c>
      <c r="G13" s="256">
        <v>172920</v>
      </c>
      <c r="H13" s="263">
        <f t="shared" si="0"/>
        <v>166269.23076923075</v>
      </c>
      <c r="I13" s="256">
        <v>31126</v>
      </c>
      <c r="J13" s="256">
        <v>204046</v>
      </c>
    </row>
    <row r="14" spans="5:10" ht="16.2" thickBot="1" x14ac:dyDescent="0.35">
      <c r="E14" s="258"/>
      <c r="F14" s="259"/>
      <c r="G14" s="260">
        <v>2724513</v>
      </c>
      <c r="H14" s="263">
        <f>SUM(H8:H13)</f>
        <v>2619724.038461538</v>
      </c>
      <c r="I14" s="260">
        <v>490412</v>
      </c>
      <c r="J14" s="260">
        <v>3214925</v>
      </c>
    </row>
    <row r="15" spans="5:10" ht="15" x14ac:dyDescent="0.3">
      <c r="E15" s="261"/>
      <c r="G15">
        <f>G14*4</f>
        <v>10898052</v>
      </c>
      <c r="I15">
        <f>I14*4</f>
        <v>1961648</v>
      </c>
      <c r="J15">
        <f>J14*4</f>
        <v>12859700</v>
      </c>
    </row>
  </sheetData>
  <mergeCells count="3">
    <mergeCell ref="F5:F7"/>
    <mergeCell ref="G5:J5"/>
    <mergeCell ref="I6: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5949-FBB9-422B-AED0-CA42B73B3F23}">
  <sheetPr>
    <pageSetUpPr fitToPage="1"/>
  </sheetPr>
  <dimension ref="A1:N34"/>
  <sheetViews>
    <sheetView topLeftCell="A17" zoomScale="130" zoomScaleNormal="130" workbookViewId="0">
      <selection activeCell="B32" sqref="B32:F32"/>
    </sheetView>
  </sheetViews>
  <sheetFormatPr defaultRowHeight="14.4" x14ac:dyDescent="0.3"/>
  <cols>
    <col min="1" max="1" width="8.88671875" style="59"/>
    <col min="2" max="2" width="35.6640625" customWidth="1"/>
    <col min="3" max="3" width="16.44140625" customWidth="1"/>
    <col min="4" max="4" width="9.109375" customWidth="1"/>
    <col min="5" max="5" width="14.33203125" bestFit="1" customWidth="1"/>
    <col min="6" max="7" width="15.88671875" customWidth="1"/>
    <col min="8" max="8" width="17.44140625" bestFit="1"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ht="15" thickBot="1" x14ac:dyDescent="0.35">
      <c r="F1" s="39"/>
      <c r="G1" s="39"/>
      <c r="H1" s="39"/>
    </row>
    <row r="2" spans="1:14" ht="40.799999999999997" x14ac:dyDescent="0.3">
      <c r="A2" s="337" t="s">
        <v>222</v>
      </c>
      <c r="B2" s="338" t="s">
        <v>223</v>
      </c>
      <c r="C2" s="338" t="s">
        <v>224</v>
      </c>
      <c r="D2" s="339" t="s">
        <v>225</v>
      </c>
      <c r="E2" s="339" t="s">
        <v>226</v>
      </c>
      <c r="F2" s="340" t="s">
        <v>227</v>
      </c>
      <c r="G2" s="305"/>
    </row>
    <row r="3" spans="1:14" ht="15" thickBot="1" x14ac:dyDescent="0.35">
      <c r="A3" s="386" t="s">
        <v>569</v>
      </c>
      <c r="B3" s="387"/>
      <c r="C3" s="387"/>
      <c r="D3" s="387"/>
      <c r="E3" s="387"/>
      <c r="F3" s="387"/>
      <c r="G3" s="306"/>
      <c r="H3" s="1"/>
      <c r="I3" s="1"/>
      <c r="J3" s="1"/>
    </row>
    <row r="4" spans="1:14" x14ac:dyDescent="0.3">
      <c r="A4" s="388">
        <v>1</v>
      </c>
      <c r="B4" s="358" t="s">
        <v>587</v>
      </c>
      <c r="C4" s="359">
        <v>2</v>
      </c>
      <c r="D4" s="360"/>
      <c r="E4" s="360"/>
      <c r="F4" s="361">
        <f>SUM(F5:F7)*C4</f>
        <v>1162080</v>
      </c>
      <c r="G4" s="307"/>
      <c r="H4" s="41"/>
      <c r="M4" t="s">
        <v>213</v>
      </c>
      <c r="N4" s="40">
        <v>4449</v>
      </c>
    </row>
    <row r="5" spans="1:14" x14ac:dyDescent="0.3">
      <c r="A5" s="375"/>
      <c r="B5" s="330" t="s">
        <v>234</v>
      </c>
      <c r="C5" s="331">
        <v>1</v>
      </c>
      <c r="D5" s="332">
        <v>25549</v>
      </c>
      <c r="E5" s="332">
        <f>D5*C5</f>
        <v>25549</v>
      </c>
      <c r="F5" s="342">
        <f>E5*12</f>
        <v>306588</v>
      </c>
      <c r="G5" s="308"/>
      <c r="H5" s="41"/>
      <c r="M5" t="s">
        <v>214</v>
      </c>
      <c r="N5" s="40">
        <v>7349</v>
      </c>
    </row>
    <row r="6" spans="1:14" x14ac:dyDescent="0.3">
      <c r="A6" s="375"/>
      <c r="B6" s="333" t="s">
        <v>230</v>
      </c>
      <c r="C6" s="331">
        <v>24</v>
      </c>
      <c r="D6" s="334">
        <v>849</v>
      </c>
      <c r="E6" s="332">
        <f>D6*C6</f>
        <v>20376</v>
      </c>
      <c r="F6" s="342">
        <f>E6*12</f>
        <v>244512</v>
      </c>
      <c r="G6" s="308"/>
      <c r="H6" s="41"/>
      <c r="M6" t="s">
        <v>215</v>
      </c>
      <c r="N6">
        <v>13349</v>
      </c>
    </row>
    <row r="7" spans="1:14" x14ac:dyDescent="0.3">
      <c r="A7" s="375"/>
      <c r="B7" s="330" t="s">
        <v>231</v>
      </c>
      <c r="C7" s="331">
        <v>5</v>
      </c>
      <c r="D7" s="335">
        <v>499</v>
      </c>
      <c r="E7" s="332">
        <f>D7*C7</f>
        <v>2495</v>
      </c>
      <c r="F7" s="342">
        <f>E7*12</f>
        <v>29940</v>
      </c>
      <c r="G7" s="308"/>
      <c r="H7" s="41"/>
      <c r="M7" t="s">
        <v>216</v>
      </c>
      <c r="N7">
        <v>19949</v>
      </c>
    </row>
    <row r="8" spans="1:14" x14ac:dyDescent="0.3">
      <c r="A8" s="376">
        <v>2</v>
      </c>
      <c r="B8" s="327" t="s">
        <v>588</v>
      </c>
      <c r="C8" s="331">
        <v>4</v>
      </c>
      <c r="D8" s="329"/>
      <c r="E8" s="329"/>
      <c r="F8" s="341">
        <f>SUM(F9:F11)*C8</f>
        <v>2324160</v>
      </c>
      <c r="G8" s="307"/>
      <c r="H8" s="41"/>
      <c r="M8" t="s">
        <v>217</v>
      </c>
      <c r="N8">
        <v>25549</v>
      </c>
    </row>
    <row r="9" spans="1:14" x14ac:dyDescent="0.3">
      <c r="A9" s="376"/>
      <c r="B9" s="330" t="s">
        <v>234</v>
      </c>
      <c r="C9" s="331">
        <v>1</v>
      </c>
      <c r="D9" s="332">
        <v>25549</v>
      </c>
      <c r="E9" s="332">
        <f>D9*C9</f>
        <v>25549</v>
      </c>
      <c r="F9" s="342">
        <f>E9*12</f>
        <v>306588</v>
      </c>
      <c r="G9" s="308"/>
      <c r="H9" s="41"/>
      <c r="M9" t="s">
        <v>218</v>
      </c>
      <c r="N9">
        <v>49649</v>
      </c>
    </row>
    <row r="10" spans="1:14" x14ac:dyDescent="0.3">
      <c r="A10" s="376"/>
      <c r="B10" s="333" t="s">
        <v>230</v>
      </c>
      <c r="C10" s="331">
        <v>24</v>
      </c>
      <c r="D10" s="334">
        <v>849</v>
      </c>
      <c r="E10" s="332">
        <f>D10*C10</f>
        <v>20376</v>
      </c>
      <c r="F10" s="342">
        <f>E10*12</f>
        <v>244512</v>
      </c>
      <c r="G10" s="308"/>
      <c r="H10" s="41"/>
    </row>
    <row r="11" spans="1:14" x14ac:dyDescent="0.3">
      <c r="A11" s="376"/>
      <c r="B11" s="330" t="s">
        <v>232</v>
      </c>
      <c r="C11" s="331">
        <v>5</v>
      </c>
      <c r="D11" s="335">
        <v>499</v>
      </c>
      <c r="E11" s="332">
        <f>D11*C11</f>
        <v>2495</v>
      </c>
      <c r="F11" s="342">
        <f>E11*12</f>
        <v>29940</v>
      </c>
      <c r="G11" s="308"/>
      <c r="H11" s="41"/>
      <c r="I11" s="43"/>
      <c r="J11" s="44" t="s">
        <v>304</v>
      </c>
      <c r="K11" s="44" t="s">
        <v>305</v>
      </c>
      <c r="M11" t="s">
        <v>220</v>
      </c>
      <c r="N11">
        <v>2110</v>
      </c>
    </row>
    <row r="12" spans="1:14" x14ac:dyDescent="0.3">
      <c r="A12" s="376">
        <v>3</v>
      </c>
      <c r="B12" s="327" t="s">
        <v>589</v>
      </c>
      <c r="C12" s="331">
        <v>2</v>
      </c>
      <c r="D12" s="329"/>
      <c r="E12" s="329"/>
      <c r="F12" s="341">
        <f>SUM(F13:F15)*C12</f>
        <v>1401600</v>
      </c>
      <c r="G12" s="307"/>
      <c r="H12" s="41"/>
      <c r="I12" s="43" t="s">
        <v>263</v>
      </c>
      <c r="J12" s="118">
        <f>J27+744000</f>
        <v>10377278</v>
      </c>
      <c r="K12" s="119" t="e">
        <f>#REF!</f>
        <v>#REF!</v>
      </c>
      <c r="M12" t="s">
        <v>219</v>
      </c>
      <c r="N12">
        <v>849</v>
      </c>
    </row>
    <row r="13" spans="1:14" x14ac:dyDescent="0.3">
      <c r="A13" s="376"/>
      <c r="B13" s="330" t="s">
        <v>234</v>
      </c>
      <c r="C13" s="331">
        <v>1</v>
      </c>
      <c r="D13" s="332">
        <v>25549</v>
      </c>
      <c r="E13" s="332">
        <f>D13*C13</f>
        <v>25549</v>
      </c>
      <c r="F13" s="342">
        <f>E13*12</f>
        <v>306588</v>
      </c>
      <c r="G13" s="308"/>
      <c r="H13" s="41"/>
      <c r="I13" s="43" t="s">
        <v>265</v>
      </c>
      <c r="J13" s="43">
        <v>9689988</v>
      </c>
      <c r="K13" s="120" t="e">
        <f>#REF!</f>
        <v>#REF!</v>
      </c>
      <c r="L13">
        <v>9701553</v>
      </c>
      <c r="M13" t="s">
        <v>221</v>
      </c>
      <c r="N13" s="42">
        <v>499</v>
      </c>
    </row>
    <row r="14" spans="1:14" x14ac:dyDescent="0.3">
      <c r="A14" s="376"/>
      <c r="B14" s="333" t="s">
        <v>230</v>
      </c>
      <c r="C14" s="331">
        <v>24</v>
      </c>
      <c r="D14" s="334">
        <v>849</v>
      </c>
      <c r="E14" s="332">
        <f>D14*C14</f>
        <v>20376</v>
      </c>
      <c r="F14" s="342">
        <f>E14*12</f>
        <v>244512</v>
      </c>
      <c r="G14" s="308"/>
      <c r="H14" s="41"/>
      <c r="I14" s="43" t="s">
        <v>266</v>
      </c>
      <c r="J14" s="43">
        <v>4232974</v>
      </c>
      <c r="K14" s="120" t="e">
        <f>#REF!</f>
        <v>#REF!</v>
      </c>
      <c r="L14">
        <v>4215870</v>
      </c>
      <c r="M14">
        <v>21.89</v>
      </c>
    </row>
    <row r="15" spans="1:14" x14ac:dyDescent="0.3">
      <c r="A15" s="376"/>
      <c r="B15" s="330" t="s">
        <v>232</v>
      </c>
      <c r="C15" s="331">
        <v>25</v>
      </c>
      <c r="D15" s="335">
        <v>499</v>
      </c>
      <c r="E15" s="332">
        <f>D15*C15</f>
        <v>12475</v>
      </c>
      <c r="F15" s="342">
        <f>E15*12</f>
        <v>149700</v>
      </c>
      <c r="G15" s="308"/>
      <c r="H15" s="41"/>
      <c r="I15" s="43"/>
      <c r="J15" s="43"/>
      <c r="K15" s="43"/>
      <c r="M15">
        <v>12.57</v>
      </c>
    </row>
    <row r="16" spans="1:14" x14ac:dyDescent="0.3">
      <c r="A16" s="343"/>
      <c r="B16" s="330"/>
      <c r="C16" s="331"/>
      <c r="D16" s="335"/>
      <c r="E16" s="332"/>
      <c r="F16" s="342"/>
      <c r="G16" s="308"/>
      <c r="H16" s="41"/>
      <c r="J16" t="s">
        <v>266</v>
      </c>
    </row>
    <row r="17" spans="1:10" x14ac:dyDescent="0.3">
      <c r="A17" s="344"/>
      <c r="B17" s="326" t="s">
        <v>240</v>
      </c>
      <c r="C17" s="323"/>
      <c r="D17" s="323"/>
      <c r="E17" s="323"/>
      <c r="F17" s="345">
        <f>SUM(F12,F8,F4)</f>
        <v>4887840</v>
      </c>
      <c r="G17" s="309"/>
      <c r="H17" s="41"/>
    </row>
    <row r="18" spans="1:10" x14ac:dyDescent="0.3">
      <c r="A18" s="343"/>
      <c r="B18" s="330"/>
      <c r="C18" s="331"/>
      <c r="D18" s="335"/>
      <c r="E18" s="332"/>
      <c r="F18" s="342"/>
      <c r="G18" s="308"/>
      <c r="H18" s="41"/>
    </row>
    <row r="19" spans="1:10" x14ac:dyDescent="0.3">
      <c r="A19" s="343"/>
      <c r="B19" s="336" t="s">
        <v>241</v>
      </c>
      <c r="C19" s="331"/>
      <c r="D19" s="335"/>
      <c r="E19" s="332"/>
      <c r="F19" s="342"/>
      <c r="G19" s="308"/>
      <c r="H19" s="41"/>
      <c r="I19">
        <v>1850</v>
      </c>
      <c r="J19">
        <f>25000/12</f>
        <v>2083.3333333333335</v>
      </c>
    </row>
    <row r="20" spans="1:10" x14ac:dyDescent="0.3">
      <c r="A20" s="343">
        <v>1</v>
      </c>
      <c r="B20" s="333" t="s">
        <v>237</v>
      </c>
      <c r="C20" s="331">
        <v>8</v>
      </c>
      <c r="D20" s="335">
        <v>2083</v>
      </c>
      <c r="E20" s="332">
        <f>D20*C20</f>
        <v>16664</v>
      </c>
      <c r="F20" s="342">
        <f t="shared" ref="F20:F25" si="0">E20*12</f>
        <v>199968</v>
      </c>
      <c r="G20" s="308"/>
      <c r="H20" s="41"/>
    </row>
    <row r="21" spans="1:10" x14ac:dyDescent="0.3">
      <c r="A21" s="343">
        <v>2</v>
      </c>
      <c r="B21" s="333" t="s">
        <v>267</v>
      </c>
      <c r="C21" s="331">
        <v>2</v>
      </c>
      <c r="D21" s="335">
        <v>4670</v>
      </c>
      <c r="E21" s="332">
        <f>D21*C21</f>
        <v>9340</v>
      </c>
      <c r="F21" s="342">
        <f t="shared" si="0"/>
        <v>112080</v>
      </c>
      <c r="G21" s="308"/>
      <c r="H21" s="41"/>
    </row>
    <row r="22" spans="1:10" x14ac:dyDescent="0.3">
      <c r="A22" s="343">
        <v>3</v>
      </c>
      <c r="B22" s="333" t="s">
        <v>578</v>
      </c>
      <c r="C22" s="331">
        <v>48</v>
      </c>
      <c r="D22" s="335">
        <v>1950</v>
      </c>
      <c r="E22" s="332">
        <f>C22*D22</f>
        <v>93600</v>
      </c>
      <c r="F22" s="342">
        <f t="shared" si="0"/>
        <v>1123200</v>
      </c>
      <c r="G22" s="308"/>
      <c r="H22" s="41"/>
    </row>
    <row r="23" spans="1:10" x14ac:dyDescent="0.3">
      <c r="A23" s="346">
        <v>5</v>
      </c>
      <c r="B23" s="330" t="s">
        <v>590</v>
      </c>
      <c r="C23" s="331">
        <v>6</v>
      </c>
      <c r="D23" s="335">
        <v>1340</v>
      </c>
      <c r="E23" s="332">
        <f>D23*C23</f>
        <v>8040</v>
      </c>
      <c r="F23" s="342">
        <f t="shared" si="0"/>
        <v>96480</v>
      </c>
      <c r="G23" s="308"/>
      <c r="H23" s="41"/>
      <c r="I23" t="s">
        <v>256</v>
      </c>
      <c r="J23" s="95">
        <v>2644848</v>
      </c>
    </row>
    <row r="24" spans="1:10" x14ac:dyDescent="0.3">
      <c r="A24" s="346">
        <v>6</v>
      </c>
      <c r="B24" s="330" t="s">
        <v>244</v>
      </c>
      <c r="C24" s="331">
        <v>2</v>
      </c>
      <c r="D24" s="335">
        <v>13440</v>
      </c>
      <c r="E24" s="332">
        <f>D24*C24</f>
        <v>26880</v>
      </c>
      <c r="F24" s="342">
        <f t="shared" si="0"/>
        <v>322560</v>
      </c>
      <c r="G24" s="308"/>
      <c r="H24" s="41"/>
      <c r="J24" s="95"/>
    </row>
    <row r="25" spans="1:10" x14ac:dyDescent="0.3">
      <c r="A25" s="346">
        <v>7</v>
      </c>
      <c r="B25" s="330" t="s">
        <v>239</v>
      </c>
      <c r="C25" s="331">
        <v>2</v>
      </c>
      <c r="D25" s="335">
        <v>22200</v>
      </c>
      <c r="E25" s="332">
        <f>D25*C25</f>
        <v>44400</v>
      </c>
      <c r="F25" s="342">
        <f t="shared" si="0"/>
        <v>532800</v>
      </c>
      <c r="G25" s="308"/>
      <c r="H25" s="41"/>
      <c r="I25" t="s">
        <v>257</v>
      </c>
      <c r="J25" s="95">
        <v>6988430</v>
      </c>
    </row>
    <row r="26" spans="1:10" x14ac:dyDescent="0.3">
      <c r="A26" s="61"/>
      <c r="B26" s="43"/>
      <c r="C26" s="43"/>
      <c r="D26" s="43"/>
      <c r="E26" s="43"/>
      <c r="F26" s="47"/>
      <c r="G26" s="310"/>
    </row>
    <row r="27" spans="1:10" x14ac:dyDescent="0.3">
      <c r="A27" s="61"/>
      <c r="B27" s="43"/>
      <c r="C27" s="43"/>
      <c r="D27" s="43"/>
      <c r="E27" s="43"/>
      <c r="F27" s="47"/>
      <c r="J27" s="96">
        <f>SUM(J23:J25)</f>
        <v>9633278</v>
      </c>
    </row>
    <row r="28" spans="1:10" x14ac:dyDescent="0.3">
      <c r="A28" s="344"/>
      <c r="B28" s="326" t="s">
        <v>242</v>
      </c>
      <c r="C28" s="323"/>
      <c r="D28" s="323"/>
      <c r="E28" s="323"/>
      <c r="F28" s="345">
        <f ca="1">SUM(F20:F28)</f>
        <v>3107088</v>
      </c>
      <c r="G28" s="309"/>
    </row>
    <row r="29" spans="1:10" x14ac:dyDescent="0.3">
      <c r="A29" s="344"/>
      <c r="B29" s="323" t="s">
        <v>592</v>
      </c>
      <c r="C29" s="331"/>
      <c r="D29" s="323"/>
      <c r="E29" s="323"/>
      <c r="F29" s="345">
        <f>F17+SUM(F20:F25)</f>
        <v>7274928</v>
      </c>
      <c r="G29" s="308"/>
    </row>
    <row r="30" spans="1:10" x14ac:dyDescent="0.3">
      <c r="A30" s="61"/>
      <c r="B30" s="43" t="s">
        <v>591</v>
      </c>
      <c r="C30" s="43"/>
      <c r="D30" s="43"/>
      <c r="E30" s="43"/>
      <c r="F30" s="345">
        <f>F29*0.3</f>
        <v>2182478.4</v>
      </c>
    </row>
    <row r="31" spans="1:10" x14ac:dyDescent="0.3">
      <c r="A31" s="61"/>
      <c r="B31" s="43"/>
      <c r="C31" s="43"/>
      <c r="D31" s="43"/>
      <c r="E31" s="43"/>
      <c r="F31" s="345"/>
    </row>
    <row r="32" spans="1:10" x14ac:dyDescent="0.3">
      <c r="A32" s="61"/>
      <c r="B32" s="332" t="s">
        <v>561</v>
      </c>
      <c r="C32" s="43"/>
      <c r="D32" s="43"/>
      <c r="E32" s="43"/>
      <c r="F32" s="345">
        <v>250000</v>
      </c>
    </row>
    <row r="33" spans="1:6" x14ac:dyDescent="0.3">
      <c r="A33" s="61"/>
      <c r="B33" s="43"/>
      <c r="C33" s="43"/>
      <c r="D33" s="43"/>
      <c r="E33" s="43"/>
      <c r="F33" s="345"/>
    </row>
    <row r="34" spans="1:6" ht="15" thickBot="1" x14ac:dyDescent="0.35">
      <c r="A34" s="64"/>
      <c r="B34" s="48" t="s">
        <v>593</v>
      </c>
      <c r="C34" s="48"/>
      <c r="D34" s="48"/>
      <c r="E34" s="48"/>
      <c r="F34" s="345">
        <f>F29-F30+F32</f>
        <v>5342449.5999999996</v>
      </c>
    </row>
  </sheetData>
  <mergeCells count="4">
    <mergeCell ref="A3:F3"/>
    <mergeCell ref="A4:A7"/>
    <mergeCell ref="A8:A11"/>
    <mergeCell ref="A12:A15"/>
  </mergeCells>
  <pageMargins left="0.7" right="0.7" top="0.75" bottom="0.75" header="0.3" footer="0.3"/>
  <pageSetup paperSize="9" scale="3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BC736-C195-401C-8627-A7D72C7AB718}">
  <sheetPr>
    <pageSetUpPr fitToPage="1"/>
  </sheetPr>
  <dimension ref="A1:P117"/>
  <sheetViews>
    <sheetView topLeftCell="A5" zoomScale="130" zoomScaleNormal="130" workbookViewId="0">
      <selection activeCell="B20" sqref="B20:F20"/>
    </sheetView>
  </sheetViews>
  <sheetFormatPr defaultRowHeight="14.4" x14ac:dyDescent="0.3"/>
  <cols>
    <col min="1" max="1" width="8.88671875" style="59"/>
    <col min="2" max="2" width="35.6640625" customWidth="1"/>
    <col min="3" max="3" width="16.44140625" customWidth="1"/>
    <col min="4" max="4" width="27.33203125" customWidth="1"/>
    <col min="5" max="5" width="14.33203125" bestFit="1" customWidth="1"/>
    <col min="6" max="7" width="15.88671875" customWidth="1"/>
    <col min="8" max="8" width="17.44140625" bestFit="1"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ht="15" thickBot="1" x14ac:dyDescent="0.35">
      <c r="F1" s="39"/>
      <c r="G1" s="39"/>
      <c r="H1" s="39"/>
    </row>
    <row r="2" spans="1:14" ht="30.6" x14ac:dyDescent="0.3">
      <c r="A2" s="337" t="s">
        <v>222</v>
      </c>
      <c r="B2" s="338" t="s">
        <v>223</v>
      </c>
      <c r="C2" s="338" t="s">
        <v>224</v>
      </c>
      <c r="D2" s="339" t="s">
        <v>225</v>
      </c>
      <c r="E2" s="339" t="s">
        <v>226</v>
      </c>
      <c r="F2" s="340" t="s">
        <v>227</v>
      </c>
      <c r="G2" s="305"/>
    </row>
    <row r="3" spans="1:14" x14ac:dyDescent="0.3">
      <c r="A3" s="372" t="s">
        <v>586</v>
      </c>
      <c r="B3" s="373"/>
      <c r="C3" s="373"/>
      <c r="D3" s="373"/>
      <c r="E3" s="373"/>
      <c r="F3" s="374"/>
      <c r="G3" s="306"/>
      <c r="H3" s="1"/>
      <c r="I3" s="1"/>
      <c r="J3" s="1"/>
    </row>
    <row r="4" spans="1:14" x14ac:dyDescent="0.3">
      <c r="A4" s="376">
        <v>2</v>
      </c>
      <c r="B4" s="327" t="s">
        <v>584</v>
      </c>
      <c r="C4" s="331">
        <v>1</v>
      </c>
      <c r="D4" s="329"/>
      <c r="E4" s="329"/>
      <c r="F4" s="341">
        <f>SUM(F5:F7)*C4</f>
        <v>3747096</v>
      </c>
      <c r="G4" s="307"/>
      <c r="H4" s="41"/>
      <c r="M4" t="s">
        <v>217</v>
      </c>
      <c r="N4">
        <v>25549</v>
      </c>
    </row>
    <row r="5" spans="1:14" x14ac:dyDescent="0.3">
      <c r="A5" s="376"/>
      <c r="B5" s="330" t="s">
        <v>236</v>
      </c>
      <c r="C5" s="331">
        <v>4</v>
      </c>
      <c r="D5" s="332">
        <v>49649</v>
      </c>
      <c r="E5" s="332">
        <f>D5*C5</f>
        <v>198596</v>
      </c>
      <c r="F5" s="342">
        <f>E5*12</f>
        <v>2383152</v>
      </c>
      <c r="G5" s="308">
        <f>128/16</f>
        <v>8</v>
      </c>
      <c r="H5" s="41"/>
      <c r="M5" t="s">
        <v>218</v>
      </c>
      <c r="N5">
        <v>49649</v>
      </c>
    </row>
    <row r="6" spans="1:14" x14ac:dyDescent="0.3">
      <c r="A6" s="376"/>
      <c r="B6" s="333" t="s">
        <v>230</v>
      </c>
      <c r="C6" s="331">
        <v>128</v>
      </c>
      <c r="D6" s="334">
        <v>849</v>
      </c>
      <c r="E6" s="332">
        <f>D6*C6</f>
        <v>108672</v>
      </c>
      <c r="F6" s="342">
        <f>E6*12</f>
        <v>1304064</v>
      </c>
      <c r="G6" s="308"/>
      <c r="H6" s="41"/>
    </row>
    <row r="7" spans="1:14" x14ac:dyDescent="0.3">
      <c r="A7" s="376"/>
      <c r="B7" s="330" t="s">
        <v>582</v>
      </c>
      <c r="C7" s="331">
        <v>10</v>
      </c>
      <c r="D7" s="335">
        <v>499</v>
      </c>
      <c r="E7" s="332">
        <f>D7*C7</f>
        <v>4990</v>
      </c>
      <c r="F7" s="342">
        <f>E7*12</f>
        <v>59880</v>
      </c>
      <c r="G7" s="308"/>
      <c r="H7" s="41"/>
      <c r="I7" s="43"/>
      <c r="J7" s="44" t="s">
        <v>304</v>
      </c>
      <c r="K7" s="44" t="s">
        <v>305</v>
      </c>
      <c r="M7" t="s">
        <v>220</v>
      </c>
      <c r="N7">
        <v>2110</v>
      </c>
    </row>
    <row r="8" spans="1:14" x14ac:dyDescent="0.3">
      <c r="A8" s="376">
        <v>3</v>
      </c>
      <c r="B8" s="327" t="s">
        <v>585</v>
      </c>
      <c r="C8" s="331">
        <v>1</v>
      </c>
      <c r="D8" s="329"/>
      <c r="E8" s="329"/>
      <c r="F8" s="341">
        <f>SUM(F9:F11)*C8</f>
        <v>12013572</v>
      </c>
      <c r="G8" s="307"/>
      <c r="H8" s="41"/>
      <c r="I8" s="43" t="s">
        <v>263</v>
      </c>
      <c r="J8" s="118">
        <f>J23+744000</f>
        <v>10377278</v>
      </c>
      <c r="K8" s="119">
        <f>E31</f>
        <v>0</v>
      </c>
      <c r="M8" t="s">
        <v>219</v>
      </c>
      <c r="N8">
        <v>849</v>
      </c>
    </row>
    <row r="9" spans="1:14" x14ac:dyDescent="0.3">
      <c r="A9" s="376"/>
      <c r="B9" s="330" t="s">
        <v>236</v>
      </c>
      <c r="C9" s="331">
        <v>3</v>
      </c>
      <c r="D9" s="332">
        <v>49649</v>
      </c>
      <c r="E9" s="332">
        <f>D9*C9</f>
        <v>148947</v>
      </c>
      <c r="F9" s="342">
        <f>E9*12</f>
        <v>1787364</v>
      </c>
      <c r="G9" s="308"/>
      <c r="H9" s="41"/>
      <c r="I9" s="43" t="s">
        <v>265</v>
      </c>
      <c r="J9" s="43">
        <v>9689988</v>
      </c>
      <c r="K9" s="120">
        <f>E32</f>
        <v>0</v>
      </c>
      <c r="L9">
        <v>9701553</v>
      </c>
      <c r="M9" t="s">
        <v>221</v>
      </c>
      <c r="N9" s="42">
        <v>499</v>
      </c>
    </row>
    <row r="10" spans="1:14" x14ac:dyDescent="0.3">
      <c r="A10" s="376"/>
      <c r="B10" s="333" t="s">
        <v>230</v>
      </c>
      <c r="C10" s="331">
        <f>512-(6*16)</f>
        <v>416</v>
      </c>
      <c r="D10" s="334">
        <v>849</v>
      </c>
      <c r="E10" s="332">
        <f>D10*C10</f>
        <v>353184</v>
      </c>
      <c r="F10" s="342">
        <f>E10*12</f>
        <v>4238208</v>
      </c>
      <c r="G10" s="308"/>
      <c r="H10" s="41"/>
      <c r="I10" s="43" t="s">
        <v>266</v>
      </c>
      <c r="J10" s="43">
        <v>4232974</v>
      </c>
      <c r="K10" s="120">
        <f>E33</f>
        <v>0</v>
      </c>
      <c r="L10">
        <v>4215870</v>
      </c>
      <c r="M10">
        <v>21.89</v>
      </c>
    </row>
    <row r="11" spans="1:14" x14ac:dyDescent="0.3">
      <c r="A11" s="376"/>
      <c r="B11" s="330" t="s">
        <v>581</v>
      </c>
      <c r="C11" s="331">
        <v>1000</v>
      </c>
      <c r="D11" s="335">
        <v>499</v>
      </c>
      <c r="E11" s="332">
        <f>D11*C11</f>
        <v>499000</v>
      </c>
      <c r="F11" s="342">
        <f>E11*12</f>
        <v>5988000</v>
      </c>
      <c r="G11" s="308"/>
      <c r="H11" s="41"/>
      <c r="I11" s="43"/>
      <c r="J11" s="43"/>
      <c r="K11" s="43"/>
      <c r="M11">
        <v>12.57</v>
      </c>
    </row>
    <row r="12" spans="1:14" x14ac:dyDescent="0.3">
      <c r="A12" s="343"/>
      <c r="B12" s="330"/>
      <c r="C12" s="331"/>
      <c r="D12" s="335"/>
      <c r="E12" s="332"/>
      <c r="F12" s="342"/>
      <c r="G12" s="308"/>
      <c r="H12" s="41"/>
      <c r="J12" t="s">
        <v>266</v>
      </c>
    </row>
    <row r="13" spans="1:14" x14ac:dyDescent="0.3">
      <c r="A13" s="344"/>
      <c r="B13" s="326" t="s">
        <v>240</v>
      </c>
      <c r="C13" s="323"/>
      <c r="D13" s="323"/>
      <c r="E13" s="323"/>
      <c r="F13" s="345">
        <f>SUM(F8,F4)</f>
        <v>15760668</v>
      </c>
      <c r="G13" s="309"/>
      <c r="H13" s="41"/>
    </row>
    <row r="14" spans="1:14" x14ac:dyDescent="0.3">
      <c r="A14" s="343"/>
      <c r="B14" s="330"/>
      <c r="C14" s="331"/>
      <c r="D14" s="335"/>
      <c r="E14" s="332"/>
      <c r="F14" s="342"/>
      <c r="G14" s="308"/>
      <c r="H14" s="41"/>
    </row>
    <row r="15" spans="1:14" x14ac:dyDescent="0.3">
      <c r="A15" s="343"/>
      <c r="B15" s="336" t="s">
        <v>241</v>
      </c>
      <c r="C15" s="331"/>
      <c r="D15" s="335"/>
      <c r="E15" s="332"/>
      <c r="F15" s="342"/>
      <c r="G15" s="308"/>
      <c r="H15" s="41"/>
      <c r="I15">
        <v>1850</v>
      </c>
      <c r="J15">
        <f>25000/12</f>
        <v>2083.3333333333335</v>
      </c>
    </row>
    <row r="16" spans="1:14" x14ac:dyDescent="0.3">
      <c r="A16" s="343">
        <v>1</v>
      </c>
      <c r="B16" s="333" t="s">
        <v>237</v>
      </c>
      <c r="C16" s="331">
        <v>2</v>
      </c>
      <c r="D16" s="335">
        <v>2083</v>
      </c>
      <c r="E16" s="332">
        <f>D16*C16</f>
        <v>4166</v>
      </c>
      <c r="F16" s="342">
        <f t="shared" ref="F16:F21" si="0">E16*12</f>
        <v>49992</v>
      </c>
      <c r="G16" s="308"/>
      <c r="H16" s="41"/>
    </row>
    <row r="17" spans="1:16" x14ac:dyDescent="0.3">
      <c r="A17" s="343">
        <v>2</v>
      </c>
      <c r="B17" s="333" t="s">
        <v>267</v>
      </c>
      <c r="C17" s="331">
        <v>0</v>
      </c>
      <c r="D17" s="335">
        <v>4670</v>
      </c>
      <c r="E17" s="332">
        <f>D17*C17</f>
        <v>0</v>
      </c>
      <c r="F17" s="342">
        <f t="shared" si="0"/>
        <v>0</v>
      </c>
      <c r="G17" s="308"/>
      <c r="H17" s="41"/>
    </row>
    <row r="18" spans="1:16" x14ac:dyDescent="0.3">
      <c r="A18" s="343">
        <v>3</v>
      </c>
      <c r="B18" s="333" t="s">
        <v>530</v>
      </c>
      <c r="C18" s="331">
        <v>32</v>
      </c>
      <c r="D18" s="335">
        <v>1950</v>
      </c>
      <c r="E18" s="332">
        <f>C18*D18</f>
        <v>62400</v>
      </c>
      <c r="F18" s="342">
        <f t="shared" si="0"/>
        <v>748800</v>
      </c>
      <c r="G18" s="308"/>
      <c r="H18" s="41"/>
    </row>
    <row r="19" spans="1:16" x14ac:dyDescent="0.3">
      <c r="A19" s="346">
        <v>5</v>
      </c>
      <c r="B19" s="330" t="s">
        <v>287</v>
      </c>
      <c r="C19" s="331">
        <v>2</v>
      </c>
      <c r="D19" s="335">
        <v>1340</v>
      </c>
      <c r="E19" s="332">
        <f>D19*C19</f>
        <v>2680</v>
      </c>
      <c r="F19" s="342">
        <f t="shared" si="0"/>
        <v>32160</v>
      </c>
      <c r="G19" s="308"/>
      <c r="H19" s="41"/>
      <c r="I19" t="s">
        <v>256</v>
      </c>
      <c r="J19" s="95">
        <v>2644848</v>
      </c>
    </row>
    <row r="20" spans="1:16" ht="15.6" x14ac:dyDescent="0.3">
      <c r="A20" s="83">
        <v>4</v>
      </c>
      <c r="B20" s="84" t="s">
        <v>239</v>
      </c>
      <c r="C20" s="74">
        <v>5</v>
      </c>
      <c r="D20" s="79">
        <v>22200</v>
      </c>
      <c r="E20" s="75">
        <f>D20*C20</f>
        <v>111000</v>
      </c>
      <c r="F20" s="75">
        <f t="shared" si="0"/>
        <v>1332000</v>
      </c>
      <c r="G20" s="41"/>
      <c r="H20" t="s">
        <v>255</v>
      </c>
      <c r="I20" s="94">
        <v>15111480</v>
      </c>
    </row>
    <row r="21" spans="1:16" x14ac:dyDescent="0.3">
      <c r="A21" s="346">
        <v>6</v>
      </c>
      <c r="B21" s="330" t="s">
        <v>244</v>
      </c>
      <c r="C21" s="331">
        <v>1</v>
      </c>
      <c r="D21" s="335">
        <v>13440</v>
      </c>
      <c r="E21" s="332">
        <f>D21*C21</f>
        <v>13440</v>
      </c>
      <c r="F21" s="342">
        <f t="shared" si="0"/>
        <v>161280</v>
      </c>
      <c r="G21" s="308"/>
      <c r="H21" s="41"/>
      <c r="I21" t="s">
        <v>257</v>
      </c>
      <c r="J21" s="95">
        <v>6988430</v>
      </c>
    </row>
    <row r="22" spans="1:16" x14ac:dyDescent="0.3">
      <c r="A22" s="346">
        <v>7</v>
      </c>
      <c r="B22" s="332" t="s">
        <v>561</v>
      </c>
      <c r="C22" s="332"/>
      <c r="D22" s="332"/>
      <c r="E22" s="332"/>
      <c r="F22" s="342">
        <v>0</v>
      </c>
      <c r="G22" s="310"/>
    </row>
    <row r="23" spans="1:16" x14ac:dyDescent="0.3">
      <c r="A23" s="61"/>
      <c r="B23" s="43"/>
      <c r="C23" s="43"/>
      <c r="D23" s="43"/>
      <c r="E23" s="43"/>
      <c r="F23" s="47"/>
      <c r="J23" s="96">
        <f>SUM(J19:J21)</f>
        <v>9633278</v>
      </c>
    </row>
    <row r="24" spans="1:16" x14ac:dyDescent="0.3">
      <c r="A24" s="344"/>
      <c r="B24" s="326" t="s">
        <v>242</v>
      </c>
      <c r="C24" s="323"/>
      <c r="D24" s="323"/>
      <c r="E24" s="323"/>
      <c r="F24" s="345">
        <f>SUM(F16:F22)</f>
        <v>2324232</v>
      </c>
      <c r="G24" s="309"/>
    </row>
    <row r="25" spans="1:16" x14ac:dyDescent="0.3">
      <c r="A25" s="344"/>
      <c r="B25" s="323" t="s">
        <v>246</v>
      </c>
      <c r="C25" s="323"/>
      <c r="D25" s="323"/>
      <c r="E25" s="323"/>
      <c r="F25" s="345">
        <f>F24+F13</f>
        <v>18084900</v>
      </c>
      <c r="G25" s="308"/>
    </row>
    <row r="26" spans="1:16" x14ac:dyDescent="0.3">
      <c r="A26" s="344"/>
      <c r="B26" s="323" t="s">
        <v>583</v>
      </c>
      <c r="C26" s="331"/>
      <c r="D26" s="323"/>
      <c r="E26" s="323"/>
      <c r="F26" s="345">
        <f>F25*0.3</f>
        <v>5425470</v>
      </c>
      <c r="G26" s="308"/>
    </row>
    <row r="27" spans="1:16" ht="15" thickBot="1" x14ac:dyDescent="0.35">
      <c r="A27" s="347"/>
      <c r="B27" s="348" t="s">
        <v>248</v>
      </c>
      <c r="C27" s="349"/>
      <c r="D27" s="349"/>
      <c r="E27" s="349"/>
      <c r="F27" s="350">
        <f>F25-F26</f>
        <v>12659430</v>
      </c>
      <c r="G27" s="311"/>
    </row>
    <row r="28" spans="1:16" x14ac:dyDescent="0.3">
      <c r="F28" s="325"/>
      <c r="G28" s="311"/>
    </row>
    <row r="30" spans="1:16" ht="15" thickBot="1" x14ac:dyDescent="0.35">
      <c r="F30" s="289"/>
      <c r="G30" s="289"/>
      <c r="K30" s="298" t="s">
        <v>556</v>
      </c>
      <c r="L30" s="298" t="s">
        <v>557</v>
      </c>
      <c r="M30" s="298" t="s">
        <v>308</v>
      </c>
      <c r="N30" s="298" t="s">
        <v>309</v>
      </c>
      <c r="O30" s="298" t="s">
        <v>558</v>
      </c>
      <c r="P30" s="298" t="s">
        <v>559</v>
      </c>
    </row>
    <row r="31" spans="1:16" ht="86.4" x14ac:dyDescent="0.3">
      <c r="B31" s="100"/>
      <c r="C31" s="103"/>
      <c r="D31" s="91"/>
      <c r="E31" s="91"/>
      <c r="I31" s="100"/>
      <c r="J31" s="292"/>
      <c r="K31" s="299">
        <v>1</v>
      </c>
      <c r="L31" s="299" t="s">
        <v>539</v>
      </c>
      <c r="M31" s="300" t="s">
        <v>541</v>
      </c>
      <c r="N31" s="299">
        <v>2</v>
      </c>
      <c r="O31" s="301">
        <v>480000</v>
      </c>
      <c r="P31" s="299">
        <f>N31*O31</f>
        <v>960000</v>
      </c>
    </row>
    <row r="32" spans="1:16" ht="86.4" x14ac:dyDescent="0.3">
      <c r="B32" s="101"/>
      <c r="C32" s="98"/>
      <c r="I32" s="101"/>
      <c r="J32" s="293"/>
      <c r="K32" s="299">
        <v>2</v>
      </c>
      <c r="L32" s="299" t="s">
        <v>333</v>
      </c>
      <c r="M32" s="300" t="s">
        <v>542</v>
      </c>
      <c r="N32" s="299">
        <v>2</v>
      </c>
      <c r="O32" s="301">
        <v>720000</v>
      </c>
      <c r="P32" s="299">
        <f t="shared" ref="P32:P38" si="1">N32*O32</f>
        <v>1440000</v>
      </c>
    </row>
    <row r="33" spans="1:16" ht="100.8" x14ac:dyDescent="0.3">
      <c r="B33" s="101"/>
      <c r="C33" s="98"/>
      <c r="I33" s="101"/>
      <c r="J33" s="293"/>
      <c r="K33" s="299">
        <v>3</v>
      </c>
      <c r="L33" s="299" t="s">
        <v>540</v>
      </c>
      <c r="M33" s="300" t="s">
        <v>547</v>
      </c>
      <c r="N33" s="299">
        <v>2</v>
      </c>
      <c r="O33" s="301">
        <v>840000</v>
      </c>
      <c r="P33" s="299">
        <f t="shared" si="1"/>
        <v>1680000</v>
      </c>
    </row>
    <row r="34" spans="1:16" ht="28.8" x14ac:dyDescent="0.3">
      <c r="B34" s="101"/>
      <c r="C34" s="98"/>
      <c r="D34" s="98"/>
      <c r="E34" s="91"/>
      <c r="I34" s="101"/>
      <c r="J34" s="293"/>
      <c r="K34" s="299">
        <v>4</v>
      </c>
      <c r="L34" s="299" t="s">
        <v>543</v>
      </c>
      <c r="M34" s="300" t="s">
        <v>544</v>
      </c>
      <c r="N34" s="299">
        <v>1</v>
      </c>
      <c r="O34" s="301">
        <v>3480000</v>
      </c>
      <c r="P34" s="299">
        <f t="shared" si="1"/>
        <v>3480000</v>
      </c>
    </row>
    <row r="35" spans="1:16" x14ac:dyDescent="0.3">
      <c r="B35" s="101"/>
      <c r="C35" s="98"/>
      <c r="D35" s="98"/>
      <c r="F35" s="91"/>
      <c r="G35" s="91"/>
      <c r="I35" s="101"/>
      <c r="J35" s="293"/>
      <c r="K35" s="299">
        <v>5</v>
      </c>
      <c r="L35" s="299" t="s">
        <v>545</v>
      </c>
      <c r="M35" s="300" t="s">
        <v>546</v>
      </c>
      <c r="N35" s="299">
        <v>2</v>
      </c>
      <c r="O35" s="301">
        <v>480000</v>
      </c>
      <c r="P35" s="299">
        <f t="shared" si="1"/>
        <v>960000</v>
      </c>
    </row>
    <row r="36" spans="1:16" ht="43.8" thickBot="1" x14ac:dyDescent="0.35">
      <c r="B36" s="102"/>
      <c r="C36" s="99"/>
      <c r="D36" s="99"/>
      <c r="I36" s="101"/>
      <c r="J36" s="293"/>
      <c r="K36" s="299">
        <v>6</v>
      </c>
      <c r="L36" s="299" t="s">
        <v>548</v>
      </c>
      <c r="M36" s="300" t="s">
        <v>549</v>
      </c>
      <c r="N36" s="299">
        <v>2</v>
      </c>
      <c r="O36" s="301">
        <v>620000</v>
      </c>
      <c r="P36" s="299">
        <f t="shared" si="1"/>
        <v>1240000</v>
      </c>
    </row>
    <row r="37" spans="1:16" x14ac:dyDescent="0.3">
      <c r="I37" s="101"/>
      <c r="J37" s="294"/>
      <c r="K37" s="299">
        <v>7</v>
      </c>
      <c r="L37" s="299" t="s">
        <v>554</v>
      </c>
      <c r="M37" s="299"/>
      <c r="N37" s="299">
        <v>6</v>
      </c>
      <c r="O37" s="301">
        <v>220000</v>
      </c>
      <c r="P37" s="299">
        <f t="shared" si="1"/>
        <v>1320000</v>
      </c>
    </row>
    <row r="38" spans="1:16" x14ac:dyDescent="0.3">
      <c r="I38" s="101"/>
      <c r="J38" s="295"/>
      <c r="K38" s="299">
        <v>8</v>
      </c>
      <c r="L38" s="299" t="s">
        <v>560</v>
      </c>
      <c r="M38" s="299"/>
      <c r="N38" s="299">
        <v>12</v>
      </c>
      <c r="O38" s="301">
        <v>650000</v>
      </c>
      <c r="P38" s="299">
        <f t="shared" si="1"/>
        <v>7800000</v>
      </c>
    </row>
    <row r="39" spans="1:16" ht="15" thickBot="1" x14ac:dyDescent="0.35">
      <c r="A39" s="65"/>
      <c r="B39" s="66"/>
      <c r="C39" s="66"/>
      <c r="D39" s="67"/>
      <c r="E39" s="67"/>
      <c r="F39" s="68"/>
      <c r="G39" s="305"/>
      <c r="I39" s="102"/>
      <c r="J39" s="296"/>
      <c r="K39" s="299"/>
      <c r="L39" s="299"/>
      <c r="M39" s="299"/>
      <c r="N39" s="299"/>
      <c r="O39" s="299"/>
      <c r="P39" s="299"/>
    </row>
    <row r="40" spans="1:16" ht="15" thickBot="1" x14ac:dyDescent="0.35">
      <c r="A40" s="377"/>
      <c r="B40" s="378"/>
      <c r="C40" s="378"/>
      <c r="D40" s="378"/>
      <c r="E40" s="378"/>
      <c r="F40" s="379"/>
      <c r="G40" s="306"/>
      <c r="I40" s="115"/>
      <c r="J40" s="297"/>
      <c r="K40" s="299"/>
      <c r="L40" s="299"/>
      <c r="M40" s="299"/>
      <c r="N40" s="299"/>
      <c r="O40" s="299"/>
      <c r="P40" s="302">
        <f>SUM(P31:P38)</f>
        <v>18880000</v>
      </c>
    </row>
    <row r="41" spans="1:16" ht="15" thickBot="1" x14ac:dyDescent="0.35">
      <c r="A41" s="369"/>
      <c r="B41" s="69"/>
      <c r="C41" s="70"/>
      <c r="D41" s="71"/>
      <c r="E41" s="71"/>
      <c r="F41" s="72"/>
      <c r="G41" s="307"/>
      <c r="I41" s="117"/>
      <c r="J41" s="110"/>
      <c r="K41" s="290"/>
      <c r="L41" s="290"/>
      <c r="M41" s="290"/>
      <c r="N41" s="290"/>
      <c r="O41" s="290"/>
      <c r="P41" s="291"/>
    </row>
    <row r="42" spans="1:16" ht="15" thickBot="1" x14ac:dyDescent="0.35">
      <c r="A42" s="370"/>
      <c r="B42" s="73"/>
      <c r="C42" s="74"/>
      <c r="D42" s="75"/>
      <c r="E42" s="75"/>
      <c r="F42" s="75"/>
      <c r="G42" s="308"/>
      <c r="I42" s="117"/>
      <c r="J42" s="110"/>
      <c r="K42" s="290"/>
      <c r="L42" s="290"/>
      <c r="M42" s="290"/>
      <c r="N42" s="290"/>
      <c r="O42" s="290"/>
      <c r="P42" s="290"/>
    </row>
    <row r="43" spans="1:16" x14ac:dyDescent="0.3">
      <c r="A43" s="370"/>
      <c r="B43" s="76"/>
      <c r="C43" s="74"/>
      <c r="D43" s="77"/>
      <c r="E43" s="75"/>
      <c r="F43" s="75"/>
      <c r="G43" s="308"/>
      <c r="K43" s="290"/>
      <c r="L43" s="290"/>
      <c r="M43" s="290"/>
      <c r="N43" s="290"/>
      <c r="O43" s="290"/>
      <c r="P43" s="290"/>
    </row>
    <row r="44" spans="1:16" x14ac:dyDescent="0.3">
      <c r="A44" s="371"/>
      <c r="B44" s="78"/>
      <c r="C44" s="74"/>
      <c r="D44" s="79"/>
      <c r="E44" s="75"/>
      <c r="F44" s="75"/>
      <c r="G44" s="308"/>
      <c r="K44" s="290"/>
      <c r="L44" s="290"/>
      <c r="M44" s="290"/>
      <c r="N44" s="290"/>
      <c r="O44" s="290"/>
      <c r="P44" s="290"/>
    </row>
    <row r="45" spans="1:16" x14ac:dyDescent="0.3">
      <c r="A45" s="381"/>
      <c r="B45" s="69"/>
      <c r="C45" s="70"/>
      <c r="D45" s="71"/>
      <c r="E45" s="71"/>
      <c r="F45" s="72"/>
      <c r="G45" s="307"/>
      <c r="K45" s="380" t="s">
        <v>550</v>
      </c>
      <c r="L45" s="380"/>
      <c r="M45" s="380"/>
      <c r="N45" s="380"/>
      <c r="O45" s="380"/>
      <c r="P45" s="380"/>
    </row>
    <row r="46" spans="1:16" x14ac:dyDescent="0.3">
      <c r="A46" s="382"/>
      <c r="B46" s="73"/>
      <c r="C46" s="74"/>
      <c r="D46" s="75"/>
      <c r="E46" s="75"/>
      <c r="F46" s="75"/>
      <c r="G46" s="308"/>
      <c r="K46" s="299"/>
      <c r="L46" s="299"/>
      <c r="M46" s="299"/>
      <c r="N46" s="299"/>
      <c r="O46" s="299" t="s">
        <v>553</v>
      </c>
      <c r="P46" s="299"/>
    </row>
    <row r="47" spans="1:16" x14ac:dyDescent="0.3">
      <c r="A47" s="382"/>
      <c r="B47" s="76"/>
      <c r="C47" s="74"/>
      <c r="D47" s="77"/>
      <c r="E47" s="75"/>
      <c r="F47" s="75"/>
      <c r="G47" s="308"/>
      <c r="K47" s="299">
        <v>1</v>
      </c>
      <c r="L47" s="299" t="s">
        <v>551</v>
      </c>
      <c r="M47" s="299"/>
      <c r="N47" s="299">
        <v>2</v>
      </c>
      <c r="O47" s="301">
        <v>840000</v>
      </c>
      <c r="P47" s="299">
        <f>N47*O47</f>
        <v>1680000</v>
      </c>
    </row>
    <row r="48" spans="1:16" x14ac:dyDescent="0.3">
      <c r="A48" s="383"/>
      <c r="B48" s="78"/>
      <c r="C48" s="74"/>
      <c r="D48" s="79"/>
      <c r="E48" s="75"/>
      <c r="F48" s="75"/>
      <c r="G48" s="308"/>
      <c r="K48" s="299">
        <v>2</v>
      </c>
      <c r="L48" s="299" t="s">
        <v>552</v>
      </c>
      <c r="M48" s="299"/>
      <c r="N48" s="299">
        <v>2</v>
      </c>
      <c r="O48" s="301">
        <v>1640000</v>
      </c>
      <c r="P48" s="299">
        <f>N48*O48</f>
        <v>3280000</v>
      </c>
    </row>
    <row r="49" spans="1:16" x14ac:dyDescent="0.3">
      <c r="A49" s="381"/>
      <c r="B49" s="69"/>
      <c r="C49" s="70"/>
      <c r="D49" s="71"/>
      <c r="E49" s="71"/>
      <c r="F49" s="72"/>
      <c r="G49" s="307"/>
      <c r="K49" s="299">
        <v>3</v>
      </c>
      <c r="L49" s="299" t="s">
        <v>555</v>
      </c>
      <c r="M49" s="299"/>
      <c r="N49" s="299">
        <v>6</v>
      </c>
      <c r="O49" s="301">
        <v>600000</v>
      </c>
      <c r="P49" s="299">
        <f>N49*O49</f>
        <v>3600000</v>
      </c>
    </row>
    <row r="50" spans="1:16" x14ac:dyDescent="0.3">
      <c r="A50" s="382"/>
      <c r="B50" s="73"/>
      <c r="C50" s="74"/>
      <c r="D50" s="75"/>
      <c r="E50" s="75"/>
      <c r="F50" s="75"/>
      <c r="G50" s="308"/>
      <c r="K50" s="299"/>
      <c r="L50" s="299"/>
      <c r="M50" s="299"/>
      <c r="N50" s="299"/>
      <c r="O50" s="299"/>
      <c r="P50" s="299"/>
    </row>
    <row r="51" spans="1:16" x14ac:dyDescent="0.3">
      <c r="A51" s="382"/>
      <c r="B51" s="76"/>
      <c r="C51" s="74"/>
      <c r="D51" s="77"/>
      <c r="E51" s="75"/>
      <c r="F51" s="75"/>
      <c r="G51" s="308"/>
      <c r="K51" s="299"/>
      <c r="L51" s="299"/>
      <c r="M51" s="299"/>
      <c r="N51" s="299"/>
      <c r="O51" s="299"/>
      <c r="P51" s="302">
        <f>SUM(P47:P49)</f>
        <v>8560000</v>
      </c>
    </row>
    <row r="52" spans="1:16" x14ac:dyDescent="0.3">
      <c r="A52" s="383"/>
      <c r="B52" s="78"/>
      <c r="C52" s="74"/>
      <c r="D52" s="79"/>
      <c r="E52" s="75"/>
      <c r="F52" s="75"/>
      <c r="G52" s="308"/>
    </row>
    <row r="53" spans="1:16" x14ac:dyDescent="0.3">
      <c r="A53" s="381"/>
      <c r="B53" s="69"/>
      <c r="C53" s="70"/>
      <c r="D53" s="71"/>
      <c r="E53" s="71"/>
      <c r="F53" s="72"/>
      <c r="G53" s="307"/>
    </row>
    <row r="54" spans="1:16" x14ac:dyDescent="0.3">
      <c r="A54" s="382"/>
      <c r="B54" s="73"/>
      <c r="C54" s="74"/>
      <c r="D54" s="75"/>
      <c r="E54" s="75"/>
      <c r="F54" s="75"/>
      <c r="G54" s="308"/>
    </row>
    <row r="55" spans="1:16" x14ac:dyDescent="0.3">
      <c r="A55" s="382"/>
      <c r="B55" s="76"/>
      <c r="C55" s="74"/>
      <c r="D55" s="77"/>
      <c r="E55" s="75"/>
      <c r="F55" s="75"/>
      <c r="G55" s="308"/>
    </row>
    <row r="56" spans="1:16" x14ac:dyDescent="0.3">
      <c r="A56" s="383"/>
      <c r="B56" s="78"/>
      <c r="C56" s="74"/>
      <c r="D56" s="79"/>
      <c r="E56" s="75"/>
      <c r="F56" s="75"/>
      <c r="G56" s="308"/>
    </row>
    <row r="57" spans="1:16" x14ac:dyDescent="0.3">
      <c r="A57" s="88"/>
      <c r="B57" s="89"/>
      <c r="C57" s="74"/>
      <c r="D57" s="79"/>
      <c r="E57" s="75"/>
      <c r="F57" s="75"/>
      <c r="G57" s="308"/>
    </row>
    <row r="58" spans="1:16" x14ac:dyDescent="0.3">
      <c r="A58" s="87"/>
      <c r="B58" s="66"/>
      <c r="C58" s="87"/>
      <c r="D58" s="87"/>
      <c r="E58" s="87"/>
      <c r="F58" s="92"/>
      <c r="G58" s="311"/>
    </row>
    <row r="59" spans="1:16" x14ac:dyDescent="0.3">
      <c r="A59" s="81"/>
      <c r="B59" s="89"/>
      <c r="C59" s="74"/>
      <c r="D59" s="79"/>
      <c r="E59" s="75"/>
      <c r="F59" s="75"/>
      <c r="G59" s="308"/>
      <c r="J59" t="s">
        <v>566</v>
      </c>
    </row>
    <row r="60" spans="1:16" x14ac:dyDescent="0.3">
      <c r="A60" s="81"/>
      <c r="B60" s="90"/>
      <c r="C60" s="74"/>
      <c r="D60" s="79"/>
      <c r="E60" s="75"/>
      <c r="F60" s="75"/>
      <c r="G60" s="308"/>
      <c r="H60" t="s">
        <v>564</v>
      </c>
      <c r="I60" t="s">
        <v>63</v>
      </c>
    </row>
    <row r="61" spans="1:16" x14ac:dyDescent="0.3">
      <c r="A61" s="81"/>
      <c r="B61" s="82"/>
      <c r="C61" s="74"/>
      <c r="D61" s="79"/>
      <c r="E61" s="75"/>
      <c r="F61" s="75"/>
      <c r="G61" s="308"/>
    </row>
    <row r="62" spans="1:16" x14ac:dyDescent="0.3">
      <c r="A62" s="81"/>
      <c r="B62" s="82"/>
      <c r="C62" s="74"/>
      <c r="D62" s="79"/>
      <c r="E62" s="75"/>
      <c r="F62" s="75"/>
      <c r="G62" s="308">
        <v>1000</v>
      </c>
      <c r="H62">
        <f>G62*3</f>
        <v>3000</v>
      </c>
      <c r="J62" t="s">
        <v>562</v>
      </c>
      <c r="K62" t="s">
        <v>563</v>
      </c>
      <c r="L62" t="s">
        <v>565</v>
      </c>
    </row>
    <row r="63" spans="1:16" x14ac:dyDescent="0.3">
      <c r="A63" s="83"/>
      <c r="B63" s="84"/>
      <c r="C63" s="74"/>
      <c r="D63" s="79"/>
      <c r="E63" s="75"/>
      <c r="F63" s="75"/>
      <c r="G63" s="308"/>
    </row>
    <row r="64" spans="1:16" x14ac:dyDescent="0.3">
      <c r="A64" s="83"/>
      <c r="B64" s="84"/>
      <c r="C64" s="74"/>
      <c r="D64" s="79"/>
      <c r="E64" s="75"/>
      <c r="F64" s="75"/>
      <c r="G64" s="308"/>
    </row>
    <row r="65" spans="1:7" x14ac:dyDescent="0.3">
      <c r="A65" s="83"/>
      <c r="B65" s="84"/>
      <c r="C65" s="74"/>
      <c r="D65" s="79"/>
      <c r="E65" s="75"/>
      <c r="F65" s="75"/>
      <c r="G65" s="308"/>
    </row>
    <row r="66" spans="1:7" x14ac:dyDescent="0.3">
      <c r="A66" s="83"/>
      <c r="B66" s="68"/>
      <c r="C66" s="74"/>
      <c r="D66" s="75"/>
      <c r="E66" s="85"/>
      <c r="F66" s="75"/>
      <c r="G66" s="308"/>
    </row>
    <row r="67" spans="1:7" x14ac:dyDescent="0.3">
      <c r="A67" s="87"/>
      <c r="B67" s="66"/>
      <c r="C67" s="87"/>
      <c r="D67" s="87"/>
      <c r="E67" s="87"/>
      <c r="F67" s="92"/>
      <c r="G67" s="311"/>
    </row>
    <row r="68" spans="1:7" x14ac:dyDescent="0.3">
      <c r="A68" s="87"/>
      <c r="B68" s="87"/>
      <c r="C68" s="87"/>
      <c r="D68" s="87"/>
      <c r="E68" s="87"/>
      <c r="F68" s="75"/>
      <c r="G68" s="308"/>
    </row>
    <row r="69" spans="1:7" x14ac:dyDescent="0.3">
      <c r="A69" s="87"/>
      <c r="B69" s="87"/>
      <c r="C69" s="87"/>
      <c r="D69" s="87"/>
      <c r="E69" s="87"/>
      <c r="F69" s="75"/>
      <c r="G69" s="308"/>
    </row>
    <row r="70" spans="1:7" x14ac:dyDescent="0.3">
      <c r="A70" s="87"/>
      <c r="B70" s="93"/>
      <c r="C70" s="87"/>
      <c r="D70" s="87"/>
      <c r="E70" s="87"/>
      <c r="F70" s="92"/>
      <c r="G70" s="311"/>
    </row>
    <row r="72" spans="1:7" x14ac:dyDescent="0.3">
      <c r="A72" s="65"/>
      <c r="B72" s="66"/>
      <c r="C72" s="66"/>
      <c r="D72" s="67"/>
      <c r="E72" s="67"/>
      <c r="F72" s="68"/>
      <c r="G72" s="305"/>
    </row>
    <row r="73" spans="1:7" x14ac:dyDescent="0.3">
      <c r="A73" s="377"/>
      <c r="B73" s="378"/>
      <c r="C73" s="378"/>
      <c r="D73" s="378"/>
      <c r="E73" s="378"/>
      <c r="F73" s="379"/>
      <c r="G73" s="306"/>
    </row>
    <row r="74" spans="1:7" x14ac:dyDescent="0.3">
      <c r="A74" s="369"/>
      <c r="B74" s="69"/>
      <c r="C74" s="70"/>
      <c r="D74" s="71"/>
      <c r="E74" s="71"/>
      <c r="F74" s="72"/>
      <c r="G74" s="307"/>
    </row>
    <row r="75" spans="1:7" x14ac:dyDescent="0.3">
      <c r="A75" s="370"/>
      <c r="B75" s="73"/>
      <c r="C75" s="74"/>
      <c r="D75" s="75"/>
      <c r="E75" s="75"/>
      <c r="F75" s="75"/>
      <c r="G75" s="308"/>
    </row>
    <row r="76" spans="1:7" x14ac:dyDescent="0.3">
      <c r="A76" s="370"/>
      <c r="B76" s="76"/>
      <c r="C76" s="74"/>
      <c r="D76" s="77"/>
      <c r="E76" s="75"/>
      <c r="F76" s="75"/>
      <c r="G76" s="308"/>
    </row>
    <row r="77" spans="1:7" x14ac:dyDescent="0.3">
      <c r="A77" s="371"/>
      <c r="B77" s="78"/>
      <c r="C77" s="74"/>
      <c r="D77" s="79"/>
      <c r="E77" s="75"/>
      <c r="F77" s="75"/>
      <c r="G77" s="308"/>
    </row>
    <row r="78" spans="1:7" x14ac:dyDescent="0.3">
      <c r="A78" s="369"/>
      <c r="B78" s="69"/>
      <c r="C78" s="70"/>
      <c r="D78" s="71"/>
      <c r="E78" s="71"/>
      <c r="F78" s="72"/>
      <c r="G78" s="307"/>
    </row>
    <row r="79" spans="1:7" x14ac:dyDescent="0.3">
      <c r="A79" s="370"/>
      <c r="B79" s="73"/>
      <c r="C79" s="74"/>
      <c r="D79" s="75"/>
      <c r="E79" s="75"/>
      <c r="F79" s="75"/>
      <c r="G79" s="308"/>
    </row>
    <row r="80" spans="1:7" x14ac:dyDescent="0.3">
      <c r="A80" s="370"/>
      <c r="B80" s="76"/>
      <c r="C80" s="74"/>
      <c r="D80" s="77"/>
      <c r="E80" s="75"/>
      <c r="F80" s="75"/>
      <c r="G80" s="308"/>
    </row>
    <row r="81" spans="1:7" x14ac:dyDescent="0.3">
      <c r="A81" s="371"/>
      <c r="B81" s="78"/>
      <c r="C81" s="74"/>
      <c r="D81" s="79"/>
      <c r="E81" s="75"/>
      <c r="F81" s="75"/>
      <c r="G81" s="308"/>
    </row>
    <row r="82" spans="1:7" x14ac:dyDescent="0.3">
      <c r="A82" s="381"/>
      <c r="B82" s="69"/>
      <c r="C82" s="70"/>
      <c r="D82" s="71"/>
      <c r="E82" s="71"/>
      <c r="F82" s="72"/>
      <c r="G82" s="307"/>
    </row>
    <row r="83" spans="1:7" x14ac:dyDescent="0.3">
      <c r="A83" s="382"/>
      <c r="B83" s="73"/>
      <c r="C83" s="74"/>
      <c r="D83" s="75"/>
      <c r="E83" s="75"/>
      <c r="F83" s="75"/>
      <c r="G83" s="308"/>
    </row>
    <row r="84" spans="1:7" x14ac:dyDescent="0.3">
      <c r="A84" s="382"/>
      <c r="B84" s="76"/>
      <c r="C84" s="74"/>
      <c r="D84" s="77"/>
      <c r="E84" s="75"/>
      <c r="F84" s="75"/>
      <c r="G84" s="308"/>
    </row>
    <row r="85" spans="1:7" x14ac:dyDescent="0.3">
      <c r="A85" s="383"/>
      <c r="B85" s="78"/>
      <c r="C85" s="74"/>
      <c r="D85" s="79"/>
      <c r="E85" s="75"/>
      <c r="F85" s="75"/>
      <c r="G85" s="308"/>
    </row>
    <row r="86" spans="1:7" x14ac:dyDescent="0.3">
      <c r="A86" s="381"/>
      <c r="B86" s="69"/>
      <c r="C86" s="70"/>
      <c r="D86" s="71"/>
      <c r="E86" s="71"/>
      <c r="F86" s="72"/>
      <c r="G86" s="307"/>
    </row>
    <row r="87" spans="1:7" x14ac:dyDescent="0.3">
      <c r="A87" s="382"/>
      <c r="B87" s="73"/>
      <c r="C87" s="74"/>
      <c r="D87" s="75"/>
      <c r="E87" s="75"/>
      <c r="F87" s="75"/>
      <c r="G87" s="308"/>
    </row>
    <row r="88" spans="1:7" x14ac:dyDescent="0.3">
      <c r="A88" s="382"/>
      <c r="B88" s="76"/>
      <c r="C88" s="74"/>
      <c r="D88" s="77"/>
      <c r="E88" s="75"/>
      <c r="F88" s="75"/>
      <c r="G88" s="308"/>
    </row>
    <row r="89" spans="1:7" x14ac:dyDescent="0.3">
      <c r="A89" s="383"/>
      <c r="B89" s="78"/>
      <c r="C89" s="74"/>
      <c r="D89" s="79"/>
      <c r="E89" s="75"/>
      <c r="F89" s="75"/>
      <c r="G89" s="308"/>
    </row>
    <row r="90" spans="1:7" x14ac:dyDescent="0.3">
      <c r="A90" s="381"/>
      <c r="B90" s="69"/>
      <c r="C90" s="70"/>
      <c r="D90" s="71"/>
      <c r="E90" s="71"/>
      <c r="F90" s="72"/>
      <c r="G90" s="307"/>
    </row>
    <row r="91" spans="1:7" x14ac:dyDescent="0.3">
      <c r="A91" s="382"/>
      <c r="B91" s="73"/>
      <c r="C91" s="74"/>
      <c r="D91" s="75"/>
      <c r="E91" s="75"/>
      <c r="F91" s="75"/>
      <c r="G91" s="308"/>
    </row>
    <row r="92" spans="1:7" x14ac:dyDescent="0.3">
      <c r="A92" s="383"/>
      <c r="B92" s="78"/>
      <c r="C92" s="74"/>
      <c r="D92" s="79"/>
      <c r="E92" s="75"/>
      <c r="F92" s="75"/>
      <c r="G92" s="308"/>
    </row>
    <row r="93" spans="1:7" x14ac:dyDescent="0.3">
      <c r="A93" s="88"/>
      <c r="B93" s="89"/>
      <c r="C93" s="74"/>
      <c r="D93" s="79"/>
      <c r="E93" s="75"/>
      <c r="F93" s="75"/>
      <c r="G93" s="308"/>
    </row>
    <row r="94" spans="1:7" x14ac:dyDescent="0.3">
      <c r="A94" s="87"/>
      <c r="B94" s="66"/>
      <c r="C94" s="87"/>
      <c r="D94" s="87"/>
      <c r="E94" s="87"/>
      <c r="F94" s="92"/>
      <c r="G94" s="311"/>
    </row>
    <row r="95" spans="1:7" x14ac:dyDescent="0.3">
      <c r="A95" s="81"/>
      <c r="B95" s="89"/>
      <c r="C95" s="74"/>
      <c r="D95" s="79"/>
      <c r="E95" s="75"/>
      <c r="F95" s="75"/>
      <c r="G95" s="308"/>
    </row>
    <row r="96" spans="1:7" x14ac:dyDescent="0.3">
      <c r="A96" s="81"/>
      <c r="B96" s="90"/>
      <c r="C96" s="74"/>
      <c r="D96" s="79"/>
      <c r="E96" s="75"/>
      <c r="F96" s="75"/>
      <c r="G96" s="308"/>
    </row>
    <row r="97" spans="1:8" x14ac:dyDescent="0.3">
      <c r="A97" s="81"/>
      <c r="B97" s="82"/>
      <c r="C97" s="74"/>
      <c r="D97" s="79"/>
      <c r="E97" s="75"/>
      <c r="F97" s="75"/>
      <c r="G97" s="308"/>
    </row>
    <row r="98" spans="1:8" x14ac:dyDescent="0.3">
      <c r="A98" s="81"/>
      <c r="B98" s="82"/>
      <c r="C98" s="74"/>
      <c r="D98" s="79"/>
      <c r="E98" s="75"/>
      <c r="F98" s="75"/>
      <c r="G98" s="308"/>
    </row>
    <row r="99" spans="1:8" x14ac:dyDescent="0.3">
      <c r="A99" s="83"/>
      <c r="B99" s="84"/>
      <c r="C99" s="74"/>
      <c r="D99" s="79"/>
      <c r="E99" s="75"/>
      <c r="F99" s="75"/>
      <c r="G99" s="308"/>
    </row>
    <row r="100" spans="1:8" x14ac:dyDescent="0.3">
      <c r="A100" s="83"/>
      <c r="B100" s="84"/>
      <c r="C100" s="74"/>
      <c r="D100" s="79"/>
      <c r="E100" s="75"/>
      <c r="F100" s="75"/>
      <c r="G100" s="308"/>
    </row>
    <row r="101" spans="1:8" x14ac:dyDescent="0.3">
      <c r="A101" s="83"/>
      <c r="B101" s="84"/>
      <c r="C101" s="74"/>
      <c r="D101" s="79"/>
      <c r="E101" s="75"/>
      <c r="F101" s="75"/>
      <c r="G101" s="308"/>
    </row>
    <row r="102" spans="1:8" x14ac:dyDescent="0.3">
      <c r="A102" s="83"/>
      <c r="B102" s="68"/>
      <c r="C102" s="74"/>
      <c r="D102" s="75"/>
      <c r="E102" s="85"/>
      <c r="F102" s="75"/>
      <c r="G102" s="308"/>
    </row>
    <row r="103" spans="1:8" x14ac:dyDescent="0.3">
      <c r="A103" s="87"/>
      <c r="B103" s="66"/>
      <c r="C103" s="87"/>
      <c r="D103" s="87"/>
      <c r="E103" s="87"/>
      <c r="F103" s="92"/>
      <c r="G103" s="311"/>
    </row>
    <row r="104" spans="1:8" x14ac:dyDescent="0.3">
      <c r="A104" s="87"/>
      <c r="B104" s="87"/>
      <c r="C104" s="87"/>
      <c r="D104" s="87"/>
      <c r="E104" s="87"/>
      <c r="F104" s="75"/>
      <c r="G104" s="308"/>
    </row>
    <row r="105" spans="1:8" x14ac:dyDescent="0.3">
      <c r="A105" s="87"/>
      <c r="B105" s="87"/>
      <c r="C105" s="87"/>
      <c r="D105" s="87"/>
      <c r="E105" s="87"/>
      <c r="F105" s="75"/>
      <c r="G105" s="308"/>
    </row>
    <row r="106" spans="1:8" x14ac:dyDescent="0.3">
      <c r="A106" s="87"/>
      <c r="B106" s="93"/>
      <c r="C106" s="87"/>
      <c r="D106" s="87"/>
      <c r="E106" s="87"/>
      <c r="F106" s="92"/>
      <c r="G106" s="311"/>
    </row>
    <row r="110" spans="1:8" ht="15.6" thickBot="1" x14ac:dyDescent="0.35">
      <c r="A110" s="261"/>
    </row>
    <row r="111" spans="1:8" ht="31.8" thickBot="1" x14ac:dyDescent="0.35">
      <c r="A111" s="351" t="s">
        <v>122</v>
      </c>
      <c r="B111" s="352" t="s">
        <v>308</v>
      </c>
      <c r="C111" s="353" t="s">
        <v>570</v>
      </c>
      <c r="D111" s="353" t="s">
        <v>571</v>
      </c>
      <c r="E111" s="353" t="s">
        <v>572</v>
      </c>
      <c r="F111" s="353" t="s">
        <v>311</v>
      </c>
      <c r="G111" s="353" t="s">
        <v>397</v>
      </c>
      <c r="H111" s="353" t="s">
        <v>573</v>
      </c>
    </row>
    <row r="112" spans="1:8" ht="120.6" thickBot="1" x14ac:dyDescent="0.35">
      <c r="A112" s="354">
        <v>1</v>
      </c>
      <c r="B112" s="255" t="s">
        <v>576</v>
      </c>
      <c r="C112" s="355">
        <v>316600</v>
      </c>
      <c r="D112" s="356">
        <v>18</v>
      </c>
      <c r="E112" s="355">
        <f>D112/100*C112</f>
        <v>56988</v>
      </c>
      <c r="F112" s="355">
        <f>C112+E112</f>
        <v>373588</v>
      </c>
      <c r="G112" s="355">
        <v>4</v>
      </c>
      <c r="H112" s="357">
        <f>F112*G112</f>
        <v>1494352</v>
      </c>
    </row>
    <row r="113" spans="1:8" ht="120.6" thickBot="1" x14ac:dyDescent="0.35">
      <c r="A113" s="354">
        <v>2</v>
      </c>
      <c r="B113" s="255" t="s">
        <v>577</v>
      </c>
      <c r="C113" s="355">
        <v>571650</v>
      </c>
      <c r="D113" s="356">
        <v>18</v>
      </c>
      <c r="E113" s="355">
        <f>D113/100*C113</f>
        <v>102897</v>
      </c>
      <c r="F113" s="355">
        <f>C113+E113</f>
        <v>674547</v>
      </c>
      <c r="G113" s="355">
        <v>64</v>
      </c>
      <c r="H113" s="357">
        <f>F113*G113</f>
        <v>43171008</v>
      </c>
    </row>
    <row r="114" spans="1:8" ht="15" x14ac:dyDescent="0.3">
      <c r="A114" s="261"/>
    </row>
    <row r="115" spans="1:8" ht="15" x14ac:dyDescent="0.3">
      <c r="A115" s="261"/>
    </row>
    <row r="116" spans="1:8" ht="135" x14ac:dyDescent="0.3">
      <c r="A116" s="261" t="s">
        <v>574</v>
      </c>
    </row>
    <row r="117" spans="1:8" ht="60" x14ac:dyDescent="0.3">
      <c r="A117" s="261" t="s">
        <v>575</v>
      </c>
    </row>
  </sheetData>
  <mergeCells count="15">
    <mergeCell ref="A78:A81"/>
    <mergeCell ref="A82:A85"/>
    <mergeCell ref="A86:A89"/>
    <mergeCell ref="A90:A92"/>
    <mergeCell ref="A45:A48"/>
    <mergeCell ref="K45:P45"/>
    <mergeCell ref="A49:A52"/>
    <mergeCell ref="A53:A56"/>
    <mergeCell ref="A73:F73"/>
    <mergeCell ref="A74:A77"/>
    <mergeCell ref="A3:F3"/>
    <mergeCell ref="A4:A7"/>
    <mergeCell ref="A8:A11"/>
    <mergeCell ref="A40:F40"/>
    <mergeCell ref="A41:A44"/>
  </mergeCells>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95898-F00C-4246-B9F5-76B6E9F950F0}">
  <sheetPr>
    <pageSetUpPr fitToPage="1"/>
  </sheetPr>
  <dimension ref="A1:P121"/>
  <sheetViews>
    <sheetView topLeftCell="A2" zoomScale="130" zoomScaleNormal="130" workbookViewId="0">
      <selection activeCell="B9" sqref="B9:F9"/>
    </sheetView>
  </sheetViews>
  <sheetFormatPr defaultRowHeight="14.4" x14ac:dyDescent="0.3"/>
  <cols>
    <col min="1" max="1" width="8.88671875" style="59"/>
    <col min="2" max="2" width="35.6640625" customWidth="1"/>
    <col min="3" max="3" width="16.44140625" customWidth="1"/>
    <col min="4" max="4" width="9.109375" customWidth="1"/>
    <col min="5" max="5" width="14.33203125" bestFit="1" customWidth="1"/>
    <col min="6" max="7" width="15.88671875" customWidth="1"/>
    <col min="8" max="8" width="17.44140625" bestFit="1"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ht="15" thickBot="1" x14ac:dyDescent="0.35">
      <c r="F1" s="39"/>
      <c r="G1" s="39"/>
      <c r="H1" s="39"/>
    </row>
    <row r="2" spans="1:14" ht="40.799999999999997" x14ac:dyDescent="0.3">
      <c r="A2" s="337" t="s">
        <v>222</v>
      </c>
      <c r="B2" s="338" t="s">
        <v>223</v>
      </c>
      <c r="C2" s="338" t="s">
        <v>224</v>
      </c>
      <c r="D2" s="339" t="s">
        <v>225</v>
      </c>
      <c r="E2" s="339" t="s">
        <v>226</v>
      </c>
      <c r="F2" s="340" t="s">
        <v>227</v>
      </c>
      <c r="G2" s="305"/>
    </row>
    <row r="3" spans="1:14" x14ac:dyDescent="0.3">
      <c r="A3" s="372" t="s">
        <v>580</v>
      </c>
      <c r="B3" s="373"/>
      <c r="C3" s="373"/>
      <c r="D3" s="373"/>
      <c r="E3" s="373"/>
      <c r="F3" s="374"/>
      <c r="G3" s="306"/>
      <c r="H3" s="1"/>
      <c r="I3" s="1"/>
      <c r="J3" s="1"/>
    </row>
    <row r="4" spans="1:14" x14ac:dyDescent="0.3">
      <c r="A4" s="375">
        <v>1</v>
      </c>
      <c r="B4" s="312" t="s">
        <v>568</v>
      </c>
      <c r="C4" s="328">
        <v>2</v>
      </c>
      <c r="D4" s="329"/>
      <c r="E4" s="329"/>
      <c r="F4" s="341">
        <f>SUM(F5:F7)*C4</f>
        <v>1710984</v>
      </c>
      <c r="G4" s="307"/>
      <c r="H4" s="41"/>
      <c r="M4" t="s">
        <v>213</v>
      </c>
      <c r="N4" s="40">
        <v>4449</v>
      </c>
    </row>
    <row r="5" spans="1:14" x14ac:dyDescent="0.3">
      <c r="A5" s="375"/>
      <c r="B5" s="313" t="s">
        <v>234</v>
      </c>
      <c r="C5" s="74">
        <v>1</v>
      </c>
      <c r="D5" s="75">
        <v>25549</v>
      </c>
      <c r="E5" s="75">
        <f>D5*C5</f>
        <v>25549</v>
      </c>
      <c r="F5" s="75">
        <f>E5*12</f>
        <v>306588</v>
      </c>
      <c r="G5" s="308"/>
      <c r="H5" s="41"/>
      <c r="M5" t="s">
        <v>214</v>
      </c>
      <c r="N5" s="40">
        <v>7349</v>
      </c>
    </row>
    <row r="6" spans="1:14" x14ac:dyDescent="0.3">
      <c r="A6" s="375"/>
      <c r="B6" s="320" t="s">
        <v>482</v>
      </c>
      <c r="C6" s="74">
        <v>48</v>
      </c>
      <c r="D6" s="77">
        <v>849</v>
      </c>
      <c r="E6" s="75">
        <f>D6*C6</f>
        <v>40752</v>
      </c>
      <c r="F6" s="75">
        <f>E6*12</f>
        <v>489024</v>
      </c>
      <c r="G6" s="308"/>
      <c r="H6" s="41"/>
      <c r="M6" t="s">
        <v>215</v>
      </c>
      <c r="N6">
        <v>13349</v>
      </c>
    </row>
    <row r="7" spans="1:14" x14ac:dyDescent="0.3">
      <c r="A7" s="375"/>
      <c r="B7" s="315" t="s">
        <v>232</v>
      </c>
      <c r="C7" s="74">
        <v>10</v>
      </c>
      <c r="D7" s="79">
        <v>499</v>
      </c>
      <c r="E7" s="75">
        <f>D7*C7</f>
        <v>4990</v>
      </c>
      <c r="F7" s="75">
        <f>E7*12</f>
        <v>59880</v>
      </c>
      <c r="G7" s="308"/>
      <c r="H7" s="41"/>
      <c r="M7" t="s">
        <v>216</v>
      </c>
      <c r="N7">
        <v>19949</v>
      </c>
    </row>
    <row r="8" spans="1:14" x14ac:dyDescent="0.3">
      <c r="A8" s="376">
        <v>2</v>
      </c>
      <c r="B8" s="327" t="s">
        <v>533</v>
      </c>
      <c r="C8" s="331">
        <v>0</v>
      </c>
      <c r="D8" s="329"/>
      <c r="E8" s="329"/>
      <c r="F8" s="341">
        <f>SUM(F9:F11)*C8</f>
        <v>0</v>
      </c>
      <c r="G8" s="307"/>
      <c r="H8" s="41"/>
      <c r="M8" t="s">
        <v>217</v>
      </c>
      <c r="N8">
        <v>25549</v>
      </c>
    </row>
    <row r="9" spans="1:14" x14ac:dyDescent="0.3">
      <c r="A9" s="376"/>
      <c r="B9" s="330" t="s">
        <v>234</v>
      </c>
      <c r="C9" s="331">
        <v>1</v>
      </c>
      <c r="D9" s="332">
        <v>25549</v>
      </c>
      <c r="E9" s="332">
        <f>D9*C9</f>
        <v>25549</v>
      </c>
      <c r="F9" s="342">
        <f>E9*12</f>
        <v>306588</v>
      </c>
      <c r="G9" s="308"/>
      <c r="H9" s="41"/>
      <c r="M9" t="s">
        <v>218</v>
      </c>
      <c r="N9">
        <v>49649</v>
      </c>
    </row>
    <row r="10" spans="1:14" x14ac:dyDescent="0.3">
      <c r="A10" s="376"/>
      <c r="B10" s="333" t="s">
        <v>230</v>
      </c>
      <c r="C10" s="331">
        <v>56</v>
      </c>
      <c r="D10" s="334">
        <v>849</v>
      </c>
      <c r="E10" s="332">
        <f>D10*C10</f>
        <v>47544</v>
      </c>
      <c r="F10" s="342">
        <f>E10*12</f>
        <v>570528</v>
      </c>
      <c r="G10" s="308"/>
      <c r="H10" s="41"/>
    </row>
    <row r="11" spans="1:14" x14ac:dyDescent="0.3">
      <c r="A11" s="376"/>
      <c r="B11" s="330" t="s">
        <v>232</v>
      </c>
      <c r="C11" s="331">
        <v>6</v>
      </c>
      <c r="D11" s="335">
        <v>499</v>
      </c>
      <c r="E11" s="332">
        <f>D11*C11</f>
        <v>2994</v>
      </c>
      <c r="F11" s="342">
        <f>E11*12</f>
        <v>35928</v>
      </c>
      <c r="G11" s="308"/>
      <c r="H11" s="41"/>
      <c r="I11" s="43"/>
      <c r="J11" s="44" t="s">
        <v>304</v>
      </c>
      <c r="K11" s="44" t="s">
        <v>305</v>
      </c>
      <c r="M11" t="s">
        <v>220</v>
      </c>
      <c r="N11">
        <v>2110</v>
      </c>
    </row>
    <row r="12" spans="1:14" x14ac:dyDescent="0.3">
      <c r="A12" s="376">
        <v>3</v>
      </c>
      <c r="B12" s="327" t="s">
        <v>534</v>
      </c>
      <c r="C12" s="331">
        <v>0</v>
      </c>
      <c r="D12" s="329"/>
      <c r="E12" s="329"/>
      <c r="F12" s="341">
        <f>SUM(F13:F15)*C12</f>
        <v>0</v>
      </c>
      <c r="G12" s="307"/>
      <c r="H12" s="41"/>
      <c r="I12" s="43" t="s">
        <v>263</v>
      </c>
      <c r="J12" s="118">
        <f>J26+744000</f>
        <v>10377278</v>
      </c>
      <c r="K12" s="119">
        <f>E34</f>
        <v>0</v>
      </c>
      <c r="M12" t="s">
        <v>219</v>
      </c>
      <c r="N12">
        <v>849</v>
      </c>
    </row>
    <row r="13" spans="1:14" x14ac:dyDescent="0.3">
      <c r="A13" s="376"/>
      <c r="B13" s="330" t="s">
        <v>236</v>
      </c>
      <c r="C13" s="331">
        <v>1</v>
      </c>
      <c r="D13" s="332">
        <v>49649</v>
      </c>
      <c r="E13" s="332">
        <f>D13*C13</f>
        <v>49649</v>
      </c>
      <c r="F13" s="342">
        <f>E13*12</f>
        <v>595788</v>
      </c>
      <c r="G13" s="308"/>
      <c r="H13" s="41"/>
      <c r="I13" s="43" t="s">
        <v>265</v>
      </c>
      <c r="J13" s="43">
        <v>9689988</v>
      </c>
      <c r="K13" s="120">
        <f>E35</f>
        <v>0</v>
      </c>
      <c r="L13">
        <v>9701553</v>
      </c>
      <c r="M13" t="s">
        <v>221</v>
      </c>
      <c r="N13" s="42">
        <v>499</v>
      </c>
    </row>
    <row r="14" spans="1:14" x14ac:dyDescent="0.3">
      <c r="A14" s="376"/>
      <c r="B14" s="333" t="s">
        <v>230</v>
      </c>
      <c r="C14" s="331">
        <v>48</v>
      </c>
      <c r="D14" s="334">
        <v>849</v>
      </c>
      <c r="E14" s="332">
        <f>D14*C14</f>
        <v>40752</v>
      </c>
      <c r="F14" s="342">
        <f>E14*12</f>
        <v>489024</v>
      </c>
      <c r="G14" s="308"/>
      <c r="H14" s="41"/>
      <c r="I14" s="43" t="s">
        <v>266</v>
      </c>
      <c r="J14" s="43">
        <v>4232974</v>
      </c>
      <c r="K14" s="120">
        <f>E36</f>
        <v>0</v>
      </c>
      <c r="L14">
        <v>4215870</v>
      </c>
      <c r="M14">
        <v>21.89</v>
      </c>
    </row>
    <row r="15" spans="1:14" x14ac:dyDescent="0.3">
      <c r="A15" s="376"/>
      <c r="B15" s="330" t="s">
        <v>232</v>
      </c>
      <c r="C15" s="331">
        <v>10</v>
      </c>
      <c r="D15" s="335">
        <v>499</v>
      </c>
      <c r="E15" s="332">
        <f>D15*C15</f>
        <v>4990</v>
      </c>
      <c r="F15" s="342">
        <f>E15*12</f>
        <v>59880</v>
      </c>
      <c r="G15" s="308"/>
      <c r="H15" s="41"/>
      <c r="I15" s="43"/>
      <c r="J15" s="43"/>
      <c r="K15" s="43"/>
      <c r="M15">
        <v>12.57</v>
      </c>
    </row>
    <row r="16" spans="1:14" x14ac:dyDescent="0.3">
      <c r="A16" s="343"/>
      <c r="B16" s="330"/>
      <c r="C16" s="331"/>
      <c r="D16" s="335"/>
      <c r="E16" s="332"/>
      <c r="F16" s="342"/>
      <c r="G16" s="308"/>
      <c r="H16" s="41"/>
      <c r="J16" t="s">
        <v>266</v>
      </c>
    </row>
    <row r="17" spans="1:10" x14ac:dyDescent="0.3">
      <c r="A17" s="344"/>
      <c r="B17" s="326" t="s">
        <v>240</v>
      </c>
      <c r="C17" s="323"/>
      <c r="D17" s="323"/>
      <c r="E17" s="323"/>
      <c r="F17" s="345">
        <f>SUM(F12,F8,F4)</f>
        <v>1710984</v>
      </c>
      <c r="G17" s="309"/>
      <c r="H17" s="41"/>
    </row>
    <row r="18" spans="1:10" x14ac:dyDescent="0.3">
      <c r="A18" s="343"/>
      <c r="B18" s="330"/>
      <c r="C18" s="331"/>
      <c r="D18" s="335"/>
      <c r="E18" s="332"/>
      <c r="F18" s="342"/>
      <c r="G18" s="308"/>
      <c r="H18" s="41"/>
    </row>
    <row r="19" spans="1:10" x14ac:dyDescent="0.3">
      <c r="A19" s="343"/>
      <c r="B19" s="336" t="s">
        <v>241</v>
      </c>
      <c r="C19" s="331"/>
      <c r="D19" s="335"/>
      <c r="E19" s="332"/>
      <c r="F19" s="342"/>
      <c r="G19" s="308"/>
      <c r="H19" s="41"/>
      <c r="I19">
        <v>1850</v>
      </c>
      <c r="J19">
        <f>25000/12</f>
        <v>2083.3333333333335</v>
      </c>
    </row>
    <row r="20" spans="1:10" x14ac:dyDescent="0.3">
      <c r="A20" s="343">
        <v>1</v>
      </c>
      <c r="B20" s="333" t="s">
        <v>237</v>
      </c>
      <c r="C20" s="331">
        <v>2</v>
      </c>
      <c r="D20" s="335">
        <v>2083</v>
      </c>
      <c r="E20" s="332">
        <f>D20*C20</f>
        <v>4166</v>
      </c>
      <c r="F20" s="342">
        <f>E20*12</f>
        <v>49992</v>
      </c>
      <c r="G20" s="308"/>
      <c r="H20" s="41"/>
    </row>
    <row r="21" spans="1:10" x14ac:dyDescent="0.3">
      <c r="A21" s="343">
        <v>2</v>
      </c>
      <c r="B21" s="333" t="s">
        <v>267</v>
      </c>
      <c r="C21" s="331">
        <v>2</v>
      </c>
      <c r="D21" s="335">
        <v>4670</v>
      </c>
      <c r="E21" s="332">
        <f>D21*C21</f>
        <v>9340</v>
      </c>
      <c r="F21" s="342">
        <f>E21*12</f>
        <v>112080</v>
      </c>
      <c r="G21" s="308"/>
      <c r="H21" s="41"/>
    </row>
    <row r="22" spans="1:10" x14ac:dyDescent="0.3">
      <c r="A22" s="343">
        <v>3</v>
      </c>
      <c r="B22" s="333" t="s">
        <v>530</v>
      </c>
      <c r="C22" s="331">
        <v>8</v>
      </c>
      <c r="D22" s="335">
        <v>1950</v>
      </c>
      <c r="E22" s="332">
        <f>C22*D22</f>
        <v>15600</v>
      </c>
      <c r="F22" s="342">
        <f>E22*12</f>
        <v>187200</v>
      </c>
      <c r="G22" s="308"/>
      <c r="H22" s="41"/>
    </row>
    <row r="23" spans="1:10" x14ac:dyDescent="0.3">
      <c r="A23" s="346">
        <v>5</v>
      </c>
      <c r="B23" s="330" t="s">
        <v>287</v>
      </c>
      <c r="C23" s="331">
        <v>2</v>
      </c>
      <c r="D23" s="335">
        <v>1340</v>
      </c>
      <c r="E23" s="332">
        <f>D23*C23</f>
        <v>2680</v>
      </c>
      <c r="F23" s="342">
        <f>E23*12</f>
        <v>32160</v>
      </c>
      <c r="G23" s="308"/>
      <c r="H23" s="41"/>
      <c r="I23" t="s">
        <v>256</v>
      </c>
      <c r="J23" s="95">
        <v>2644848</v>
      </c>
    </row>
    <row r="24" spans="1:10" x14ac:dyDescent="0.3">
      <c r="A24" s="346">
        <v>6</v>
      </c>
      <c r="B24" s="330" t="s">
        <v>244</v>
      </c>
      <c r="C24" s="331">
        <v>0</v>
      </c>
      <c r="D24" s="335">
        <v>13440</v>
      </c>
      <c r="E24" s="332">
        <f>D24*C24</f>
        <v>0</v>
      </c>
      <c r="F24" s="342">
        <f>E24*12</f>
        <v>0</v>
      </c>
      <c r="G24" s="308"/>
      <c r="H24" s="41"/>
      <c r="I24" t="s">
        <v>257</v>
      </c>
      <c r="J24" s="95">
        <v>6988430</v>
      </c>
    </row>
    <row r="25" spans="1:10" x14ac:dyDescent="0.3">
      <c r="A25" s="346">
        <v>7</v>
      </c>
      <c r="B25" s="332" t="s">
        <v>561</v>
      </c>
      <c r="C25" s="332"/>
      <c r="D25" s="332"/>
      <c r="E25" s="332"/>
      <c r="F25" s="342">
        <v>0</v>
      </c>
      <c r="G25" s="310"/>
    </row>
    <row r="26" spans="1:10" x14ac:dyDescent="0.3">
      <c r="A26" s="61"/>
      <c r="B26" s="43"/>
      <c r="C26" s="43"/>
      <c r="D26" s="43"/>
      <c r="E26" s="43"/>
      <c r="F26" s="47"/>
      <c r="J26" s="96">
        <f>SUM(J23:J24)</f>
        <v>9633278</v>
      </c>
    </row>
    <row r="27" spans="1:10" x14ac:dyDescent="0.3">
      <c r="A27" s="344"/>
      <c r="B27" s="326" t="s">
        <v>242</v>
      </c>
      <c r="C27" s="323"/>
      <c r="D27" s="323"/>
      <c r="E27" s="323"/>
      <c r="F27" s="345">
        <f>SUM(F20:F25)</f>
        <v>381432</v>
      </c>
      <c r="G27" s="309"/>
    </row>
    <row r="28" spans="1:10" x14ac:dyDescent="0.3">
      <c r="A28" s="344"/>
      <c r="B28" s="323" t="s">
        <v>246</v>
      </c>
      <c r="C28" s="323"/>
      <c r="D28" s="323"/>
      <c r="E28" s="323"/>
      <c r="F28" s="345">
        <f>F27+F17</f>
        <v>2092416</v>
      </c>
      <c r="G28" s="308"/>
    </row>
    <row r="29" spans="1:10" x14ac:dyDescent="0.3">
      <c r="A29" s="344"/>
      <c r="B29" s="323"/>
      <c r="C29" s="331"/>
      <c r="D29" s="323"/>
      <c r="E29" s="323"/>
      <c r="F29" s="342"/>
      <c r="G29" s="308"/>
    </row>
    <row r="30" spans="1:10" ht="15" thickBot="1" x14ac:dyDescent="0.35">
      <c r="A30" s="347"/>
      <c r="B30" s="348" t="s">
        <v>248</v>
      </c>
      <c r="C30" s="349"/>
      <c r="D30" s="349"/>
      <c r="E30" s="349"/>
      <c r="F30" s="350">
        <f>F28</f>
        <v>2092416</v>
      </c>
      <c r="G30" s="311"/>
    </row>
    <row r="31" spans="1:10" x14ac:dyDescent="0.3">
      <c r="F31" s="325"/>
      <c r="G31" s="311"/>
    </row>
    <row r="33" spans="1:16" ht="15" thickBot="1" x14ac:dyDescent="0.35">
      <c r="F33" s="289">
        <f>SUM(F30:F31)</f>
        <v>2092416</v>
      </c>
      <c r="G33" s="289"/>
      <c r="K33" s="298" t="s">
        <v>556</v>
      </c>
      <c r="L33" s="298" t="s">
        <v>557</v>
      </c>
      <c r="M33" s="298" t="s">
        <v>308</v>
      </c>
      <c r="N33" s="298" t="s">
        <v>309</v>
      </c>
      <c r="O33" s="298" t="s">
        <v>558</v>
      </c>
      <c r="P33" s="298" t="s">
        <v>559</v>
      </c>
    </row>
    <row r="34" spans="1:16" ht="86.4" x14ac:dyDescent="0.3">
      <c r="B34" s="100"/>
      <c r="C34" s="103"/>
      <c r="D34" s="91"/>
      <c r="E34" s="91"/>
      <c r="I34" s="100"/>
      <c r="J34" s="292"/>
      <c r="K34" s="299">
        <v>1</v>
      </c>
      <c r="L34" s="299" t="s">
        <v>539</v>
      </c>
      <c r="M34" s="300" t="s">
        <v>541</v>
      </c>
      <c r="N34" s="299">
        <v>2</v>
      </c>
      <c r="O34" s="301">
        <v>480000</v>
      </c>
      <c r="P34" s="299">
        <f>N34*O34</f>
        <v>960000</v>
      </c>
    </row>
    <row r="35" spans="1:16" ht="86.4" x14ac:dyDescent="0.3">
      <c r="B35" s="101"/>
      <c r="C35" s="98"/>
      <c r="I35" s="101"/>
      <c r="J35" s="293"/>
      <c r="K35" s="299">
        <v>2</v>
      </c>
      <c r="L35" s="299" t="s">
        <v>333</v>
      </c>
      <c r="M35" s="300" t="s">
        <v>542</v>
      </c>
      <c r="N35" s="299">
        <v>2</v>
      </c>
      <c r="O35" s="301">
        <v>720000</v>
      </c>
      <c r="P35" s="299">
        <f t="shared" ref="P35:P41" si="0">N35*O35</f>
        <v>1440000</v>
      </c>
    </row>
    <row r="36" spans="1:16" ht="100.8" x14ac:dyDescent="0.3">
      <c r="B36" s="101"/>
      <c r="C36" s="98"/>
      <c r="I36" s="101"/>
      <c r="J36" s="293"/>
      <c r="K36" s="299">
        <v>3</v>
      </c>
      <c r="L36" s="299" t="s">
        <v>540</v>
      </c>
      <c r="M36" s="300" t="s">
        <v>547</v>
      </c>
      <c r="N36" s="299">
        <v>2</v>
      </c>
      <c r="O36" s="301">
        <v>840000</v>
      </c>
      <c r="P36" s="299">
        <f t="shared" si="0"/>
        <v>1680000</v>
      </c>
    </row>
    <row r="37" spans="1:16" ht="28.8" x14ac:dyDescent="0.3">
      <c r="B37" s="101"/>
      <c r="C37" s="98"/>
      <c r="D37" s="98"/>
      <c r="E37" s="91"/>
      <c r="I37" s="101"/>
      <c r="J37" s="293"/>
      <c r="K37" s="299">
        <v>4</v>
      </c>
      <c r="L37" s="299" t="s">
        <v>543</v>
      </c>
      <c r="M37" s="300" t="s">
        <v>544</v>
      </c>
      <c r="N37" s="299">
        <v>1</v>
      </c>
      <c r="O37" s="301">
        <v>3480000</v>
      </c>
      <c r="P37" s="299">
        <f t="shared" si="0"/>
        <v>3480000</v>
      </c>
    </row>
    <row r="38" spans="1:16" x14ac:dyDescent="0.3">
      <c r="B38" s="101"/>
      <c r="C38" s="98"/>
      <c r="D38" s="98"/>
      <c r="F38" s="91"/>
      <c r="G38" s="91"/>
      <c r="I38" s="101"/>
      <c r="J38" s="293"/>
      <c r="K38" s="299">
        <v>5</v>
      </c>
      <c r="L38" s="299" t="s">
        <v>545</v>
      </c>
      <c r="M38" s="300" t="s">
        <v>546</v>
      </c>
      <c r="N38" s="299">
        <v>2</v>
      </c>
      <c r="O38" s="301">
        <v>480000</v>
      </c>
      <c r="P38" s="299">
        <f t="shared" si="0"/>
        <v>960000</v>
      </c>
    </row>
    <row r="39" spans="1:16" ht="43.8" thickBot="1" x14ac:dyDescent="0.35">
      <c r="B39" s="102"/>
      <c r="C39" s="99"/>
      <c r="D39" s="99"/>
      <c r="I39" s="101"/>
      <c r="J39" s="293"/>
      <c r="K39" s="299">
        <v>6</v>
      </c>
      <c r="L39" s="299" t="s">
        <v>548</v>
      </c>
      <c r="M39" s="300" t="s">
        <v>549</v>
      </c>
      <c r="N39" s="299">
        <v>2</v>
      </c>
      <c r="O39" s="301">
        <v>620000</v>
      </c>
      <c r="P39" s="299">
        <f t="shared" si="0"/>
        <v>1240000</v>
      </c>
    </row>
    <row r="40" spans="1:16" x14ac:dyDescent="0.3">
      <c r="I40" s="101"/>
      <c r="J40" s="294"/>
      <c r="K40" s="299">
        <v>7</v>
      </c>
      <c r="L40" s="299" t="s">
        <v>554</v>
      </c>
      <c r="M40" s="299"/>
      <c r="N40" s="299">
        <v>6</v>
      </c>
      <c r="O40" s="301">
        <v>220000</v>
      </c>
      <c r="P40" s="299">
        <f t="shared" si="0"/>
        <v>1320000</v>
      </c>
    </row>
    <row r="41" spans="1:16" x14ac:dyDescent="0.3">
      <c r="I41" s="101"/>
      <c r="J41" s="295"/>
      <c r="K41" s="299">
        <v>8</v>
      </c>
      <c r="L41" s="299" t="s">
        <v>560</v>
      </c>
      <c r="M41" s="299"/>
      <c r="N41" s="299">
        <v>12</v>
      </c>
      <c r="O41" s="301">
        <v>650000</v>
      </c>
      <c r="P41" s="299">
        <f t="shared" si="0"/>
        <v>7800000</v>
      </c>
    </row>
    <row r="42" spans="1:16" ht="15" thickBot="1" x14ac:dyDescent="0.35">
      <c r="A42" s="65"/>
      <c r="B42" s="66"/>
      <c r="C42" s="66"/>
      <c r="D42" s="67"/>
      <c r="E42" s="67"/>
      <c r="F42" s="68"/>
      <c r="G42" s="305"/>
      <c r="I42" s="102"/>
      <c r="J42" s="296"/>
      <c r="K42" s="299"/>
      <c r="L42" s="299"/>
      <c r="M42" s="299"/>
      <c r="N42" s="299"/>
      <c r="O42" s="299"/>
      <c r="P42" s="299"/>
    </row>
    <row r="43" spans="1:16" ht="15" thickBot="1" x14ac:dyDescent="0.35">
      <c r="A43" s="377"/>
      <c r="B43" s="378"/>
      <c r="C43" s="378"/>
      <c r="D43" s="378"/>
      <c r="E43" s="378"/>
      <c r="F43" s="379"/>
      <c r="G43" s="306"/>
      <c r="I43" s="115"/>
      <c r="J43" s="297"/>
      <c r="K43" s="299"/>
      <c r="L43" s="299"/>
      <c r="M43" s="299"/>
      <c r="N43" s="299"/>
      <c r="O43" s="299"/>
      <c r="P43" s="302">
        <f>SUM(P34:P41)</f>
        <v>18880000</v>
      </c>
    </row>
    <row r="44" spans="1:16" ht="15" thickBot="1" x14ac:dyDescent="0.35">
      <c r="A44" s="369"/>
      <c r="B44" s="69"/>
      <c r="C44" s="70"/>
      <c r="D44" s="71"/>
      <c r="E44" s="71"/>
      <c r="F44" s="72"/>
      <c r="G44" s="307"/>
      <c r="I44" s="117"/>
      <c r="J44" s="110"/>
      <c r="K44" s="290"/>
      <c r="L44" s="290"/>
      <c r="M44" s="290"/>
      <c r="N44" s="290"/>
      <c r="O44" s="290"/>
      <c r="P44" s="291"/>
    </row>
    <row r="45" spans="1:16" ht="15" thickBot="1" x14ac:dyDescent="0.35">
      <c r="A45" s="370"/>
      <c r="B45" s="73"/>
      <c r="C45" s="74"/>
      <c r="D45" s="75"/>
      <c r="E45" s="75"/>
      <c r="F45" s="75"/>
      <c r="G45" s="308"/>
      <c r="I45" s="117"/>
      <c r="J45" s="110"/>
      <c r="K45" s="290"/>
      <c r="L45" s="290"/>
      <c r="M45" s="290"/>
      <c r="N45" s="290"/>
      <c r="O45" s="290"/>
      <c r="P45" s="290"/>
    </row>
    <row r="46" spans="1:16" x14ac:dyDescent="0.3">
      <c r="A46" s="370"/>
      <c r="B46" s="76"/>
      <c r="C46" s="74"/>
      <c r="D46" s="77"/>
      <c r="E46" s="75"/>
      <c r="F46" s="75"/>
      <c r="G46" s="308"/>
      <c r="K46" s="290"/>
      <c r="L46" s="290"/>
      <c r="M46" s="290"/>
      <c r="N46" s="290"/>
      <c r="O46" s="290"/>
      <c r="P46" s="290"/>
    </row>
    <row r="47" spans="1:16" x14ac:dyDescent="0.3">
      <c r="A47" s="371"/>
      <c r="B47" s="78"/>
      <c r="C47" s="74"/>
      <c r="D47" s="79"/>
      <c r="E47" s="75"/>
      <c r="F47" s="75"/>
      <c r="G47" s="308"/>
      <c r="K47" s="290"/>
      <c r="L47" s="290"/>
      <c r="M47" s="290"/>
      <c r="N47" s="290"/>
      <c r="O47" s="290"/>
      <c r="P47" s="290"/>
    </row>
    <row r="48" spans="1:16" x14ac:dyDescent="0.3">
      <c r="A48" s="381"/>
      <c r="B48" s="69"/>
      <c r="C48" s="70"/>
      <c r="D48" s="71"/>
      <c r="E48" s="71"/>
      <c r="F48" s="72"/>
      <c r="G48" s="307"/>
      <c r="K48" s="380" t="s">
        <v>550</v>
      </c>
      <c r="L48" s="380"/>
      <c r="M48" s="380"/>
      <c r="N48" s="380"/>
      <c r="O48" s="380"/>
      <c r="P48" s="380"/>
    </row>
    <row r="49" spans="1:16" x14ac:dyDescent="0.3">
      <c r="A49" s="382"/>
      <c r="B49" s="73"/>
      <c r="C49" s="74"/>
      <c r="D49" s="75"/>
      <c r="E49" s="75"/>
      <c r="F49" s="75"/>
      <c r="G49" s="308"/>
      <c r="K49" s="299"/>
      <c r="L49" s="299"/>
      <c r="M49" s="299"/>
      <c r="N49" s="299"/>
      <c r="O49" s="299" t="s">
        <v>553</v>
      </c>
      <c r="P49" s="299"/>
    </row>
    <row r="50" spans="1:16" x14ac:dyDescent="0.3">
      <c r="A50" s="382"/>
      <c r="B50" s="76"/>
      <c r="C50" s="74"/>
      <c r="D50" s="77"/>
      <c r="E50" s="75"/>
      <c r="F50" s="75"/>
      <c r="G50" s="308"/>
      <c r="K50" s="299">
        <v>1</v>
      </c>
      <c r="L50" s="299" t="s">
        <v>551</v>
      </c>
      <c r="M50" s="299"/>
      <c r="N50" s="299">
        <v>2</v>
      </c>
      <c r="O50" s="301">
        <v>840000</v>
      </c>
      <c r="P50" s="299">
        <f>N50*O50</f>
        <v>1680000</v>
      </c>
    </row>
    <row r="51" spans="1:16" x14ac:dyDescent="0.3">
      <c r="A51" s="383"/>
      <c r="B51" s="78"/>
      <c r="C51" s="74"/>
      <c r="D51" s="79"/>
      <c r="E51" s="75"/>
      <c r="F51" s="75"/>
      <c r="G51" s="308"/>
      <c r="K51" s="299">
        <v>2</v>
      </c>
      <c r="L51" s="299" t="s">
        <v>552</v>
      </c>
      <c r="M51" s="299"/>
      <c r="N51" s="299">
        <v>2</v>
      </c>
      <c r="O51" s="301">
        <v>1640000</v>
      </c>
      <c r="P51" s="299">
        <f>N51*O51</f>
        <v>3280000</v>
      </c>
    </row>
    <row r="52" spans="1:16" x14ac:dyDescent="0.3">
      <c r="A52" s="381"/>
      <c r="B52" s="69"/>
      <c r="C52" s="70"/>
      <c r="D52" s="71"/>
      <c r="E52" s="71"/>
      <c r="F52" s="72"/>
      <c r="G52" s="307"/>
      <c r="K52" s="299">
        <v>3</v>
      </c>
      <c r="L52" s="299" t="s">
        <v>555</v>
      </c>
      <c r="M52" s="299"/>
      <c r="N52" s="299">
        <v>6</v>
      </c>
      <c r="O52" s="301">
        <v>600000</v>
      </c>
      <c r="P52" s="299">
        <f>N52*O52</f>
        <v>3600000</v>
      </c>
    </row>
    <row r="53" spans="1:16" x14ac:dyDescent="0.3">
      <c r="A53" s="382"/>
      <c r="B53" s="73"/>
      <c r="C53" s="74"/>
      <c r="D53" s="75"/>
      <c r="E53" s="75"/>
      <c r="F53" s="75"/>
      <c r="G53" s="308"/>
      <c r="K53" s="299"/>
      <c r="L53" s="299"/>
      <c r="M53" s="299"/>
      <c r="N53" s="299"/>
      <c r="O53" s="299"/>
      <c r="P53" s="299"/>
    </row>
    <row r="54" spans="1:16" x14ac:dyDescent="0.3">
      <c r="A54" s="382"/>
      <c r="B54" s="76"/>
      <c r="C54" s="74"/>
      <c r="D54" s="77"/>
      <c r="E54" s="75"/>
      <c r="F54" s="75"/>
      <c r="G54" s="308"/>
      <c r="K54" s="299"/>
      <c r="L54" s="299"/>
      <c r="M54" s="299"/>
      <c r="N54" s="299"/>
      <c r="O54" s="299"/>
      <c r="P54" s="302">
        <f>SUM(P50:P52)</f>
        <v>8560000</v>
      </c>
    </row>
    <row r="55" spans="1:16" x14ac:dyDescent="0.3">
      <c r="A55" s="383"/>
      <c r="B55" s="78"/>
      <c r="C55" s="74"/>
      <c r="D55" s="79"/>
      <c r="E55" s="75"/>
      <c r="F55" s="75"/>
      <c r="G55" s="308"/>
    </row>
    <row r="56" spans="1:16" x14ac:dyDescent="0.3">
      <c r="A56" s="381"/>
      <c r="B56" s="69"/>
      <c r="C56" s="70"/>
      <c r="D56" s="71"/>
      <c r="E56" s="71"/>
      <c r="F56" s="72"/>
      <c r="G56" s="307"/>
    </row>
    <row r="57" spans="1:16" x14ac:dyDescent="0.3">
      <c r="A57" s="382"/>
      <c r="B57" s="73"/>
      <c r="C57" s="74"/>
      <c r="D57" s="75"/>
      <c r="E57" s="75"/>
      <c r="F57" s="75"/>
      <c r="G57" s="308"/>
    </row>
    <row r="58" spans="1:16" x14ac:dyDescent="0.3">
      <c r="A58" s="382"/>
      <c r="B58" s="76"/>
      <c r="C58" s="74"/>
      <c r="D58" s="77"/>
      <c r="E58" s="75"/>
      <c r="F58" s="75"/>
      <c r="G58" s="308"/>
    </row>
    <row r="59" spans="1:16" x14ac:dyDescent="0.3">
      <c r="A59" s="383"/>
      <c r="B59" s="78"/>
      <c r="C59" s="74"/>
      <c r="D59" s="79"/>
      <c r="E59" s="75"/>
      <c r="F59" s="75"/>
      <c r="G59" s="308"/>
    </row>
    <row r="60" spans="1:16" x14ac:dyDescent="0.3">
      <c r="A60" s="88"/>
      <c r="B60" s="89"/>
      <c r="C60" s="74"/>
      <c r="D60" s="79"/>
      <c r="E60" s="75"/>
      <c r="F60" s="75"/>
      <c r="G60" s="308"/>
    </row>
    <row r="61" spans="1:16" x14ac:dyDescent="0.3">
      <c r="A61" s="87"/>
      <c r="B61" s="66"/>
      <c r="C61" s="87"/>
      <c r="D61" s="87"/>
      <c r="E61" s="87"/>
      <c r="F61" s="92"/>
      <c r="G61" s="311"/>
    </row>
    <row r="62" spans="1:16" x14ac:dyDescent="0.3">
      <c r="A62" s="81"/>
      <c r="B62" s="89"/>
      <c r="C62" s="74"/>
      <c r="D62" s="79"/>
      <c r="E62" s="75"/>
      <c r="F62" s="75"/>
      <c r="G62" s="308"/>
      <c r="J62" t="s">
        <v>566</v>
      </c>
    </row>
    <row r="63" spans="1:16" x14ac:dyDescent="0.3">
      <c r="A63" s="81"/>
      <c r="B63" s="90"/>
      <c r="C63" s="74"/>
      <c r="D63" s="79"/>
      <c r="E63" s="75"/>
      <c r="F63" s="75"/>
      <c r="G63" s="308"/>
      <c r="H63" t="s">
        <v>564</v>
      </c>
      <c r="I63" t="s">
        <v>63</v>
      </c>
    </row>
    <row r="64" spans="1:16" x14ac:dyDescent="0.3">
      <c r="A64" s="81"/>
      <c r="B64" s="82"/>
      <c r="C64" s="74"/>
      <c r="D64" s="79"/>
      <c r="E64" s="75"/>
      <c r="F64" s="75"/>
      <c r="G64" s="308"/>
    </row>
    <row r="65" spans="1:12" x14ac:dyDescent="0.3">
      <c r="A65" s="81"/>
      <c r="B65" s="82"/>
      <c r="C65" s="74"/>
      <c r="D65" s="79"/>
      <c r="E65" s="75"/>
      <c r="F65" s="75"/>
      <c r="G65" s="308">
        <v>1000</v>
      </c>
      <c r="H65">
        <f>G65*3</f>
        <v>3000</v>
      </c>
      <c r="J65" t="s">
        <v>562</v>
      </c>
      <c r="K65" t="s">
        <v>563</v>
      </c>
      <c r="L65" t="s">
        <v>565</v>
      </c>
    </row>
    <row r="66" spans="1:12" x14ac:dyDescent="0.3">
      <c r="A66" s="83"/>
      <c r="B66" s="84"/>
      <c r="C66" s="74"/>
      <c r="D66" s="79"/>
      <c r="E66" s="75"/>
      <c r="F66" s="75"/>
      <c r="G66" s="308"/>
    </row>
    <row r="67" spans="1:12" x14ac:dyDescent="0.3">
      <c r="A67" s="83"/>
      <c r="B67" s="84"/>
      <c r="C67" s="74"/>
      <c r="D67" s="79"/>
      <c r="E67" s="75"/>
      <c r="F67" s="75"/>
      <c r="G67" s="308"/>
    </row>
    <row r="68" spans="1:12" x14ac:dyDescent="0.3">
      <c r="A68" s="83"/>
      <c r="B68" s="84"/>
      <c r="C68" s="74"/>
      <c r="D68" s="79"/>
      <c r="E68" s="75"/>
      <c r="F68" s="75"/>
      <c r="G68" s="308"/>
    </row>
    <row r="69" spans="1:12" x14ac:dyDescent="0.3">
      <c r="A69" s="83"/>
      <c r="B69" s="68"/>
      <c r="C69" s="74"/>
      <c r="D69" s="75"/>
      <c r="E69" s="85"/>
      <c r="F69" s="75"/>
      <c r="G69" s="308"/>
    </row>
    <row r="70" spans="1:12" x14ac:dyDescent="0.3">
      <c r="A70" s="87"/>
      <c r="B70" s="66"/>
      <c r="C70" s="87"/>
      <c r="D70" s="87"/>
      <c r="E70" s="87"/>
      <c r="F70" s="92"/>
      <c r="G70" s="311"/>
    </row>
    <row r="71" spans="1:12" x14ac:dyDescent="0.3">
      <c r="A71" s="87"/>
      <c r="B71" s="87"/>
      <c r="C71" s="87"/>
      <c r="D71" s="87"/>
      <c r="E71" s="87"/>
      <c r="F71" s="75"/>
      <c r="G71" s="308"/>
    </row>
    <row r="72" spans="1:12" x14ac:dyDescent="0.3">
      <c r="A72" s="87"/>
      <c r="B72" s="87"/>
      <c r="C72" s="87"/>
      <c r="D72" s="87"/>
      <c r="E72" s="87"/>
      <c r="F72" s="75"/>
      <c r="G72" s="308"/>
    </row>
    <row r="73" spans="1:12" x14ac:dyDescent="0.3">
      <c r="A73" s="87"/>
      <c r="B73" s="93"/>
      <c r="C73" s="87"/>
      <c r="D73" s="87"/>
      <c r="E73" s="87"/>
      <c r="F73" s="92"/>
      <c r="G73" s="311"/>
    </row>
    <row r="75" spans="1:12" x14ac:dyDescent="0.3">
      <c r="A75" s="65"/>
      <c r="B75" s="66"/>
      <c r="C75" s="66"/>
      <c r="D75" s="67"/>
      <c r="E75" s="67"/>
      <c r="F75" s="68"/>
      <c r="G75" s="305"/>
    </row>
    <row r="76" spans="1:12" x14ac:dyDescent="0.3">
      <c r="A76" s="377"/>
      <c r="B76" s="378"/>
      <c r="C76" s="378"/>
      <c r="D76" s="378"/>
      <c r="E76" s="378"/>
      <c r="F76" s="379"/>
      <c r="G76" s="306"/>
    </row>
    <row r="77" spans="1:12" x14ac:dyDescent="0.3">
      <c r="A77" s="369"/>
      <c r="B77" s="69"/>
      <c r="C77" s="70"/>
      <c r="D77" s="71"/>
      <c r="E77" s="71"/>
      <c r="F77" s="72"/>
      <c r="G77" s="307"/>
    </row>
    <row r="78" spans="1:12" x14ac:dyDescent="0.3">
      <c r="A78" s="370"/>
      <c r="B78" s="73"/>
      <c r="C78" s="74"/>
      <c r="D78" s="75"/>
      <c r="E78" s="75"/>
      <c r="F78" s="75"/>
      <c r="G78" s="308"/>
    </row>
    <row r="79" spans="1:12" x14ac:dyDescent="0.3">
      <c r="A79" s="370"/>
      <c r="B79" s="76"/>
      <c r="C79" s="74"/>
      <c r="D79" s="77"/>
      <c r="E79" s="75"/>
      <c r="F79" s="75"/>
      <c r="G79" s="308"/>
    </row>
    <row r="80" spans="1:12" x14ac:dyDescent="0.3">
      <c r="A80" s="371"/>
      <c r="B80" s="78"/>
      <c r="C80" s="74"/>
      <c r="D80" s="79"/>
      <c r="E80" s="75"/>
      <c r="F80" s="75"/>
      <c r="G80" s="308"/>
    </row>
    <row r="81" spans="1:7" x14ac:dyDescent="0.3">
      <c r="A81" s="369"/>
      <c r="B81" s="69"/>
      <c r="C81" s="70"/>
      <c r="D81" s="71"/>
      <c r="E81" s="71"/>
      <c r="F81" s="72"/>
      <c r="G81" s="307"/>
    </row>
    <row r="82" spans="1:7" x14ac:dyDescent="0.3">
      <c r="A82" s="370"/>
      <c r="B82" s="73"/>
      <c r="C82" s="74"/>
      <c r="D82" s="75"/>
      <c r="E82" s="75"/>
      <c r="F82" s="75"/>
      <c r="G82" s="308"/>
    </row>
    <row r="83" spans="1:7" x14ac:dyDescent="0.3">
      <c r="A83" s="370"/>
      <c r="B83" s="76"/>
      <c r="C83" s="74"/>
      <c r="D83" s="77"/>
      <c r="E83" s="75"/>
      <c r="F83" s="75"/>
      <c r="G83" s="308"/>
    </row>
    <row r="84" spans="1:7" x14ac:dyDescent="0.3">
      <c r="A84" s="371"/>
      <c r="B84" s="78"/>
      <c r="C84" s="74"/>
      <c r="D84" s="79"/>
      <c r="E84" s="75"/>
      <c r="F84" s="75"/>
      <c r="G84" s="308"/>
    </row>
    <row r="85" spans="1:7" x14ac:dyDescent="0.3">
      <c r="A85" s="381"/>
      <c r="B85" s="69"/>
      <c r="C85" s="70"/>
      <c r="D85" s="71"/>
      <c r="E85" s="71"/>
      <c r="F85" s="72"/>
      <c r="G85" s="307"/>
    </row>
    <row r="86" spans="1:7" x14ac:dyDescent="0.3">
      <c r="A86" s="382"/>
      <c r="B86" s="73"/>
      <c r="C86" s="74"/>
      <c r="D86" s="75"/>
      <c r="E86" s="75"/>
      <c r="F86" s="75"/>
      <c r="G86" s="308"/>
    </row>
    <row r="87" spans="1:7" x14ac:dyDescent="0.3">
      <c r="A87" s="382"/>
      <c r="B87" s="76"/>
      <c r="C87" s="74"/>
      <c r="D87" s="77"/>
      <c r="E87" s="75"/>
      <c r="F87" s="75"/>
      <c r="G87" s="308"/>
    </row>
    <row r="88" spans="1:7" x14ac:dyDescent="0.3">
      <c r="A88" s="383"/>
      <c r="B88" s="78"/>
      <c r="C88" s="74"/>
      <c r="D88" s="79"/>
      <c r="E88" s="75"/>
      <c r="F88" s="75"/>
      <c r="G88" s="308"/>
    </row>
    <row r="89" spans="1:7" x14ac:dyDescent="0.3">
      <c r="A89" s="381"/>
      <c r="B89" s="69"/>
      <c r="C89" s="70"/>
      <c r="D89" s="71"/>
      <c r="E89" s="71"/>
      <c r="F89" s="72"/>
      <c r="G89" s="307"/>
    </row>
    <row r="90" spans="1:7" x14ac:dyDescent="0.3">
      <c r="A90" s="382"/>
      <c r="B90" s="73"/>
      <c r="C90" s="74"/>
      <c r="D90" s="75"/>
      <c r="E90" s="75"/>
      <c r="F90" s="75"/>
      <c r="G90" s="308"/>
    </row>
    <row r="91" spans="1:7" x14ac:dyDescent="0.3">
      <c r="A91" s="382"/>
      <c r="B91" s="76"/>
      <c r="C91" s="74"/>
      <c r="D91" s="77"/>
      <c r="E91" s="75"/>
      <c r="F91" s="75"/>
      <c r="G91" s="308"/>
    </row>
    <row r="92" spans="1:7" x14ac:dyDescent="0.3">
      <c r="A92" s="383"/>
      <c r="B92" s="78"/>
      <c r="C92" s="74"/>
      <c r="D92" s="79"/>
      <c r="E92" s="75"/>
      <c r="F92" s="75"/>
      <c r="G92" s="308"/>
    </row>
    <row r="93" spans="1:7" x14ac:dyDescent="0.3">
      <c r="A93" s="381"/>
      <c r="B93" s="69"/>
      <c r="C93" s="70"/>
      <c r="D93" s="71"/>
      <c r="E93" s="71"/>
      <c r="F93" s="72"/>
      <c r="G93" s="307"/>
    </row>
    <row r="94" spans="1:7" x14ac:dyDescent="0.3">
      <c r="A94" s="382"/>
      <c r="B94" s="73"/>
      <c r="C94" s="74"/>
      <c r="D94" s="75"/>
      <c r="E94" s="75"/>
      <c r="F94" s="75"/>
      <c r="G94" s="308"/>
    </row>
    <row r="95" spans="1:7" x14ac:dyDescent="0.3">
      <c r="A95" s="382"/>
      <c r="B95" s="76"/>
      <c r="C95" s="74"/>
      <c r="D95" s="77"/>
      <c r="E95" s="75"/>
      <c r="F95" s="75"/>
      <c r="G95" s="308"/>
    </row>
    <row r="96" spans="1:7" x14ac:dyDescent="0.3">
      <c r="A96" s="383"/>
      <c r="B96" s="78"/>
      <c r="C96" s="74"/>
      <c r="D96" s="79"/>
      <c r="E96" s="75"/>
      <c r="F96" s="75"/>
      <c r="G96" s="308"/>
    </row>
    <row r="97" spans="1:7" x14ac:dyDescent="0.3">
      <c r="A97" s="88"/>
      <c r="B97" s="89"/>
      <c r="C97" s="74"/>
      <c r="D97" s="79"/>
      <c r="E97" s="75"/>
      <c r="F97" s="75"/>
      <c r="G97" s="308"/>
    </row>
    <row r="98" spans="1:7" x14ac:dyDescent="0.3">
      <c r="A98" s="87"/>
      <c r="B98" s="66"/>
      <c r="C98" s="87"/>
      <c r="D98" s="87"/>
      <c r="E98" s="87"/>
      <c r="F98" s="92"/>
      <c r="G98" s="311"/>
    </row>
    <row r="99" spans="1:7" x14ac:dyDescent="0.3">
      <c r="A99" s="81"/>
      <c r="B99" s="89"/>
      <c r="C99" s="74"/>
      <c r="D99" s="79"/>
      <c r="E99" s="75"/>
      <c r="F99" s="75"/>
      <c r="G99" s="308"/>
    </row>
    <row r="100" spans="1:7" x14ac:dyDescent="0.3">
      <c r="A100" s="81"/>
      <c r="B100" s="90"/>
      <c r="C100" s="74"/>
      <c r="D100" s="79"/>
      <c r="E100" s="75"/>
      <c r="F100" s="75"/>
      <c r="G100" s="308"/>
    </row>
    <row r="101" spans="1:7" x14ac:dyDescent="0.3">
      <c r="A101" s="81"/>
      <c r="B101" s="82"/>
      <c r="C101" s="74"/>
      <c r="D101" s="79"/>
      <c r="E101" s="75"/>
      <c r="F101" s="75"/>
      <c r="G101" s="308"/>
    </row>
    <row r="102" spans="1:7" x14ac:dyDescent="0.3">
      <c r="A102" s="81"/>
      <c r="B102" s="82"/>
      <c r="C102" s="74"/>
      <c r="D102" s="79"/>
      <c r="E102" s="75"/>
      <c r="F102" s="75"/>
      <c r="G102" s="308"/>
    </row>
    <row r="103" spans="1:7" x14ac:dyDescent="0.3">
      <c r="A103" s="83"/>
      <c r="B103" s="84"/>
      <c r="C103" s="74"/>
      <c r="D103" s="79"/>
      <c r="E103" s="75"/>
      <c r="F103" s="75"/>
      <c r="G103" s="308"/>
    </row>
    <row r="104" spans="1:7" x14ac:dyDescent="0.3">
      <c r="A104" s="83"/>
      <c r="B104" s="84"/>
      <c r="C104" s="74"/>
      <c r="D104" s="79"/>
      <c r="E104" s="75"/>
      <c r="F104" s="75"/>
      <c r="G104" s="308"/>
    </row>
    <row r="105" spans="1:7" x14ac:dyDescent="0.3">
      <c r="A105" s="83"/>
      <c r="B105" s="84"/>
      <c r="C105" s="74"/>
      <c r="D105" s="79"/>
      <c r="E105" s="75"/>
      <c r="F105" s="75"/>
      <c r="G105" s="308"/>
    </row>
    <row r="106" spans="1:7" x14ac:dyDescent="0.3">
      <c r="A106" s="83"/>
      <c r="B106" s="68"/>
      <c r="C106" s="74"/>
      <c r="D106" s="75"/>
      <c r="E106" s="85"/>
      <c r="F106" s="75"/>
      <c r="G106" s="308"/>
    </row>
    <row r="107" spans="1:7" x14ac:dyDescent="0.3">
      <c r="A107" s="87"/>
      <c r="B107" s="66"/>
      <c r="C107" s="87"/>
      <c r="D107" s="87"/>
      <c r="E107" s="87"/>
      <c r="F107" s="92"/>
      <c r="G107" s="311"/>
    </row>
    <row r="108" spans="1:7" x14ac:dyDescent="0.3">
      <c r="A108" s="87"/>
      <c r="B108" s="87"/>
      <c r="C108" s="87"/>
      <c r="D108" s="87"/>
      <c r="E108" s="87"/>
      <c r="F108" s="75"/>
      <c r="G108" s="308"/>
    </row>
    <row r="109" spans="1:7" x14ac:dyDescent="0.3">
      <c r="A109" s="87"/>
      <c r="B109" s="87"/>
      <c r="C109" s="87"/>
      <c r="D109" s="87"/>
      <c r="E109" s="87"/>
      <c r="F109" s="75"/>
      <c r="G109" s="308"/>
    </row>
    <row r="110" spans="1:7" x14ac:dyDescent="0.3">
      <c r="A110" s="87"/>
      <c r="B110" s="93"/>
      <c r="C110" s="87"/>
      <c r="D110" s="87"/>
      <c r="E110" s="87"/>
      <c r="F110" s="92"/>
      <c r="G110" s="311"/>
    </row>
    <row r="114" spans="1:8" ht="15.6" thickBot="1" x14ac:dyDescent="0.35">
      <c r="A114" s="261"/>
    </row>
    <row r="115" spans="1:8" ht="31.8" thickBot="1" x14ac:dyDescent="0.35">
      <c r="A115" s="351" t="s">
        <v>122</v>
      </c>
      <c r="B115" s="352" t="s">
        <v>308</v>
      </c>
      <c r="C115" s="353" t="s">
        <v>570</v>
      </c>
      <c r="D115" s="353" t="s">
        <v>571</v>
      </c>
      <c r="E115" s="353" t="s">
        <v>572</v>
      </c>
      <c r="F115" s="353" t="s">
        <v>311</v>
      </c>
      <c r="G115" s="353" t="s">
        <v>397</v>
      </c>
      <c r="H115" s="353" t="s">
        <v>573</v>
      </c>
    </row>
    <row r="116" spans="1:8" ht="120.6" thickBot="1" x14ac:dyDescent="0.35">
      <c r="A116" s="354">
        <v>1</v>
      </c>
      <c r="B116" s="255" t="s">
        <v>576</v>
      </c>
      <c r="C116" s="355">
        <v>316600</v>
      </c>
      <c r="D116" s="356">
        <v>18</v>
      </c>
      <c r="E116" s="355">
        <f>D116/100*C116</f>
        <v>56988</v>
      </c>
      <c r="F116" s="355">
        <f>C116+E116</f>
        <v>373588</v>
      </c>
      <c r="G116" s="355">
        <v>4</v>
      </c>
      <c r="H116" s="357">
        <f>F116*G116</f>
        <v>1494352</v>
      </c>
    </row>
    <row r="117" spans="1:8" ht="120.6" thickBot="1" x14ac:dyDescent="0.35">
      <c r="A117" s="354">
        <v>2</v>
      </c>
      <c r="B117" s="255" t="s">
        <v>577</v>
      </c>
      <c r="C117" s="355">
        <v>571650</v>
      </c>
      <c r="D117" s="356">
        <v>18</v>
      </c>
      <c r="E117" s="355">
        <f>D117/100*C117</f>
        <v>102897</v>
      </c>
      <c r="F117" s="355">
        <f>C117+E117</f>
        <v>674547</v>
      </c>
      <c r="G117" s="355">
        <v>64</v>
      </c>
      <c r="H117" s="357">
        <f>F117*G117</f>
        <v>43171008</v>
      </c>
    </row>
    <row r="118" spans="1:8" ht="15" x14ac:dyDescent="0.3">
      <c r="A118" s="261"/>
    </row>
    <row r="119" spans="1:8" ht="15" x14ac:dyDescent="0.3">
      <c r="A119" s="261"/>
    </row>
    <row r="120" spans="1:8" ht="135" x14ac:dyDescent="0.3">
      <c r="A120" s="261" t="s">
        <v>574</v>
      </c>
    </row>
    <row r="121" spans="1:8" ht="60" x14ac:dyDescent="0.3">
      <c r="A121" s="261" t="s">
        <v>575</v>
      </c>
    </row>
  </sheetData>
  <mergeCells count="16">
    <mergeCell ref="A81:A84"/>
    <mergeCell ref="A85:A88"/>
    <mergeCell ref="A89:A92"/>
    <mergeCell ref="A93:A96"/>
    <mergeCell ref="A48:A51"/>
    <mergeCell ref="K48:P48"/>
    <mergeCell ref="A52:A55"/>
    <mergeCell ref="A56:A59"/>
    <mergeCell ref="A76:F76"/>
    <mergeCell ref="A77:A80"/>
    <mergeCell ref="A44:A47"/>
    <mergeCell ref="A3:F3"/>
    <mergeCell ref="A4:A7"/>
    <mergeCell ref="A8:A11"/>
    <mergeCell ref="A12:A15"/>
    <mergeCell ref="A43:F43"/>
  </mergeCells>
  <pageMargins left="0.7" right="0.7" top="0.75" bottom="0.75" header="0.3" footer="0.3"/>
  <pageSetup paperSize="9" scale="2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4653-7BCC-4019-94EE-9E70670CC755}">
  <sheetPr>
    <pageSetUpPr fitToPage="1"/>
  </sheetPr>
  <dimension ref="A1:M115"/>
  <sheetViews>
    <sheetView topLeftCell="A3" zoomScale="130" zoomScaleNormal="130" workbookViewId="0">
      <selection activeCell="H4" sqref="H4"/>
    </sheetView>
  </sheetViews>
  <sheetFormatPr defaultRowHeight="14.4" x14ac:dyDescent="0.3"/>
  <cols>
    <col min="1" max="1" width="8.88671875" style="59"/>
    <col min="2" max="2" width="35.6640625" customWidth="1"/>
    <col min="3" max="3" width="10.6640625" customWidth="1"/>
    <col min="4" max="4" width="12.88671875" customWidth="1"/>
    <col min="5" max="5" width="11.44140625" bestFit="1" customWidth="1"/>
    <col min="6" max="6" width="15.88671875" customWidth="1"/>
    <col min="7" max="7" width="13.88671875" customWidth="1"/>
    <col min="8" max="8" width="24" customWidth="1"/>
    <col min="9" max="9" width="38" bestFit="1" customWidth="1"/>
    <col min="10" max="10" width="14" customWidth="1"/>
    <col min="12" max="12" width="24.33203125" customWidth="1"/>
  </cols>
  <sheetData>
    <row r="1" spans="1:13" x14ac:dyDescent="0.3">
      <c r="F1" s="39"/>
      <c r="G1" s="39"/>
    </row>
    <row r="2" spans="1:13" ht="30.6" x14ac:dyDescent="0.3">
      <c r="A2" s="65" t="s">
        <v>222</v>
      </c>
      <c r="B2" s="66" t="s">
        <v>223</v>
      </c>
      <c r="C2" s="66" t="s">
        <v>224</v>
      </c>
      <c r="D2" s="67" t="s">
        <v>225</v>
      </c>
      <c r="E2" s="67" t="s">
        <v>226</v>
      </c>
      <c r="F2" s="68" t="s">
        <v>227</v>
      </c>
    </row>
    <row r="3" spans="1:13" x14ac:dyDescent="0.3">
      <c r="A3" s="377" t="s">
        <v>526</v>
      </c>
      <c r="B3" s="378"/>
      <c r="C3" s="378"/>
      <c r="D3" s="378"/>
      <c r="E3" s="378"/>
      <c r="F3" s="379"/>
      <c r="G3" s="1"/>
      <c r="H3" s="1"/>
      <c r="I3" s="1"/>
    </row>
    <row r="4" spans="1:13" x14ac:dyDescent="0.3">
      <c r="A4" s="369">
        <v>1</v>
      </c>
      <c r="B4" s="69" t="s">
        <v>524</v>
      </c>
      <c r="C4" s="70">
        <v>1</v>
      </c>
      <c r="D4" s="71"/>
      <c r="E4" s="71"/>
      <c r="F4" s="72">
        <f>SUM(F5:F7)*C4</f>
        <v>1096788</v>
      </c>
      <c r="G4" s="41"/>
      <c r="L4" t="s">
        <v>213</v>
      </c>
      <c r="M4" s="40">
        <v>4449</v>
      </c>
    </row>
    <row r="5" spans="1:13" x14ac:dyDescent="0.3">
      <c r="A5" s="370"/>
      <c r="B5" s="73" t="s">
        <v>236</v>
      </c>
      <c r="C5" s="74">
        <v>1</v>
      </c>
      <c r="D5" s="75">
        <v>49649</v>
      </c>
      <c r="E5" s="75">
        <f>D5*C5</f>
        <v>49649</v>
      </c>
      <c r="F5" s="75">
        <f>E5*12</f>
        <v>595788</v>
      </c>
      <c r="G5" s="41"/>
      <c r="L5" t="s">
        <v>214</v>
      </c>
      <c r="M5" s="40">
        <v>7349</v>
      </c>
    </row>
    <row r="6" spans="1:13" x14ac:dyDescent="0.3">
      <c r="A6" s="370"/>
      <c r="B6" s="76" t="s">
        <v>230</v>
      </c>
      <c r="C6" s="74">
        <v>48</v>
      </c>
      <c r="D6" s="77">
        <v>849</v>
      </c>
      <c r="E6" s="75">
        <f>D6*C6</f>
        <v>40752</v>
      </c>
      <c r="F6" s="75">
        <f>E6*12</f>
        <v>489024</v>
      </c>
      <c r="G6" s="41"/>
      <c r="L6" t="s">
        <v>215</v>
      </c>
      <c r="M6">
        <v>13349</v>
      </c>
    </row>
    <row r="7" spans="1:13" x14ac:dyDescent="0.3">
      <c r="A7" s="371"/>
      <c r="B7" s="78" t="s">
        <v>231</v>
      </c>
      <c r="C7" s="74">
        <v>2</v>
      </c>
      <c r="D7" s="79">
        <v>499</v>
      </c>
      <c r="E7" s="75">
        <f>D7*C7</f>
        <v>998</v>
      </c>
      <c r="F7" s="75">
        <f>E7*12</f>
        <v>11976</v>
      </c>
      <c r="G7" s="41"/>
      <c r="L7" t="s">
        <v>216</v>
      </c>
      <c r="M7">
        <v>19949</v>
      </c>
    </row>
    <row r="8" spans="1:13" x14ac:dyDescent="0.3">
      <c r="A8" s="381">
        <v>2</v>
      </c>
      <c r="B8" s="69" t="s">
        <v>525</v>
      </c>
      <c r="C8" s="80">
        <v>3</v>
      </c>
      <c r="D8" s="71"/>
      <c r="E8" s="71"/>
      <c r="F8" s="72">
        <f>SUM(F9:F11)*C8</f>
        <v>3254436</v>
      </c>
      <c r="G8" s="41"/>
      <c r="L8" t="s">
        <v>217</v>
      </c>
      <c r="M8">
        <v>25549</v>
      </c>
    </row>
    <row r="9" spans="1:13" x14ac:dyDescent="0.3">
      <c r="A9" s="382"/>
      <c r="B9" s="73" t="s">
        <v>236</v>
      </c>
      <c r="C9" s="74">
        <v>1</v>
      </c>
      <c r="D9" s="75">
        <v>49649</v>
      </c>
      <c r="E9" s="75">
        <f>D9*C9</f>
        <v>49649</v>
      </c>
      <c r="F9" s="75">
        <f>E9*12</f>
        <v>595788</v>
      </c>
      <c r="G9" s="41"/>
      <c r="L9" t="s">
        <v>218</v>
      </c>
      <c r="M9">
        <v>49649</v>
      </c>
    </row>
    <row r="10" spans="1:13" x14ac:dyDescent="0.3">
      <c r="A10" s="382"/>
      <c r="B10" s="76" t="s">
        <v>230</v>
      </c>
      <c r="C10" s="74">
        <v>48</v>
      </c>
      <c r="D10" s="77">
        <v>849</v>
      </c>
      <c r="E10" s="75">
        <f>D10*C10</f>
        <v>40752</v>
      </c>
      <c r="F10" s="75">
        <f>E10*12</f>
        <v>489024</v>
      </c>
      <c r="G10" s="41"/>
    </row>
    <row r="11" spans="1:13" x14ac:dyDescent="0.3">
      <c r="A11" s="383"/>
      <c r="B11" s="78" t="s">
        <v>232</v>
      </c>
      <c r="C11" s="74">
        <v>0</v>
      </c>
      <c r="D11" s="79">
        <v>499</v>
      </c>
      <c r="E11" s="75">
        <f>D11*C11</f>
        <v>0</v>
      </c>
      <c r="F11" s="75">
        <f>E11*12</f>
        <v>0</v>
      </c>
      <c r="G11" s="41"/>
      <c r="H11" s="43"/>
      <c r="I11" s="44" t="s">
        <v>304</v>
      </c>
      <c r="J11" s="44" t="s">
        <v>305</v>
      </c>
      <c r="L11" t="s">
        <v>220</v>
      </c>
      <c r="M11">
        <v>2110</v>
      </c>
    </row>
    <row r="12" spans="1:13" x14ac:dyDescent="0.3">
      <c r="A12" s="381">
        <v>3</v>
      </c>
      <c r="B12" s="69" t="s">
        <v>527</v>
      </c>
      <c r="C12" s="80">
        <v>4</v>
      </c>
      <c r="D12" s="71"/>
      <c r="E12" s="71"/>
      <c r="F12" s="72">
        <f>SUM(F13:F15)*C12</f>
        <v>3035184</v>
      </c>
      <c r="G12" s="41"/>
      <c r="H12" s="43" t="s">
        <v>263</v>
      </c>
      <c r="I12" s="118">
        <f>I31+744000</f>
        <v>25488758</v>
      </c>
      <c r="J12" s="119">
        <f>E39</f>
        <v>0</v>
      </c>
      <c r="L12" t="s">
        <v>219</v>
      </c>
      <c r="M12">
        <v>849</v>
      </c>
    </row>
    <row r="13" spans="1:13" x14ac:dyDescent="0.3">
      <c r="A13" s="382"/>
      <c r="B13" s="73" t="s">
        <v>236</v>
      </c>
      <c r="C13" s="74">
        <v>1</v>
      </c>
      <c r="D13" s="75">
        <v>49649</v>
      </c>
      <c r="E13" s="75">
        <f>D13*C13</f>
        <v>49649</v>
      </c>
      <c r="F13" s="75">
        <f>E13*12</f>
        <v>595788</v>
      </c>
      <c r="G13" s="41"/>
      <c r="H13" s="43" t="s">
        <v>265</v>
      </c>
      <c r="I13" s="43">
        <v>9689988</v>
      </c>
      <c r="J13" s="120">
        <f>E40</f>
        <v>0</v>
      </c>
      <c r="K13">
        <v>9701553</v>
      </c>
      <c r="L13" t="s">
        <v>221</v>
      </c>
      <c r="M13" s="42">
        <v>499</v>
      </c>
    </row>
    <row r="14" spans="1:13" x14ac:dyDescent="0.3">
      <c r="A14" s="382"/>
      <c r="B14" s="76" t="s">
        <v>230</v>
      </c>
      <c r="C14" s="74">
        <v>16</v>
      </c>
      <c r="D14" s="77">
        <v>849</v>
      </c>
      <c r="E14" s="75">
        <f>D14*C14</f>
        <v>13584</v>
      </c>
      <c r="F14" s="75">
        <f>E14*12</f>
        <v>163008</v>
      </c>
      <c r="G14" s="41"/>
      <c r="H14" s="43" t="s">
        <v>266</v>
      </c>
      <c r="I14" s="43">
        <v>4232974</v>
      </c>
      <c r="J14" s="120">
        <f>E41</f>
        <v>0</v>
      </c>
      <c r="K14">
        <v>4215870</v>
      </c>
      <c r="L14">
        <v>21.89</v>
      </c>
    </row>
    <row r="15" spans="1:13" x14ac:dyDescent="0.3">
      <c r="A15" s="383"/>
      <c r="B15" s="78" t="s">
        <v>232</v>
      </c>
      <c r="C15" s="74">
        <v>0</v>
      </c>
      <c r="D15" s="79">
        <v>499</v>
      </c>
      <c r="E15" s="75">
        <f>D15*C15</f>
        <v>0</v>
      </c>
      <c r="F15" s="75">
        <f>E15*12</f>
        <v>0</v>
      </c>
      <c r="G15" s="41"/>
      <c r="H15" s="43"/>
      <c r="I15" s="43"/>
      <c r="J15" s="43"/>
      <c r="L15">
        <v>12.57</v>
      </c>
    </row>
    <row r="16" spans="1:13" x14ac:dyDescent="0.3">
      <c r="A16" s="381">
        <v>4</v>
      </c>
      <c r="B16" s="69" t="s">
        <v>528</v>
      </c>
      <c r="C16" s="80">
        <v>0</v>
      </c>
      <c r="D16" s="71"/>
      <c r="E16" s="71"/>
      <c r="F16" s="72">
        <f>SUM(F17:F19)*C16</f>
        <v>0</v>
      </c>
      <c r="G16" s="41"/>
      <c r="H16" s="43"/>
      <c r="I16" s="121">
        <f>SUM(I12:I14)</f>
        <v>39411720</v>
      </c>
      <c r="J16" s="121">
        <f>SUM(J12:J14)</f>
        <v>0</v>
      </c>
    </row>
    <row r="17" spans="1:9" x14ac:dyDescent="0.3">
      <c r="A17" s="382"/>
      <c r="B17" s="73" t="s">
        <v>236</v>
      </c>
      <c r="C17" s="74">
        <v>1</v>
      </c>
      <c r="D17" s="75">
        <v>49649</v>
      </c>
      <c r="E17" s="75">
        <f>D17*C17</f>
        <v>49649</v>
      </c>
      <c r="F17" s="75">
        <f>E17*12</f>
        <v>595788</v>
      </c>
      <c r="G17" s="41"/>
    </row>
    <row r="18" spans="1:9" x14ac:dyDescent="0.3">
      <c r="A18" s="382"/>
      <c r="B18" s="76" t="s">
        <v>230</v>
      </c>
      <c r="C18" s="74">
        <v>16</v>
      </c>
      <c r="D18" s="77">
        <v>849</v>
      </c>
      <c r="E18" s="75">
        <f>D18*C18</f>
        <v>13584</v>
      </c>
      <c r="F18" s="75">
        <f>E18*12</f>
        <v>163008</v>
      </c>
      <c r="G18" s="41"/>
      <c r="I18" t="s">
        <v>263</v>
      </c>
    </row>
    <row r="19" spans="1:9" x14ac:dyDescent="0.3">
      <c r="A19" s="383"/>
      <c r="B19" s="78" t="s">
        <v>232</v>
      </c>
      <c r="C19" s="74">
        <v>0</v>
      </c>
      <c r="D19" s="79">
        <v>499</v>
      </c>
      <c r="E19" s="75">
        <f>D19*C19</f>
        <v>0</v>
      </c>
      <c r="F19" s="75">
        <f>E19*12</f>
        <v>0</v>
      </c>
      <c r="G19" s="41"/>
      <c r="I19" t="s">
        <v>265</v>
      </c>
    </row>
    <row r="20" spans="1:9" x14ac:dyDescent="0.3">
      <c r="A20" s="88"/>
      <c r="B20" s="89"/>
      <c r="C20" s="74"/>
      <c r="D20" s="79"/>
      <c r="E20" s="75"/>
      <c r="F20" s="75"/>
      <c r="G20" s="41"/>
      <c r="I20" t="s">
        <v>266</v>
      </c>
    </row>
    <row r="21" spans="1:9" x14ac:dyDescent="0.3">
      <c r="A21" s="87"/>
      <c r="B21" s="66" t="s">
        <v>240</v>
      </c>
      <c r="C21" s="87"/>
      <c r="D21" s="87"/>
      <c r="E21" s="87"/>
      <c r="F21" s="92">
        <f>SUM(F16,F12,F8,F4,F20)</f>
        <v>7386408</v>
      </c>
      <c r="G21" s="41"/>
    </row>
    <row r="22" spans="1:9" x14ac:dyDescent="0.3">
      <c r="A22" s="81"/>
      <c r="B22" s="89"/>
      <c r="C22" s="74"/>
      <c r="D22" s="79"/>
      <c r="E22" s="75"/>
      <c r="F22" s="75"/>
      <c r="G22" s="41"/>
    </row>
    <row r="23" spans="1:9" x14ac:dyDescent="0.3">
      <c r="A23" s="81"/>
      <c r="B23" s="90" t="s">
        <v>241</v>
      </c>
      <c r="C23" s="74"/>
      <c r="D23" s="79"/>
      <c r="E23" s="75"/>
      <c r="F23" s="75"/>
      <c r="G23" s="41"/>
      <c r="H23">
        <v>1850</v>
      </c>
      <c r="I23">
        <f>25000/12</f>
        <v>2083.3333333333335</v>
      </c>
    </row>
    <row r="24" spans="1:9" x14ac:dyDescent="0.3">
      <c r="A24" s="81">
        <v>1</v>
      </c>
      <c r="B24" s="82" t="s">
        <v>237</v>
      </c>
      <c r="C24" s="74">
        <v>4</v>
      </c>
      <c r="D24" s="79">
        <v>2083</v>
      </c>
      <c r="E24" s="75">
        <f>D24*C24</f>
        <v>8332</v>
      </c>
      <c r="F24" s="75">
        <f t="shared" ref="F24:F29" si="0">E24*12</f>
        <v>99984</v>
      </c>
      <c r="G24" s="41"/>
    </row>
    <row r="25" spans="1:9" x14ac:dyDescent="0.3">
      <c r="A25" s="81">
        <v>2</v>
      </c>
      <c r="B25" s="82" t="s">
        <v>267</v>
      </c>
      <c r="C25" s="74">
        <v>4</v>
      </c>
      <c r="D25" s="79">
        <v>4670</v>
      </c>
      <c r="E25" s="75">
        <f>D25*C25</f>
        <v>18680</v>
      </c>
      <c r="F25" s="75">
        <f t="shared" si="0"/>
        <v>224160</v>
      </c>
      <c r="G25" s="41"/>
    </row>
    <row r="26" spans="1:9" x14ac:dyDescent="0.3">
      <c r="A26" s="81">
        <v>3</v>
      </c>
      <c r="B26" s="82" t="s">
        <v>530</v>
      </c>
      <c r="C26" s="74">
        <v>16</v>
      </c>
      <c r="D26" s="79">
        <v>1950</v>
      </c>
      <c r="E26" s="75">
        <f>C26*D26</f>
        <v>31200</v>
      </c>
      <c r="F26" s="75">
        <f t="shared" si="0"/>
        <v>374400</v>
      </c>
      <c r="G26" s="41"/>
    </row>
    <row r="27" spans="1:9" ht="15.6" x14ac:dyDescent="0.3">
      <c r="A27" s="83">
        <v>3</v>
      </c>
      <c r="B27" s="84" t="s">
        <v>239</v>
      </c>
      <c r="C27" s="74">
        <v>1</v>
      </c>
      <c r="D27" s="79">
        <v>22200</v>
      </c>
      <c r="E27" s="75">
        <f>D27*C27</f>
        <v>22200</v>
      </c>
      <c r="F27" s="75">
        <f t="shared" si="0"/>
        <v>266400</v>
      </c>
      <c r="G27" s="41"/>
      <c r="H27" t="s">
        <v>255</v>
      </c>
      <c r="I27" s="94">
        <v>15111480</v>
      </c>
    </row>
    <row r="28" spans="1:9" x14ac:dyDescent="0.3">
      <c r="A28" s="83">
        <v>4</v>
      </c>
      <c r="B28" s="84" t="s">
        <v>287</v>
      </c>
      <c r="C28" s="74">
        <v>3</v>
      </c>
      <c r="D28" s="79">
        <v>1340</v>
      </c>
      <c r="E28" s="75">
        <f>D28*C28</f>
        <v>4020</v>
      </c>
      <c r="F28" s="75">
        <f t="shared" si="0"/>
        <v>48240</v>
      </c>
      <c r="G28" s="41"/>
      <c r="H28" t="s">
        <v>256</v>
      </c>
      <c r="I28" s="95">
        <v>2644848</v>
      </c>
    </row>
    <row r="29" spans="1:9" x14ac:dyDescent="0.3">
      <c r="A29" s="83">
        <v>5</v>
      </c>
      <c r="B29" s="84" t="s">
        <v>244</v>
      </c>
      <c r="C29" s="74">
        <v>1</v>
      </c>
      <c r="D29" s="79">
        <v>13440</v>
      </c>
      <c r="E29" s="75">
        <f>D29*C29</f>
        <v>13440</v>
      </c>
      <c r="F29" s="75">
        <f t="shared" si="0"/>
        <v>161280</v>
      </c>
      <c r="G29" s="41"/>
      <c r="H29" t="s">
        <v>257</v>
      </c>
      <c r="I29" s="95">
        <v>6988430</v>
      </c>
    </row>
    <row r="30" spans="1:9" x14ac:dyDescent="0.3">
      <c r="A30" s="83">
        <v>6</v>
      </c>
      <c r="B30" s="75" t="s">
        <v>529</v>
      </c>
      <c r="C30" s="75"/>
      <c r="D30" s="75"/>
      <c r="E30" s="75"/>
      <c r="F30" s="75"/>
    </row>
    <row r="31" spans="1:9" x14ac:dyDescent="0.3">
      <c r="I31" s="96">
        <f>SUM(I27:I29)</f>
        <v>24744758</v>
      </c>
    </row>
    <row r="32" spans="1:9" x14ac:dyDescent="0.3">
      <c r="A32" s="87"/>
      <c r="B32" s="66" t="s">
        <v>242</v>
      </c>
      <c r="C32" s="87"/>
      <c r="D32" s="87"/>
      <c r="E32" s="87"/>
      <c r="F32" s="92">
        <f>SUM(F24:F30)</f>
        <v>1174464</v>
      </c>
    </row>
    <row r="33" spans="1:9" x14ac:dyDescent="0.3">
      <c r="A33" s="87"/>
      <c r="B33" s="87" t="s">
        <v>246</v>
      </c>
      <c r="C33" s="87"/>
      <c r="D33" s="87"/>
      <c r="E33" s="87"/>
      <c r="F33" s="75">
        <f>F32+F21</f>
        <v>8560872</v>
      </c>
    </row>
    <row r="34" spans="1:9" x14ac:dyDescent="0.3">
      <c r="A34" s="87"/>
      <c r="B34" s="87" t="s">
        <v>247</v>
      </c>
      <c r="C34" s="87"/>
      <c r="D34" s="87"/>
      <c r="E34" s="87"/>
      <c r="F34" s="75">
        <f>F33*0.3</f>
        <v>2568261.6</v>
      </c>
    </row>
    <row r="35" spans="1:9" x14ac:dyDescent="0.3">
      <c r="A35" s="87"/>
      <c r="B35" s="93" t="s">
        <v>248</v>
      </c>
      <c r="C35" s="87"/>
      <c r="D35" s="87"/>
      <c r="E35" s="87"/>
      <c r="F35" s="92">
        <f>F33-F34</f>
        <v>5992610.4000000004</v>
      </c>
    </row>
    <row r="36" spans="1:9" x14ac:dyDescent="0.3">
      <c r="B36" t="s">
        <v>531</v>
      </c>
      <c r="C36">
        <v>10</v>
      </c>
      <c r="D36">
        <v>250000</v>
      </c>
      <c r="E36">
        <v>1</v>
      </c>
      <c r="F36" s="92">
        <f>2500000</f>
        <v>2500000</v>
      </c>
    </row>
    <row r="38" spans="1:9" ht="15" thickBot="1" x14ac:dyDescent="0.35">
      <c r="F38" s="289">
        <f>SUM(F35:F36)</f>
        <v>8492610.4000000004</v>
      </c>
    </row>
    <row r="39" spans="1:9" x14ac:dyDescent="0.3">
      <c r="B39" s="100"/>
      <c r="C39" s="103"/>
      <c r="D39" s="91"/>
      <c r="E39" s="91"/>
      <c r="H39" s="100"/>
      <c r="I39" s="111"/>
    </row>
    <row r="40" spans="1:9" x14ac:dyDescent="0.3">
      <c r="B40" s="101"/>
      <c r="C40" s="98"/>
      <c r="H40" s="101"/>
      <c r="I40" s="47"/>
    </row>
    <row r="41" spans="1:9" x14ac:dyDescent="0.3">
      <c r="B41" s="101"/>
      <c r="C41" s="98"/>
      <c r="H41" s="101"/>
      <c r="I41" s="47"/>
    </row>
    <row r="42" spans="1:9" x14ac:dyDescent="0.3">
      <c r="B42" s="101"/>
      <c r="C42" s="98"/>
      <c r="D42" s="98"/>
      <c r="E42" s="91"/>
      <c r="H42" s="101"/>
      <c r="I42" s="47"/>
    </row>
    <row r="43" spans="1:9" x14ac:dyDescent="0.3">
      <c r="B43" s="101"/>
      <c r="C43" s="98"/>
      <c r="D43" s="98"/>
      <c r="F43" s="91"/>
      <c r="H43" s="101"/>
      <c r="I43" s="47"/>
    </row>
    <row r="44" spans="1:9" ht="15" thickBot="1" x14ac:dyDescent="0.35">
      <c r="B44" s="102"/>
      <c r="C44" s="99"/>
      <c r="D44" s="99"/>
      <c r="H44" s="101"/>
      <c r="I44" s="47"/>
    </row>
    <row r="45" spans="1:9" x14ac:dyDescent="0.3">
      <c r="H45" s="101"/>
      <c r="I45" s="112"/>
    </row>
    <row r="46" spans="1:9" x14ac:dyDescent="0.3">
      <c r="H46" s="101"/>
      <c r="I46" s="113"/>
    </row>
    <row r="47" spans="1:9" ht="15" thickBot="1" x14ac:dyDescent="0.35">
      <c r="A47" s="65"/>
      <c r="B47" s="66"/>
      <c r="C47" s="66"/>
      <c r="D47" s="67"/>
      <c r="E47" s="67"/>
      <c r="F47" s="68"/>
      <c r="H47" s="102"/>
      <c r="I47" s="114"/>
    </row>
    <row r="48" spans="1:9" ht="15" thickBot="1" x14ac:dyDescent="0.35">
      <c r="A48" s="377"/>
      <c r="B48" s="378"/>
      <c r="C48" s="378"/>
      <c r="D48" s="378"/>
      <c r="E48" s="378"/>
      <c r="F48" s="379"/>
      <c r="H48" s="115"/>
      <c r="I48" s="116"/>
    </row>
    <row r="49" spans="1:9" ht="15" thickBot="1" x14ac:dyDescent="0.35">
      <c r="A49" s="369"/>
      <c r="B49" s="69"/>
      <c r="C49" s="70"/>
      <c r="D49" s="71"/>
      <c r="E49" s="71"/>
      <c r="F49" s="72"/>
      <c r="H49" s="117"/>
      <c r="I49" s="110"/>
    </row>
    <row r="50" spans="1:9" ht="15" thickBot="1" x14ac:dyDescent="0.35">
      <c r="A50" s="370"/>
      <c r="B50" s="73"/>
      <c r="C50" s="74"/>
      <c r="D50" s="75"/>
      <c r="E50" s="75"/>
      <c r="F50" s="75"/>
      <c r="H50" s="117"/>
      <c r="I50" s="110"/>
    </row>
    <row r="51" spans="1:9" x14ac:dyDescent="0.3">
      <c r="A51" s="370"/>
      <c r="B51" s="76"/>
      <c r="C51" s="74"/>
      <c r="D51" s="77"/>
      <c r="E51" s="75"/>
      <c r="F51" s="75"/>
    </row>
    <row r="52" spans="1:9" x14ac:dyDescent="0.3">
      <c r="A52" s="371"/>
      <c r="B52" s="78"/>
      <c r="C52" s="74"/>
      <c r="D52" s="79"/>
      <c r="E52" s="75"/>
      <c r="F52" s="75"/>
    </row>
    <row r="53" spans="1:9" x14ac:dyDescent="0.3">
      <c r="A53" s="381"/>
      <c r="B53" s="69"/>
      <c r="C53" s="70"/>
      <c r="D53" s="71"/>
      <c r="E53" s="71"/>
      <c r="F53" s="72"/>
    </row>
    <row r="54" spans="1:9" x14ac:dyDescent="0.3">
      <c r="A54" s="382"/>
      <c r="B54" s="73"/>
      <c r="C54" s="74"/>
      <c r="D54" s="75"/>
      <c r="E54" s="75"/>
      <c r="F54" s="75"/>
    </row>
    <row r="55" spans="1:9" x14ac:dyDescent="0.3">
      <c r="A55" s="382"/>
      <c r="B55" s="76"/>
      <c r="C55" s="74"/>
      <c r="D55" s="77"/>
      <c r="E55" s="75"/>
      <c r="F55" s="75"/>
    </row>
    <row r="56" spans="1:9" x14ac:dyDescent="0.3">
      <c r="A56" s="383"/>
      <c r="B56" s="78"/>
      <c r="C56" s="74"/>
      <c r="D56" s="79"/>
      <c r="E56" s="75"/>
      <c r="F56" s="75"/>
    </row>
    <row r="57" spans="1:9" x14ac:dyDescent="0.3">
      <c r="A57" s="381"/>
      <c r="B57" s="69"/>
      <c r="C57" s="70"/>
      <c r="D57" s="71"/>
      <c r="E57" s="71"/>
      <c r="F57" s="72"/>
    </row>
    <row r="58" spans="1:9" x14ac:dyDescent="0.3">
      <c r="A58" s="382"/>
      <c r="B58" s="73"/>
      <c r="C58" s="74"/>
      <c r="D58" s="75"/>
      <c r="E58" s="75"/>
      <c r="F58" s="75"/>
    </row>
    <row r="59" spans="1:9" x14ac:dyDescent="0.3">
      <c r="A59" s="382"/>
      <c r="B59" s="76"/>
      <c r="C59" s="74"/>
      <c r="D59" s="77"/>
      <c r="E59" s="75"/>
      <c r="F59" s="75"/>
    </row>
    <row r="60" spans="1:9" x14ac:dyDescent="0.3">
      <c r="A60" s="383"/>
      <c r="B60" s="78"/>
      <c r="C60" s="74"/>
      <c r="D60" s="79"/>
      <c r="E60" s="75"/>
      <c r="F60" s="75"/>
    </row>
    <row r="61" spans="1:9" x14ac:dyDescent="0.3">
      <c r="A61" s="381"/>
      <c r="B61" s="69"/>
      <c r="C61" s="70"/>
      <c r="D61" s="71"/>
      <c r="E61" s="71"/>
      <c r="F61" s="72"/>
    </row>
    <row r="62" spans="1:9" x14ac:dyDescent="0.3">
      <c r="A62" s="382"/>
      <c r="B62" s="73"/>
      <c r="C62" s="74"/>
      <c r="D62" s="75"/>
      <c r="E62" s="75"/>
      <c r="F62" s="75"/>
    </row>
    <row r="63" spans="1:9" x14ac:dyDescent="0.3">
      <c r="A63" s="382"/>
      <c r="B63" s="76"/>
      <c r="C63" s="74"/>
      <c r="D63" s="77"/>
      <c r="E63" s="75"/>
      <c r="F63" s="75"/>
    </row>
    <row r="64" spans="1:9" x14ac:dyDescent="0.3">
      <c r="A64" s="383"/>
      <c r="B64" s="78"/>
      <c r="C64" s="74"/>
      <c r="D64" s="79"/>
      <c r="E64" s="75"/>
      <c r="F64" s="75"/>
    </row>
    <row r="65" spans="1:6" x14ac:dyDescent="0.3">
      <c r="A65" s="88"/>
      <c r="B65" s="89"/>
      <c r="C65" s="74"/>
      <c r="D65" s="79"/>
      <c r="E65" s="75"/>
      <c r="F65" s="75"/>
    </row>
    <row r="66" spans="1:6" x14ac:dyDescent="0.3">
      <c r="A66" s="87"/>
      <c r="B66" s="66"/>
      <c r="C66" s="87"/>
      <c r="D66" s="87"/>
      <c r="E66" s="87"/>
      <c r="F66" s="92"/>
    </row>
    <row r="67" spans="1:6" x14ac:dyDescent="0.3">
      <c r="A67" s="81"/>
      <c r="B67" s="89"/>
      <c r="C67" s="74"/>
      <c r="D67" s="79"/>
      <c r="E67" s="75"/>
      <c r="F67" s="75"/>
    </row>
    <row r="68" spans="1:6" x14ac:dyDescent="0.3">
      <c r="A68" s="81"/>
      <c r="B68" s="90"/>
      <c r="C68" s="74"/>
      <c r="D68" s="79"/>
      <c r="E68" s="75"/>
      <c r="F68" s="75"/>
    </row>
    <row r="69" spans="1:6" x14ac:dyDescent="0.3">
      <c r="A69" s="81"/>
      <c r="B69" s="82"/>
      <c r="C69" s="74"/>
      <c r="D69" s="79"/>
      <c r="E69" s="75"/>
      <c r="F69" s="75"/>
    </row>
    <row r="70" spans="1:6" x14ac:dyDescent="0.3">
      <c r="A70" s="81"/>
      <c r="B70" s="82"/>
      <c r="C70" s="74"/>
      <c r="D70" s="79"/>
      <c r="E70" s="75"/>
      <c r="F70" s="75"/>
    </row>
    <row r="71" spans="1:6" x14ac:dyDescent="0.3">
      <c r="A71" s="83"/>
      <c r="B71" s="84"/>
      <c r="C71" s="74"/>
      <c r="D71" s="79"/>
      <c r="E71" s="75"/>
      <c r="F71" s="75"/>
    </row>
    <row r="72" spans="1:6" x14ac:dyDescent="0.3">
      <c r="A72" s="83"/>
      <c r="B72" s="84"/>
      <c r="C72" s="74"/>
      <c r="D72" s="79"/>
      <c r="E72" s="75"/>
      <c r="F72" s="75"/>
    </row>
    <row r="73" spans="1:6" x14ac:dyDescent="0.3">
      <c r="A73" s="83"/>
      <c r="B73" s="84"/>
      <c r="C73" s="74"/>
      <c r="D73" s="79"/>
      <c r="E73" s="75"/>
      <c r="F73" s="75"/>
    </row>
    <row r="74" spans="1:6" x14ac:dyDescent="0.3">
      <c r="A74" s="83"/>
      <c r="B74" s="68"/>
      <c r="C74" s="74"/>
      <c r="D74" s="75"/>
      <c r="E74" s="85"/>
      <c r="F74" s="75"/>
    </row>
    <row r="75" spans="1:6" x14ac:dyDescent="0.3">
      <c r="A75" s="87"/>
      <c r="B75" s="66"/>
      <c r="C75" s="87"/>
      <c r="D75" s="87"/>
      <c r="E75" s="87"/>
      <c r="F75" s="92"/>
    </row>
    <row r="76" spans="1:6" x14ac:dyDescent="0.3">
      <c r="A76" s="87"/>
      <c r="B76" s="87"/>
      <c r="C76" s="87"/>
      <c r="D76" s="87"/>
      <c r="E76" s="87"/>
      <c r="F76" s="75"/>
    </row>
    <row r="77" spans="1:6" x14ac:dyDescent="0.3">
      <c r="A77" s="87"/>
      <c r="B77" s="87"/>
      <c r="C77" s="87"/>
      <c r="D77" s="87"/>
      <c r="E77" s="87"/>
      <c r="F77" s="75"/>
    </row>
    <row r="78" spans="1:6" x14ac:dyDescent="0.3">
      <c r="A78" s="87"/>
      <c r="B78" s="93"/>
      <c r="C78" s="87"/>
      <c r="D78" s="87"/>
      <c r="E78" s="87"/>
      <c r="F78" s="92"/>
    </row>
    <row r="80" spans="1:6" x14ac:dyDescent="0.3">
      <c r="A80" s="65"/>
      <c r="B80" s="66"/>
      <c r="C80" s="66"/>
      <c r="D80" s="67"/>
      <c r="E80" s="67"/>
      <c r="F80" s="68"/>
    </row>
    <row r="81" spans="1:6" x14ac:dyDescent="0.3">
      <c r="A81" s="377"/>
      <c r="B81" s="378"/>
      <c r="C81" s="378"/>
      <c r="D81" s="378"/>
      <c r="E81" s="378"/>
      <c r="F81" s="379"/>
    </row>
    <row r="82" spans="1:6" x14ac:dyDescent="0.3">
      <c r="A82" s="369"/>
      <c r="B82" s="69"/>
      <c r="C82" s="70"/>
      <c r="D82" s="71"/>
      <c r="E82" s="71"/>
      <c r="F82" s="72"/>
    </row>
    <row r="83" spans="1:6" x14ac:dyDescent="0.3">
      <c r="A83" s="370"/>
      <c r="B83" s="73"/>
      <c r="C83" s="74"/>
      <c r="D83" s="75"/>
      <c r="E83" s="75"/>
      <c r="F83" s="75"/>
    </row>
    <row r="84" spans="1:6" x14ac:dyDescent="0.3">
      <c r="A84" s="370"/>
      <c r="B84" s="76"/>
      <c r="C84" s="74"/>
      <c r="D84" s="77"/>
      <c r="E84" s="75"/>
      <c r="F84" s="75"/>
    </row>
    <row r="85" spans="1:6" x14ac:dyDescent="0.3">
      <c r="A85" s="371"/>
      <c r="B85" s="78"/>
      <c r="C85" s="74"/>
      <c r="D85" s="79"/>
      <c r="E85" s="75"/>
      <c r="F85" s="75"/>
    </row>
    <row r="86" spans="1:6" x14ac:dyDescent="0.3">
      <c r="A86" s="369"/>
      <c r="B86" s="69"/>
      <c r="C86" s="70"/>
      <c r="D86" s="71"/>
      <c r="E86" s="71"/>
      <c r="F86" s="72"/>
    </row>
    <row r="87" spans="1:6" x14ac:dyDescent="0.3">
      <c r="A87" s="370"/>
      <c r="B87" s="73"/>
      <c r="C87" s="74"/>
      <c r="D87" s="75"/>
      <c r="E87" s="75"/>
      <c r="F87" s="75"/>
    </row>
    <row r="88" spans="1:6" x14ac:dyDescent="0.3">
      <c r="A88" s="370"/>
      <c r="B88" s="76"/>
      <c r="C88" s="74"/>
      <c r="D88" s="77"/>
      <c r="E88" s="75"/>
      <c r="F88" s="75"/>
    </row>
    <row r="89" spans="1:6" x14ac:dyDescent="0.3">
      <c r="A89" s="371"/>
      <c r="B89" s="78"/>
      <c r="C89" s="74"/>
      <c r="D89" s="79"/>
      <c r="E89" s="75"/>
      <c r="F89" s="75"/>
    </row>
    <row r="90" spans="1:6" x14ac:dyDescent="0.3">
      <c r="A90" s="381"/>
      <c r="B90" s="69"/>
      <c r="C90" s="70"/>
      <c r="D90" s="71"/>
      <c r="E90" s="71"/>
      <c r="F90" s="72"/>
    </row>
    <row r="91" spans="1:6" x14ac:dyDescent="0.3">
      <c r="A91" s="382"/>
      <c r="B91" s="73"/>
      <c r="C91" s="74"/>
      <c r="D91" s="75"/>
      <c r="E91" s="75"/>
      <c r="F91" s="75"/>
    </row>
    <row r="92" spans="1:6" x14ac:dyDescent="0.3">
      <c r="A92" s="382"/>
      <c r="B92" s="76"/>
      <c r="C92" s="74"/>
      <c r="D92" s="77"/>
      <c r="E92" s="75"/>
      <c r="F92" s="75"/>
    </row>
    <row r="93" spans="1:6" x14ac:dyDescent="0.3">
      <c r="A93" s="383"/>
      <c r="B93" s="78"/>
      <c r="C93" s="74"/>
      <c r="D93" s="79"/>
      <c r="E93" s="75"/>
      <c r="F93" s="75"/>
    </row>
    <row r="94" spans="1:6" x14ac:dyDescent="0.3">
      <c r="A94" s="381"/>
      <c r="B94" s="69"/>
      <c r="C94" s="70"/>
      <c r="D94" s="71"/>
      <c r="E94" s="71"/>
      <c r="F94" s="72"/>
    </row>
    <row r="95" spans="1:6" x14ac:dyDescent="0.3">
      <c r="A95" s="382"/>
      <c r="B95" s="73"/>
      <c r="C95" s="74"/>
      <c r="D95" s="75"/>
      <c r="E95" s="75"/>
      <c r="F95" s="75"/>
    </row>
    <row r="96" spans="1:6" x14ac:dyDescent="0.3">
      <c r="A96" s="382"/>
      <c r="B96" s="76"/>
      <c r="C96" s="74"/>
      <c r="D96" s="77"/>
      <c r="E96" s="75"/>
      <c r="F96" s="75"/>
    </row>
    <row r="97" spans="1:6" x14ac:dyDescent="0.3">
      <c r="A97" s="383"/>
      <c r="B97" s="78"/>
      <c r="C97" s="74"/>
      <c r="D97" s="79"/>
      <c r="E97" s="75"/>
      <c r="F97" s="75"/>
    </row>
    <row r="98" spans="1:6" x14ac:dyDescent="0.3">
      <c r="A98" s="381"/>
      <c r="B98" s="69"/>
      <c r="C98" s="70"/>
      <c r="D98" s="71"/>
      <c r="E98" s="71"/>
      <c r="F98" s="72"/>
    </row>
    <row r="99" spans="1:6" x14ac:dyDescent="0.3">
      <c r="A99" s="382"/>
      <c r="B99" s="73"/>
      <c r="C99" s="74"/>
      <c r="D99" s="75"/>
      <c r="E99" s="75"/>
      <c r="F99" s="75"/>
    </row>
    <row r="100" spans="1:6" x14ac:dyDescent="0.3">
      <c r="A100" s="382"/>
      <c r="B100" s="76"/>
      <c r="C100" s="74"/>
      <c r="D100" s="77"/>
      <c r="E100" s="75"/>
      <c r="F100" s="75"/>
    </row>
    <row r="101" spans="1:6" x14ac:dyDescent="0.3">
      <c r="A101" s="383"/>
      <c r="B101" s="78"/>
      <c r="C101" s="74"/>
      <c r="D101" s="79"/>
      <c r="E101" s="75"/>
      <c r="F101" s="75"/>
    </row>
    <row r="102" spans="1:6" x14ac:dyDescent="0.3">
      <c r="A102" s="88"/>
      <c r="B102" s="89"/>
      <c r="C102" s="74"/>
      <c r="D102" s="79"/>
      <c r="E102" s="75"/>
      <c r="F102" s="75"/>
    </row>
    <row r="103" spans="1:6" x14ac:dyDescent="0.3">
      <c r="A103" s="87"/>
      <c r="B103" s="66"/>
      <c r="C103" s="87"/>
      <c r="D103" s="87"/>
      <c r="E103" s="87"/>
      <c r="F103" s="92"/>
    </row>
    <row r="104" spans="1:6" x14ac:dyDescent="0.3">
      <c r="A104" s="81"/>
      <c r="B104" s="89"/>
      <c r="C104" s="74"/>
      <c r="D104" s="79"/>
      <c r="E104" s="75"/>
      <c r="F104" s="75"/>
    </row>
    <row r="105" spans="1:6" x14ac:dyDescent="0.3">
      <c r="A105" s="81"/>
      <c r="B105" s="90"/>
      <c r="C105" s="74"/>
      <c r="D105" s="79"/>
      <c r="E105" s="75"/>
      <c r="F105" s="75"/>
    </row>
    <row r="106" spans="1:6" x14ac:dyDescent="0.3">
      <c r="A106" s="81"/>
      <c r="B106" s="82"/>
      <c r="C106" s="74"/>
      <c r="D106" s="79"/>
      <c r="E106" s="75"/>
      <c r="F106" s="75"/>
    </row>
    <row r="107" spans="1:6" x14ac:dyDescent="0.3">
      <c r="A107" s="81"/>
      <c r="B107" s="82"/>
      <c r="C107" s="74"/>
      <c r="D107" s="79"/>
      <c r="E107" s="75"/>
      <c r="F107" s="75"/>
    </row>
    <row r="108" spans="1:6" x14ac:dyDescent="0.3">
      <c r="A108" s="83"/>
      <c r="B108" s="84"/>
      <c r="C108" s="74"/>
      <c r="D108" s="79"/>
      <c r="E108" s="75"/>
      <c r="F108" s="75"/>
    </row>
    <row r="109" spans="1:6" x14ac:dyDescent="0.3">
      <c r="A109" s="83"/>
      <c r="B109" s="84"/>
      <c r="C109" s="74"/>
      <c r="D109" s="79"/>
      <c r="E109" s="75"/>
      <c r="F109" s="75"/>
    </row>
    <row r="110" spans="1:6" x14ac:dyDescent="0.3">
      <c r="A110" s="83"/>
      <c r="B110" s="84"/>
      <c r="C110" s="74"/>
      <c r="D110" s="79"/>
      <c r="E110" s="75"/>
      <c r="F110" s="75"/>
    </row>
    <row r="111" spans="1:6" x14ac:dyDescent="0.3">
      <c r="A111" s="83"/>
      <c r="B111" s="68"/>
      <c r="C111" s="74"/>
      <c r="D111" s="75"/>
      <c r="E111" s="85"/>
      <c r="F111" s="75"/>
    </row>
    <row r="112" spans="1:6" x14ac:dyDescent="0.3">
      <c r="A112" s="87"/>
      <c r="B112" s="66"/>
      <c r="C112" s="87"/>
      <c r="D112" s="87"/>
      <c r="E112" s="87"/>
      <c r="F112" s="92"/>
    </row>
    <row r="113" spans="1:6" x14ac:dyDescent="0.3">
      <c r="A113" s="87"/>
      <c r="B113" s="87"/>
      <c r="C113" s="87"/>
      <c r="D113" s="87"/>
      <c r="E113" s="87"/>
      <c r="F113" s="75"/>
    </row>
    <row r="114" spans="1:6" x14ac:dyDescent="0.3">
      <c r="A114" s="87"/>
      <c r="B114" s="87"/>
      <c r="C114" s="87"/>
      <c r="D114" s="87"/>
      <c r="E114" s="87"/>
      <c r="F114" s="75"/>
    </row>
    <row r="115" spans="1:6" x14ac:dyDescent="0.3">
      <c r="A115" s="87"/>
      <c r="B115" s="93"/>
      <c r="C115" s="87"/>
      <c r="D115" s="87"/>
      <c r="E115" s="87"/>
      <c r="F115" s="92"/>
    </row>
  </sheetData>
  <mergeCells count="16">
    <mergeCell ref="A86:A89"/>
    <mergeCell ref="A90:A93"/>
    <mergeCell ref="A94:A97"/>
    <mergeCell ref="A98:A101"/>
    <mergeCell ref="A49:A52"/>
    <mergeCell ref="A53:A56"/>
    <mergeCell ref="A57:A60"/>
    <mergeCell ref="A61:A64"/>
    <mergeCell ref="A81:F81"/>
    <mergeCell ref="A82:A85"/>
    <mergeCell ref="A48:F48"/>
    <mergeCell ref="A3:F3"/>
    <mergeCell ref="A4:A7"/>
    <mergeCell ref="A8:A11"/>
    <mergeCell ref="A12:A15"/>
    <mergeCell ref="A16:A19"/>
  </mergeCells>
  <pageMargins left="0.7" right="0.7" top="0.75" bottom="0.75" header="0.3" footer="0.3"/>
  <pageSetup paperSize="9"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3587-BCCD-4111-9314-F69B19DFF5EE}">
  <sheetPr>
    <pageSetUpPr fitToPage="1"/>
  </sheetPr>
  <dimension ref="A1:G119"/>
  <sheetViews>
    <sheetView topLeftCell="A16" zoomScale="130" zoomScaleNormal="130" workbookViewId="0">
      <selection activeCell="B25" sqref="B25:F25"/>
    </sheetView>
  </sheetViews>
  <sheetFormatPr defaultRowHeight="14.4" x14ac:dyDescent="0.3"/>
  <cols>
    <col min="1" max="1" width="8.88671875" style="59"/>
    <col min="2" max="2" width="35.6640625" customWidth="1"/>
    <col min="3" max="3" width="10.6640625" customWidth="1"/>
    <col min="4" max="4" width="9.33203125" customWidth="1"/>
    <col min="5" max="5" width="11.44140625" bestFit="1" customWidth="1"/>
    <col min="6" max="6" width="13.5546875" customWidth="1"/>
    <col min="7" max="7" width="15.88671875" customWidth="1"/>
  </cols>
  <sheetData>
    <row r="1" spans="1:7" x14ac:dyDescent="0.3">
      <c r="F1" s="39"/>
      <c r="G1" s="39"/>
    </row>
    <row r="2" spans="1:7" ht="40.799999999999997" x14ac:dyDescent="0.3">
      <c r="A2" s="65" t="s">
        <v>222</v>
      </c>
      <c r="B2" s="66" t="s">
        <v>223</v>
      </c>
      <c r="C2" s="66" t="s">
        <v>224</v>
      </c>
      <c r="D2" s="67" t="s">
        <v>225</v>
      </c>
      <c r="E2" s="67" t="s">
        <v>226</v>
      </c>
      <c r="F2" s="68" t="s">
        <v>227</v>
      </c>
      <c r="G2" s="305"/>
    </row>
    <row r="3" spans="1:7" x14ac:dyDescent="0.3">
      <c r="A3" s="384" t="s">
        <v>601</v>
      </c>
      <c r="B3" s="378"/>
      <c r="C3" s="378"/>
      <c r="D3" s="378"/>
      <c r="E3" s="378"/>
      <c r="F3" s="379"/>
      <c r="G3" s="306"/>
    </row>
    <row r="4" spans="1:7" x14ac:dyDescent="0.3">
      <c r="A4" s="385">
        <v>1</v>
      </c>
      <c r="B4" s="312" t="s">
        <v>595</v>
      </c>
      <c r="C4" s="70">
        <v>7</v>
      </c>
      <c r="D4" s="71"/>
      <c r="E4" s="71"/>
      <c r="F4" s="72">
        <f>SUM(F5:F7)*C4</f>
        <v>21454020</v>
      </c>
      <c r="G4" s="307"/>
    </row>
    <row r="5" spans="1:7" x14ac:dyDescent="0.3">
      <c r="A5" s="385"/>
      <c r="B5" s="313" t="s">
        <v>236</v>
      </c>
      <c r="C5" s="74">
        <v>1</v>
      </c>
      <c r="D5" s="75">
        <v>49649</v>
      </c>
      <c r="E5" s="75">
        <f>D5*C5</f>
        <v>49649</v>
      </c>
      <c r="F5" s="75">
        <f>E5*12</f>
        <v>595788</v>
      </c>
      <c r="G5" s="308"/>
    </row>
    <row r="6" spans="1:7" x14ac:dyDescent="0.3">
      <c r="A6" s="385"/>
      <c r="B6" s="314" t="s">
        <v>230</v>
      </c>
      <c r="C6" s="74">
        <v>240</v>
      </c>
      <c r="D6" s="77">
        <v>849</v>
      </c>
      <c r="E6" s="75">
        <f>D6*C6</f>
        <v>203760</v>
      </c>
      <c r="F6" s="75">
        <f>E6*12</f>
        <v>2445120</v>
      </c>
      <c r="G6" s="308"/>
    </row>
    <row r="7" spans="1:7" x14ac:dyDescent="0.3">
      <c r="A7" s="385"/>
      <c r="B7" s="315" t="s">
        <v>231</v>
      </c>
      <c r="C7" s="74">
        <v>4</v>
      </c>
      <c r="D7" s="79">
        <v>499</v>
      </c>
      <c r="E7" s="75">
        <f>D7*C7</f>
        <v>1996</v>
      </c>
      <c r="F7" s="75">
        <f>E7*12</f>
        <v>23952</v>
      </c>
      <c r="G7" s="308"/>
    </row>
    <row r="8" spans="1:7" x14ac:dyDescent="0.3">
      <c r="A8" s="389">
        <v>2</v>
      </c>
      <c r="B8" s="312" t="s">
        <v>596</v>
      </c>
      <c r="C8" s="80">
        <v>9</v>
      </c>
      <c r="D8" s="71"/>
      <c r="E8" s="71"/>
      <c r="F8" s="72">
        <f>SUM(F9:F11)*C8</f>
        <v>12913020</v>
      </c>
      <c r="G8" s="307"/>
    </row>
    <row r="9" spans="1:7" x14ac:dyDescent="0.3">
      <c r="A9" s="389"/>
      <c r="B9" s="313" t="s">
        <v>236</v>
      </c>
      <c r="C9" s="74">
        <v>1</v>
      </c>
      <c r="D9" s="75">
        <v>49649</v>
      </c>
      <c r="E9" s="75">
        <f>D9*C9</f>
        <v>49649</v>
      </c>
      <c r="F9" s="75">
        <f>E9*12</f>
        <v>595788</v>
      </c>
      <c r="G9" s="308"/>
    </row>
    <row r="10" spans="1:7" x14ac:dyDescent="0.3">
      <c r="A10" s="389"/>
      <c r="B10" s="314" t="s">
        <v>230</v>
      </c>
      <c r="C10" s="74">
        <v>80</v>
      </c>
      <c r="D10" s="77">
        <v>849</v>
      </c>
      <c r="E10" s="75">
        <f>D10*C10</f>
        <v>67920</v>
      </c>
      <c r="F10" s="75">
        <f>E10*12</f>
        <v>815040</v>
      </c>
      <c r="G10" s="308"/>
    </row>
    <row r="11" spans="1:7" x14ac:dyDescent="0.3">
      <c r="A11" s="389"/>
      <c r="B11" s="315" t="s">
        <v>231</v>
      </c>
      <c r="C11" s="74">
        <v>4</v>
      </c>
      <c r="D11" s="79">
        <v>499</v>
      </c>
      <c r="E11" s="75">
        <f>D11*C11</f>
        <v>1996</v>
      </c>
      <c r="F11" s="75">
        <f>E11*12</f>
        <v>23952</v>
      </c>
      <c r="G11" s="308"/>
    </row>
    <row r="12" spans="1:7" x14ac:dyDescent="0.3">
      <c r="A12" s="389">
        <v>3</v>
      </c>
      <c r="B12" s="312" t="s">
        <v>597</v>
      </c>
      <c r="C12" s="80">
        <v>4</v>
      </c>
      <c r="D12" s="71"/>
      <c r="E12" s="71"/>
      <c r="F12" s="72">
        <f>SUM(F13:F15)*C12</f>
        <v>4435056</v>
      </c>
      <c r="G12" s="307"/>
    </row>
    <row r="13" spans="1:7" x14ac:dyDescent="0.3">
      <c r="A13" s="389"/>
      <c r="B13" s="313" t="s">
        <v>236</v>
      </c>
      <c r="C13" s="74">
        <v>1</v>
      </c>
      <c r="D13" s="75">
        <v>49649</v>
      </c>
      <c r="E13" s="75">
        <f>D13*C13</f>
        <v>49649</v>
      </c>
      <c r="F13" s="75">
        <f>E13*12</f>
        <v>595788</v>
      </c>
      <c r="G13" s="308"/>
    </row>
    <row r="14" spans="1:7" x14ac:dyDescent="0.3">
      <c r="A14" s="389"/>
      <c r="B14" s="314" t="s">
        <v>230</v>
      </c>
      <c r="C14" s="74">
        <v>48</v>
      </c>
      <c r="D14" s="77">
        <v>849</v>
      </c>
      <c r="E14" s="75">
        <f>D14*C14</f>
        <v>40752</v>
      </c>
      <c r="F14" s="75">
        <f>E14*12</f>
        <v>489024</v>
      </c>
      <c r="G14" s="308"/>
    </row>
    <row r="15" spans="1:7" x14ac:dyDescent="0.3">
      <c r="A15" s="389"/>
      <c r="B15" s="315" t="s">
        <v>231</v>
      </c>
      <c r="C15" s="74">
        <v>4</v>
      </c>
      <c r="D15" s="79">
        <v>499</v>
      </c>
      <c r="E15" s="75">
        <f>D15*C15</f>
        <v>1996</v>
      </c>
      <c r="F15" s="75">
        <f>E15*12</f>
        <v>23952</v>
      </c>
      <c r="G15" s="308"/>
    </row>
    <row r="16" spans="1:7" x14ac:dyDescent="0.3">
      <c r="A16" s="389">
        <v>3</v>
      </c>
      <c r="B16" s="312" t="s">
        <v>599</v>
      </c>
      <c r="C16" s="80">
        <v>12</v>
      </c>
      <c r="D16" s="71"/>
      <c r="E16" s="71"/>
      <c r="F16" s="72">
        <f>SUM(F17:F19)*C16</f>
        <v>10525392</v>
      </c>
      <c r="G16" s="307"/>
    </row>
    <row r="17" spans="1:7" x14ac:dyDescent="0.3">
      <c r="A17" s="389"/>
      <c r="B17" s="330" t="s">
        <v>234</v>
      </c>
      <c r="C17" s="331">
        <v>1</v>
      </c>
      <c r="D17" s="332">
        <v>25549</v>
      </c>
      <c r="E17" s="332">
        <f>D17*C17</f>
        <v>25549</v>
      </c>
      <c r="F17" s="342">
        <f>E17*12</f>
        <v>306588</v>
      </c>
      <c r="G17" s="308"/>
    </row>
    <row r="18" spans="1:7" x14ac:dyDescent="0.3">
      <c r="A18" s="389"/>
      <c r="B18" s="314" t="s">
        <v>230</v>
      </c>
      <c r="C18" s="74">
        <v>56</v>
      </c>
      <c r="D18" s="77">
        <v>849</v>
      </c>
      <c r="E18" s="75">
        <f>D18*C18</f>
        <v>47544</v>
      </c>
      <c r="F18" s="75">
        <f>E18*12</f>
        <v>570528</v>
      </c>
      <c r="G18" s="308"/>
    </row>
    <row r="19" spans="1:7" x14ac:dyDescent="0.3">
      <c r="A19" s="389"/>
      <c r="B19" s="315" t="s">
        <v>231</v>
      </c>
      <c r="C19" s="74">
        <v>0</v>
      </c>
      <c r="D19" s="79">
        <v>499</v>
      </c>
      <c r="E19" s="75">
        <f>D19*C19</f>
        <v>0</v>
      </c>
      <c r="F19" s="75">
        <f>E19*12</f>
        <v>0</v>
      </c>
      <c r="G19" s="308"/>
    </row>
    <row r="20" spans="1:7" x14ac:dyDescent="0.3">
      <c r="A20" s="389">
        <v>3</v>
      </c>
      <c r="B20" s="312" t="s">
        <v>600</v>
      </c>
      <c r="C20" s="80">
        <v>8</v>
      </c>
      <c r="D20" s="71"/>
      <c r="E20" s="71"/>
      <c r="F20" s="72">
        <f>SUM(F21:F23)*C20</f>
        <v>7016928</v>
      </c>
      <c r="G20" s="307"/>
    </row>
    <row r="21" spans="1:7" x14ac:dyDescent="0.3">
      <c r="A21" s="389"/>
      <c r="B21" s="330" t="s">
        <v>234</v>
      </c>
      <c r="C21" s="331">
        <v>1</v>
      </c>
      <c r="D21" s="332">
        <v>25549</v>
      </c>
      <c r="E21" s="332">
        <f>D21*C21</f>
        <v>25549</v>
      </c>
      <c r="F21" s="342">
        <f>E21*12</f>
        <v>306588</v>
      </c>
      <c r="G21" s="308"/>
    </row>
    <row r="22" spans="1:7" x14ac:dyDescent="0.3">
      <c r="A22" s="389"/>
      <c r="B22" s="314" t="s">
        <v>230</v>
      </c>
      <c r="C22" s="74">
        <v>56</v>
      </c>
      <c r="D22" s="77">
        <v>849</v>
      </c>
      <c r="E22" s="75">
        <f>D22*C22</f>
        <v>47544</v>
      </c>
      <c r="F22" s="75">
        <f>E22*12</f>
        <v>570528</v>
      </c>
      <c r="G22" s="308"/>
    </row>
    <row r="23" spans="1:7" x14ac:dyDescent="0.3">
      <c r="A23" s="389"/>
      <c r="B23" s="315" t="s">
        <v>231</v>
      </c>
      <c r="C23" s="74">
        <v>0</v>
      </c>
      <c r="D23" s="79">
        <v>499</v>
      </c>
      <c r="E23" s="75">
        <f>D23*C23</f>
        <v>0</v>
      </c>
      <c r="F23" s="75">
        <f>E23*12</f>
        <v>0</v>
      </c>
      <c r="G23" s="308"/>
    </row>
    <row r="24" spans="1:7" x14ac:dyDescent="0.3">
      <c r="A24" s="322"/>
      <c r="B24" s="316"/>
      <c r="C24" s="74"/>
      <c r="D24" s="79"/>
      <c r="E24" s="75"/>
      <c r="F24" s="75"/>
      <c r="G24" s="308"/>
    </row>
    <row r="25" spans="1:7" x14ac:dyDescent="0.3">
      <c r="A25" s="322"/>
      <c r="B25" s="316" t="s">
        <v>598</v>
      </c>
      <c r="C25" s="74">
        <v>120</v>
      </c>
      <c r="D25" s="79">
        <v>2999</v>
      </c>
      <c r="E25" s="75">
        <f>D25*C25</f>
        <v>359880</v>
      </c>
      <c r="F25" s="75">
        <f>E25*12</f>
        <v>4318560</v>
      </c>
      <c r="G25" s="308"/>
    </row>
    <row r="26" spans="1:7" x14ac:dyDescent="0.3">
      <c r="A26" s="323"/>
      <c r="B26" s="317" t="s">
        <v>240</v>
      </c>
      <c r="C26" s="87"/>
      <c r="D26" s="87"/>
      <c r="E26" s="87"/>
      <c r="F26" s="303">
        <f>SUM(F12,F8,F4,F25,F16,F20)</f>
        <v>60662976</v>
      </c>
      <c r="G26" s="309"/>
    </row>
    <row r="27" spans="1:7" x14ac:dyDescent="0.3">
      <c r="A27" s="322"/>
      <c r="B27" s="316"/>
      <c r="C27" s="74"/>
      <c r="D27" s="79"/>
      <c r="E27" s="75"/>
      <c r="F27" s="75"/>
      <c r="G27" s="308"/>
    </row>
    <row r="28" spans="1:7" x14ac:dyDescent="0.3">
      <c r="A28" s="322"/>
      <c r="B28" s="318" t="s">
        <v>241</v>
      </c>
      <c r="C28" s="74"/>
      <c r="D28" s="79"/>
      <c r="E28" s="75"/>
      <c r="F28" s="75"/>
      <c r="G28" s="308"/>
    </row>
    <row r="29" spans="1:7" x14ac:dyDescent="0.3">
      <c r="A29" s="322">
        <v>1</v>
      </c>
      <c r="B29" s="319" t="s">
        <v>237</v>
      </c>
      <c r="C29" s="74">
        <f>C20+C16+C12+C8+C4</f>
        <v>40</v>
      </c>
      <c r="D29" s="79">
        <v>2083</v>
      </c>
      <c r="E29" s="75">
        <f>D29*C29</f>
        <v>83320</v>
      </c>
      <c r="F29" s="75">
        <f>E29*12</f>
        <v>999840</v>
      </c>
      <c r="G29" s="308"/>
    </row>
    <row r="30" spans="1:7" x14ac:dyDescent="0.3">
      <c r="A30" s="322">
        <v>2</v>
      </c>
      <c r="B30" s="319" t="s">
        <v>267</v>
      </c>
      <c r="C30" s="74">
        <v>0</v>
      </c>
      <c r="D30" s="79">
        <v>4670</v>
      </c>
      <c r="E30" s="75">
        <f>D30*C30</f>
        <v>0</v>
      </c>
      <c r="F30" s="75">
        <f>E30*12</f>
        <v>0</v>
      </c>
      <c r="G30" s="308"/>
    </row>
    <row r="31" spans="1:7" x14ac:dyDescent="0.3">
      <c r="A31" s="322">
        <v>3</v>
      </c>
      <c r="B31" s="319" t="s">
        <v>578</v>
      </c>
      <c r="C31" s="74">
        <f>C29</f>
        <v>40</v>
      </c>
      <c r="D31" s="79">
        <v>1950</v>
      </c>
      <c r="E31" s="75">
        <f>C31*D31</f>
        <v>78000</v>
      </c>
      <c r="F31" s="75">
        <f>E31*12</f>
        <v>936000</v>
      </c>
      <c r="G31" s="308"/>
    </row>
    <row r="32" spans="1:7" x14ac:dyDescent="0.3">
      <c r="A32" s="324">
        <v>5</v>
      </c>
      <c r="B32" s="320" t="s">
        <v>287</v>
      </c>
      <c r="C32" s="74">
        <v>12</v>
      </c>
      <c r="D32" s="79">
        <v>1340</v>
      </c>
      <c r="E32" s="75">
        <f>D32*C32</f>
        <v>16080</v>
      </c>
      <c r="F32" s="75">
        <f>E32*12</f>
        <v>192960</v>
      </c>
      <c r="G32" s="308"/>
    </row>
    <row r="33" spans="1:7" x14ac:dyDescent="0.3">
      <c r="A33" s="324">
        <v>6</v>
      </c>
      <c r="B33" s="320" t="s">
        <v>244</v>
      </c>
      <c r="C33" s="74">
        <v>0</v>
      </c>
      <c r="D33" s="79">
        <v>13440</v>
      </c>
      <c r="E33" s="75">
        <f>D33*C33</f>
        <v>0</v>
      </c>
      <c r="F33" s="75">
        <f>E33*12</f>
        <v>0</v>
      </c>
      <c r="G33" s="308"/>
    </row>
    <row r="34" spans="1:7" x14ac:dyDescent="0.3">
      <c r="A34" s="324">
        <v>7</v>
      </c>
      <c r="B34" s="321" t="s">
        <v>529</v>
      </c>
      <c r="C34" s="75">
        <v>1</v>
      </c>
      <c r="D34" s="75"/>
      <c r="E34" s="75"/>
      <c r="F34" s="75">
        <v>750000</v>
      </c>
      <c r="G34" s="310"/>
    </row>
    <row r="36" spans="1:7" x14ac:dyDescent="0.3">
      <c r="A36" s="87"/>
      <c r="B36" s="66" t="s">
        <v>242</v>
      </c>
      <c r="C36" s="87"/>
      <c r="D36" s="87"/>
      <c r="E36" s="87"/>
      <c r="F36" s="303">
        <f>SUM(F29:F34)</f>
        <v>2878800</v>
      </c>
      <c r="G36" s="309"/>
    </row>
    <row r="37" spans="1:7" x14ac:dyDescent="0.3">
      <c r="A37" s="87"/>
      <c r="B37" s="87" t="s">
        <v>246</v>
      </c>
      <c r="C37" s="87"/>
      <c r="D37" s="87"/>
      <c r="E37" s="87"/>
      <c r="F37" s="303">
        <f>F36+F26</f>
        <v>63541776</v>
      </c>
      <c r="G37" s="308"/>
    </row>
    <row r="38" spans="1:7" x14ac:dyDescent="0.3">
      <c r="A38" s="87"/>
      <c r="B38" s="87"/>
      <c r="C38" s="74"/>
      <c r="D38" s="87"/>
      <c r="E38" s="87"/>
      <c r="F38" s="75"/>
      <c r="G38" s="308"/>
    </row>
    <row r="39" spans="1:7" x14ac:dyDescent="0.3">
      <c r="A39" s="87"/>
      <c r="B39" s="93" t="s">
        <v>248</v>
      </c>
      <c r="C39" s="87"/>
      <c r="D39" s="87"/>
      <c r="E39" s="87"/>
      <c r="F39" s="92">
        <f>F37</f>
        <v>63541776</v>
      </c>
      <c r="G39" s="311"/>
    </row>
    <row r="40" spans="1:7" x14ac:dyDescent="0.3">
      <c r="F40" s="92"/>
      <c r="G40" s="311"/>
    </row>
    <row r="42" spans="1:7" ht="15" thickBot="1" x14ac:dyDescent="0.35">
      <c r="F42" s="289">
        <f>SUM(F39:F40)</f>
        <v>63541776</v>
      </c>
      <c r="G42" s="289"/>
    </row>
    <row r="43" spans="1:7" x14ac:dyDescent="0.3">
      <c r="B43" s="100"/>
      <c r="C43" s="103"/>
      <c r="D43" s="91"/>
      <c r="E43" s="91"/>
    </row>
    <row r="44" spans="1:7" x14ac:dyDescent="0.3">
      <c r="B44" s="101"/>
      <c r="C44" s="98"/>
    </row>
    <row r="45" spans="1:7" x14ac:dyDescent="0.3">
      <c r="B45" s="101"/>
      <c r="C45" s="98"/>
    </row>
    <row r="46" spans="1:7" x14ac:dyDescent="0.3">
      <c r="B46" s="101"/>
      <c r="C46" s="98"/>
      <c r="D46" s="98"/>
      <c r="E46" s="91"/>
    </row>
    <row r="47" spans="1:7" x14ac:dyDescent="0.3">
      <c r="B47" s="101"/>
      <c r="C47" s="98"/>
      <c r="D47" s="98"/>
      <c r="F47" s="91"/>
      <c r="G47" s="91"/>
    </row>
    <row r="48" spans="1:7" ht="15" thickBot="1" x14ac:dyDescent="0.35">
      <c r="B48" s="102"/>
      <c r="C48" s="99"/>
      <c r="D48" s="99"/>
    </row>
    <row r="51" spans="1:7" x14ac:dyDescent="0.3">
      <c r="A51" s="65"/>
      <c r="B51" s="66"/>
      <c r="C51" s="66"/>
      <c r="D51" s="67"/>
      <c r="E51" s="67"/>
      <c r="F51" s="68"/>
      <c r="G51" s="305"/>
    </row>
    <row r="52" spans="1:7" x14ac:dyDescent="0.3">
      <c r="A52" s="377"/>
      <c r="B52" s="378"/>
      <c r="C52" s="378"/>
      <c r="D52" s="378"/>
      <c r="E52" s="378"/>
      <c r="F52" s="379"/>
      <c r="G52" s="306"/>
    </row>
    <row r="53" spans="1:7" x14ac:dyDescent="0.3">
      <c r="A53" s="369"/>
      <c r="B53" s="69"/>
      <c r="C53" s="70"/>
      <c r="D53" s="71"/>
      <c r="E53" s="71"/>
      <c r="F53" s="72"/>
      <c r="G53" s="307"/>
    </row>
    <row r="54" spans="1:7" x14ac:dyDescent="0.3">
      <c r="A54" s="370"/>
      <c r="B54" s="73"/>
      <c r="C54" s="74"/>
      <c r="D54" s="75"/>
      <c r="E54" s="75"/>
      <c r="F54" s="75"/>
      <c r="G54" s="308"/>
    </row>
    <row r="55" spans="1:7" x14ac:dyDescent="0.3">
      <c r="A55" s="370"/>
      <c r="B55" s="76"/>
      <c r="C55" s="74"/>
      <c r="D55" s="77"/>
      <c r="E55" s="75"/>
      <c r="F55" s="75"/>
      <c r="G55" s="308"/>
    </row>
    <row r="56" spans="1:7" x14ac:dyDescent="0.3">
      <c r="A56" s="371"/>
      <c r="B56" s="78"/>
      <c r="C56" s="74"/>
      <c r="D56" s="79"/>
      <c r="E56" s="75"/>
      <c r="F56" s="75"/>
      <c r="G56" s="308"/>
    </row>
    <row r="57" spans="1:7" x14ac:dyDescent="0.3">
      <c r="A57" s="381"/>
      <c r="B57" s="69"/>
      <c r="C57" s="70"/>
      <c r="D57" s="71"/>
      <c r="E57" s="71"/>
      <c r="F57" s="72"/>
      <c r="G57" s="307"/>
    </row>
    <row r="58" spans="1:7" x14ac:dyDescent="0.3">
      <c r="A58" s="382"/>
      <c r="B58" s="73"/>
      <c r="C58" s="74"/>
      <c r="D58" s="75"/>
      <c r="E58" s="75"/>
      <c r="F58" s="75"/>
      <c r="G58" s="308"/>
    </row>
    <row r="59" spans="1:7" x14ac:dyDescent="0.3">
      <c r="A59" s="382"/>
      <c r="B59" s="76"/>
      <c r="C59" s="74"/>
      <c r="D59" s="77"/>
      <c r="E59" s="75"/>
      <c r="F59" s="75"/>
      <c r="G59" s="308"/>
    </row>
    <row r="60" spans="1:7" x14ac:dyDescent="0.3">
      <c r="A60" s="383"/>
      <c r="B60" s="78"/>
      <c r="C60" s="74"/>
      <c r="D60" s="79"/>
      <c r="E60" s="75"/>
      <c r="F60" s="75"/>
      <c r="G60" s="308"/>
    </row>
    <row r="61" spans="1:7" x14ac:dyDescent="0.3">
      <c r="A61" s="381"/>
      <c r="B61" s="69"/>
      <c r="C61" s="70"/>
      <c r="D61" s="71"/>
      <c r="E61" s="71"/>
      <c r="F61" s="72"/>
      <c r="G61" s="307"/>
    </row>
    <row r="62" spans="1:7" x14ac:dyDescent="0.3">
      <c r="A62" s="382"/>
      <c r="B62" s="73"/>
      <c r="C62" s="74"/>
      <c r="D62" s="75"/>
      <c r="E62" s="75"/>
      <c r="F62" s="75"/>
      <c r="G62" s="308"/>
    </row>
    <row r="63" spans="1:7" x14ac:dyDescent="0.3">
      <c r="A63" s="382"/>
      <c r="B63" s="76"/>
      <c r="C63" s="74"/>
      <c r="D63" s="77"/>
      <c r="E63" s="75"/>
      <c r="F63" s="75"/>
      <c r="G63" s="308"/>
    </row>
    <row r="64" spans="1:7" x14ac:dyDescent="0.3">
      <c r="A64" s="383"/>
      <c r="B64" s="78"/>
      <c r="C64" s="74"/>
      <c r="D64" s="79"/>
      <c r="E64" s="75"/>
      <c r="F64" s="75"/>
      <c r="G64" s="308"/>
    </row>
    <row r="65" spans="1:7" x14ac:dyDescent="0.3">
      <c r="A65" s="381"/>
      <c r="B65" s="69"/>
      <c r="C65" s="70"/>
      <c r="D65" s="71"/>
      <c r="E65" s="71"/>
      <c r="F65" s="72"/>
      <c r="G65" s="307"/>
    </row>
    <row r="66" spans="1:7" x14ac:dyDescent="0.3">
      <c r="A66" s="382"/>
      <c r="B66" s="73"/>
      <c r="C66" s="74"/>
      <c r="D66" s="75"/>
      <c r="E66" s="75"/>
      <c r="F66" s="75"/>
      <c r="G66" s="308"/>
    </row>
    <row r="67" spans="1:7" x14ac:dyDescent="0.3">
      <c r="A67" s="382"/>
      <c r="B67" s="76"/>
      <c r="C67" s="74"/>
      <c r="D67" s="77"/>
      <c r="E67" s="75"/>
      <c r="F67" s="75"/>
      <c r="G67" s="308"/>
    </row>
    <row r="68" spans="1:7" x14ac:dyDescent="0.3">
      <c r="A68" s="383"/>
      <c r="B68" s="78"/>
      <c r="C68" s="74"/>
      <c r="D68" s="79"/>
      <c r="E68" s="75"/>
      <c r="F68" s="75"/>
      <c r="G68" s="308"/>
    </row>
    <row r="69" spans="1:7" x14ac:dyDescent="0.3">
      <c r="A69" s="88"/>
      <c r="B69" s="89"/>
      <c r="C69" s="74"/>
      <c r="D69" s="79"/>
      <c r="E69" s="75"/>
      <c r="F69" s="75"/>
      <c r="G69" s="308"/>
    </row>
    <row r="70" spans="1:7" x14ac:dyDescent="0.3">
      <c r="A70" s="87"/>
      <c r="B70" s="66"/>
      <c r="C70" s="87"/>
      <c r="D70" s="87"/>
      <c r="E70" s="87"/>
      <c r="F70" s="92"/>
      <c r="G70" s="311"/>
    </row>
    <row r="71" spans="1:7" x14ac:dyDescent="0.3">
      <c r="A71" s="81"/>
      <c r="B71" s="89"/>
      <c r="C71" s="74"/>
      <c r="D71" s="79"/>
      <c r="E71" s="75"/>
      <c r="F71" s="75"/>
      <c r="G71" s="308"/>
    </row>
    <row r="72" spans="1:7" x14ac:dyDescent="0.3">
      <c r="A72" s="81"/>
      <c r="B72" s="90"/>
      <c r="C72" s="74"/>
      <c r="D72" s="79"/>
      <c r="E72" s="75"/>
      <c r="F72" s="75"/>
      <c r="G72" s="308"/>
    </row>
    <row r="73" spans="1:7" x14ac:dyDescent="0.3">
      <c r="A73" s="81"/>
      <c r="B73" s="82"/>
      <c r="C73" s="74"/>
      <c r="D73" s="79"/>
      <c r="E73" s="75"/>
      <c r="F73" s="75"/>
      <c r="G73" s="308"/>
    </row>
    <row r="74" spans="1:7" x14ac:dyDescent="0.3">
      <c r="A74" s="81"/>
      <c r="B74" s="82"/>
      <c r="C74" s="74"/>
      <c r="D74" s="79"/>
      <c r="E74" s="75"/>
      <c r="F74" s="75"/>
      <c r="G74" s="308">
        <v>1000</v>
      </c>
    </row>
    <row r="75" spans="1:7" x14ac:dyDescent="0.3">
      <c r="A75" s="83"/>
      <c r="B75" s="84"/>
      <c r="C75" s="74"/>
      <c r="D75" s="79"/>
      <c r="E75" s="75"/>
      <c r="F75" s="75"/>
      <c r="G75" s="308"/>
    </row>
    <row r="76" spans="1:7" x14ac:dyDescent="0.3">
      <c r="A76" s="83"/>
      <c r="B76" s="84"/>
      <c r="C76" s="74"/>
      <c r="D76" s="79"/>
      <c r="E76" s="75"/>
      <c r="F76" s="75"/>
      <c r="G76" s="308"/>
    </row>
    <row r="77" spans="1:7" x14ac:dyDescent="0.3">
      <c r="A77" s="83"/>
      <c r="B77" s="84"/>
      <c r="C77" s="74"/>
      <c r="D77" s="79"/>
      <c r="E77" s="75"/>
      <c r="F77" s="75"/>
      <c r="G77" s="308"/>
    </row>
    <row r="78" spans="1:7" x14ac:dyDescent="0.3">
      <c r="A78" s="83"/>
      <c r="B78" s="68"/>
      <c r="C78" s="74"/>
      <c r="D78" s="75"/>
      <c r="E78" s="85"/>
      <c r="F78" s="75"/>
      <c r="G78" s="308"/>
    </row>
    <row r="79" spans="1:7" x14ac:dyDescent="0.3">
      <c r="A79" s="87"/>
      <c r="B79" s="66"/>
      <c r="C79" s="87"/>
      <c r="D79" s="87"/>
      <c r="E79" s="87"/>
      <c r="F79" s="92"/>
      <c r="G79" s="311"/>
    </row>
    <row r="80" spans="1:7" x14ac:dyDescent="0.3">
      <c r="A80" s="87"/>
      <c r="B80" s="87"/>
      <c r="C80" s="87"/>
      <c r="D80" s="87"/>
      <c r="E80" s="87"/>
      <c r="F80" s="75"/>
      <c r="G80" s="308"/>
    </row>
    <row r="81" spans="1:7" x14ac:dyDescent="0.3">
      <c r="A81" s="87"/>
      <c r="B81" s="87"/>
      <c r="C81" s="87"/>
      <c r="D81" s="87"/>
      <c r="E81" s="87"/>
      <c r="F81" s="75"/>
      <c r="G81" s="308"/>
    </row>
    <row r="82" spans="1:7" x14ac:dyDescent="0.3">
      <c r="A82" s="87"/>
      <c r="B82" s="93"/>
      <c r="C82" s="87"/>
      <c r="D82" s="87"/>
      <c r="E82" s="87"/>
      <c r="F82" s="92"/>
      <c r="G82" s="311"/>
    </row>
    <row r="84" spans="1:7" x14ac:dyDescent="0.3">
      <c r="A84" s="65"/>
      <c r="B84" s="66"/>
      <c r="C84" s="66"/>
      <c r="D84" s="67"/>
      <c r="E84" s="67"/>
      <c r="F84" s="68"/>
      <c r="G84" s="305"/>
    </row>
    <row r="85" spans="1:7" x14ac:dyDescent="0.3">
      <c r="A85" s="377"/>
      <c r="B85" s="378"/>
      <c r="C85" s="378"/>
      <c r="D85" s="378"/>
      <c r="E85" s="378"/>
      <c r="F85" s="379"/>
      <c r="G85" s="306"/>
    </row>
    <row r="86" spans="1:7" x14ac:dyDescent="0.3">
      <c r="A86" s="369"/>
      <c r="B86" s="69"/>
      <c r="C86" s="70"/>
      <c r="D86" s="71"/>
      <c r="E86" s="71"/>
      <c r="F86" s="72"/>
      <c r="G86" s="307"/>
    </row>
    <row r="87" spans="1:7" x14ac:dyDescent="0.3">
      <c r="A87" s="370"/>
      <c r="B87" s="73"/>
      <c r="C87" s="74"/>
      <c r="D87" s="75"/>
      <c r="E87" s="75"/>
      <c r="F87" s="75"/>
      <c r="G87" s="308"/>
    </row>
    <row r="88" spans="1:7" x14ac:dyDescent="0.3">
      <c r="A88" s="370"/>
      <c r="B88" s="76"/>
      <c r="C88" s="74"/>
      <c r="D88" s="77"/>
      <c r="E88" s="75"/>
      <c r="F88" s="75"/>
      <c r="G88" s="308"/>
    </row>
    <row r="89" spans="1:7" x14ac:dyDescent="0.3">
      <c r="A89" s="371"/>
      <c r="B89" s="78"/>
      <c r="C89" s="74"/>
      <c r="D89" s="79"/>
      <c r="E89" s="75"/>
      <c r="F89" s="75"/>
      <c r="G89" s="308"/>
    </row>
    <row r="90" spans="1:7" x14ac:dyDescent="0.3">
      <c r="A90" s="369"/>
      <c r="B90" s="69"/>
      <c r="C90" s="70"/>
      <c r="D90" s="71"/>
      <c r="E90" s="71"/>
      <c r="F90" s="72"/>
      <c r="G90" s="307"/>
    </row>
    <row r="91" spans="1:7" x14ac:dyDescent="0.3">
      <c r="A91" s="370"/>
      <c r="B91" s="73"/>
      <c r="C91" s="74"/>
      <c r="D91" s="75"/>
      <c r="E91" s="75"/>
      <c r="F91" s="75"/>
      <c r="G91" s="308"/>
    </row>
    <row r="92" spans="1:7" x14ac:dyDescent="0.3">
      <c r="A92" s="370"/>
      <c r="B92" s="76"/>
      <c r="C92" s="74"/>
      <c r="D92" s="77"/>
      <c r="E92" s="75"/>
      <c r="F92" s="75"/>
      <c r="G92" s="308"/>
    </row>
    <row r="93" spans="1:7" x14ac:dyDescent="0.3">
      <c r="A93" s="371"/>
      <c r="B93" s="78"/>
      <c r="C93" s="74"/>
      <c r="D93" s="79"/>
      <c r="E93" s="75"/>
      <c r="F93" s="75"/>
      <c r="G93" s="308"/>
    </row>
    <row r="94" spans="1:7" x14ac:dyDescent="0.3">
      <c r="A94" s="381"/>
      <c r="B94" s="69"/>
      <c r="C94" s="70"/>
      <c r="D94" s="71"/>
      <c r="E94" s="71"/>
      <c r="F94" s="72"/>
      <c r="G94" s="307"/>
    </row>
    <row r="95" spans="1:7" x14ac:dyDescent="0.3">
      <c r="A95" s="382"/>
      <c r="B95" s="73"/>
      <c r="C95" s="74"/>
      <c r="D95" s="75"/>
      <c r="E95" s="75"/>
      <c r="F95" s="75"/>
      <c r="G95" s="308"/>
    </row>
    <row r="96" spans="1:7" x14ac:dyDescent="0.3">
      <c r="A96" s="382"/>
      <c r="B96" s="76"/>
      <c r="C96" s="74"/>
      <c r="D96" s="77"/>
      <c r="E96" s="75"/>
      <c r="F96" s="75"/>
      <c r="G96" s="308"/>
    </row>
    <row r="97" spans="1:7" x14ac:dyDescent="0.3">
      <c r="A97" s="383"/>
      <c r="B97" s="78"/>
      <c r="C97" s="74"/>
      <c r="D97" s="79"/>
      <c r="E97" s="75"/>
      <c r="F97" s="75"/>
      <c r="G97" s="308"/>
    </row>
    <row r="98" spans="1:7" x14ac:dyDescent="0.3">
      <c r="A98" s="381"/>
      <c r="B98" s="69"/>
      <c r="C98" s="70"/>
      <c r="D98" s="71"/>
      <c r="E98" s="71"/>
      <c r="F98" s="72"/>
      <c r="G98" s="307"/>
    </row>
    <row r="99" spans="1:7" x14ac:dyDescent="0.3">
      <c r="A99" s="382"/>
      <c r="B99" s="73"/>
      <c r="C99" s="74"/>
      <c r="D99" s="75"/>
      <c r="E99" s="75"/>
      <c r="F99" s="75"/>
      <c r="G99" s="308"/>
    </row>
    <row r="100" spans="1:7" x14ac:dyDescent="0.3">
      <c r="A100" s="382"/>
      <c r="B100" s="76"/>
      <c r="C100" s="74"/>
      <c r="D100" s="77"/>
      <c r="E100" s="75"/>
      <c r="F100" s="75"/>
      <c r="G100" s="308"/>
    </row>
    <row r="101" spans="1:7" x14ac:dyDescent="0.3">
      <c r="A101" s="383"/>
      <c r="B101" s="78"/>
      <c r="C101" s="74"/>
      <c r="D101" s="79"/>
      <c r="E101" s="75"/>
      <c r="F101" s="75"/>
      <c r="G101" s="308"/>
    </row>
    <row r="102" spans="1:7" x14ac:dyDescent="0.3">
      <c r="A102" s="381"/>
      <c r="B102" s="69"/>
      <c r="C102" s="70"/>
      <c r="D102" s="71"/>
      <c r="E102" s="71"/>
      <c r="F102" s="72"/>
      <c r="G102" s="307"/>
    </row>
    <row r="103" spans="1:7" x14ac:dyDescent="0.3">
      <c r="A103" s="382"/>
      <c r="B103" s="73"/>
      <c r="C103" s="74"/>
      <c r="D103" s="75"/>
      <c r="E103" s="75"/>
      <c r="F103" s="75"/>
      <c r="G103" s="308"/>
    </row>
    <row r="104" spans="1:7" x14ac:dyDescent="0.3">
      <c r="A104" s="382"/>
      <c r="B104" s="76"/>
      <c r="C104" s="74"/>
      <c r="D104" s="77"/>
      <c r="E104" s="75"/>
      <c r="F104" s="75"/>
      <c r="G104" s="308"/>
    </row>
    <row r="105" spans="1:7" x14ac:dyDescent="0.3">
      <c r="A105" s="383"/>
      <c r="B105" s="78"/>
      <c r="C105" s="74"/>
      <c r="D105" s="79"/>
      <c r="E105" s="75"/>
      <c r="F105" s="75"/>
      <c r="G105" s="308"/>
    </row>
    <row r="106" spans="1:7" x14ac:dyDescent="0.3">
      <c r="A106" s="88"/>
      <c r="B106" s="89"/>
      <c r="C106" s="74"/>
      <c r="D106" s="79"/>
      <c r="E106" s="75"/>
      <c r="F106" s="75"/>
      <c r="G106" s="308"/>
    </row>
    <row r="107" spans="1:7" x14ac:dyDescent="0.3">
      <c r="A107" s="87"/>
      <c r="B107" s="66"/>
      <c r="C107" s="87"/>
      <c r="D107" s="87"/>
      <c r="E107" s="87"/>
      <c r="F107" s="92"/>
      <c r="G107" s="311"/>
    </row>
    <row r="108" spans="1:7" x14ac:dyDescent="0.3">
      <c r="A108" s="81"/>
      <c r="B108" s="89"/>
      <c r="C108" s="74"/>
      <c r="D108" s="79"/>
      <c r="E108" s="75"/>
      <c r="F108" s="75"/>
      <c r="G108" s="308"/>
    </row>
    <row r="109" spans="1:7" x14ac:dyDescent="0.3">
      <c r="A109" s="81"/>
      <c r="B109" s="90"/>
      <c r="C109" s="74"/>
      <c r="D109" s="79"/>
      <c r="E109" s="75"/>
      <c r="F109" s="75"/>
      <c r="G109" s="308"/>
    </row>
    <row r="110" spans="1:7" x14ac:dyDescent="0.3">
      <c r="A110" s="81"/>
      <c r="B110" s="82"/>
      <c r="C110" s="74"/>
      <c r="D110" s="79"/>
      <c r="E110" s="75"/>
      <c r="F110" s="75"/>
      <c r="G110" s="308"/>
    </row>
    <row r="111" spans="1:7" x14ac:dyDescent="0.3">
      <c r="A111" s="81"/>
      <c r="B111" s="82"/>
      <c r="C111" s="74"/>
      <c r="D111" s="79"/>
      <c r="E111" s="75"/>
      <c r="F111" s="75"/>
      <c r="G111" s="308"/>
    </row>
    <row r="112" spans="1:7" x14ac:dyDescent="0.3">
      <c r="A112" s="83"/>
      <c r="B112" s="84"/>
      <c r="C112" s="74"/>
      <c r="D112" s="79"/>
      <c r="E112" s="75"/>
      <c r="F112" s="75"/>
      <c r="G112" s="308"/>
    </row>
    <row r="113" spans="1:7" x14ac:dyDescent="0.3">
      <c r="A113" s="83"/>
      <c r="B113" s="84"/>
      <c r="C113" s="74"/>
      <c r="D113" s="79"/>
      <c r="E113" s="75"/>
      <c r="F113" s="75"/>
      <c r="G113" s="308"/>
    </row>
    <row r="114" spans="1:7" x14ac:dyDescent="0.3">
      <c r="A114" s="83"/>
      <c r="B114" s="84"/>
      <c r="C114" s="74"/>
      <c r="D114" s="79"/>
      <c r="E114" s="75"/>
      <c r="F114" s="75"/>
      <c r="G114" s="308"/>
    </row>
    <row r="115" spans="1:7" x14ac:dyDescent="0.3">
      <c r="A115" s="83"/>
      <c r="B115" s="68"/>
      <c r="C115" s="74"/>
      <c r="D115" s="75"/>
      <c r="E115" s="85"/>
      <c r="F115" s="75"/>
      <c r="G115" s="308"/>
    </row>
    <row r="116" spans="1:7" x14ac:dyDescent="0.3">
      <c r="A116" s="87"/>
      <c r="B116" s="66"/>
      <c r="C116" s="87"/>
      <c r="D116" s="87"/>
      <c r="E116" s="87"/>
      <c r="F116" s="92"/>
      <c r="G116" s="311"/>
    </row>
    <row r="117" spans="1:7" x14ac:dyDescent="0.3">
      <c r="A117" s="87"/>
      <c r="B117" s="87"/>
      <c r="C117" s="87"/>
      <c r="D117" s="87"/>
      <c r="E117" s="87"/>
      <c r="F117" s="75"/>
      <c r="G117" s="308"/>
    </row>
    <row r="118" spans="1:7" x14ac:dyDescent="0.3">
      <c r="A118" s="87"/>
      <c r="B118" s="87"/>
      <c r="C118" s="87"/>
      <c r="D118" s="87"/>
      <c r="E118" s="87"/>
      <c r="F118" s="75"/>
      <c r="G118" s="308"/>
    </row>
    <row r="119" spans="1:7" x14ac:dyDescent="0.3">
      <c r="A119" s="87"/>
      <c r="B119" s="93"/>
      <c r="C119" s="87"/>
      <c r="D119" s="87"/>
      <c r="E119" s="87"/>
      <c r="F119" s="92"/>
      <c r="G119" s="311"/>
    </row>
  </sheetData>
  <mergeCells count="17">
    <mergeCell ref="A94:A97"/>
    <mergeCell ref="A98:A101"/>
    <mergeCell ref="A102:A105"/>
    <mergeCell ref="A57:A60"/>
    <mergeCell ref="A61:A64"/>
    <mergeCell ref="A65:A68"/>
    <mergeCell ref="A85:F85"/>
    <mergeCell ref="A86:A89"/>
    <mergeCell ref="A90:A93"/>
    <mergeCell ref="A53:A56"/>
    <mergeCell ref="A3:F3"/>
    <mergeCell ref="A4:A7"/>
    <mergeCell ref="A8:A11"/>
    <mergeCell ref="A12:A15"/>
    <mergeCell ref="A52:F52"/>
    <mergeCell ref="A16:A19"/>
    <mergeCell ref="A20:A23"/>
  </mergeCells>
  <pageMargins left="0.7" right="0.7" top="0.75" bottom="0.75" header="0.3" footer="0.3"/>
  <pageSetup paperSize="9" scale="82"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34BA-455B-45DD-9D1C-09754B601EE9}">
  <sheetPr>
    <pageSetUpPr fitToPage="1"/>
  </sheetPr>
  <dimension ref="A1:P121"/>
  <sheetViews>
    <sheetView topLeftCell="A9" zoomScale="130" zoomScaleNormal="130" workbookViewId="0">
      <selection activeCell="B25" sqref="B25"/>
    </sheetView>
  </sheetViews>
  <sheetFormatPr defaultRowHeight="14.4" x14ac:dyDescent="0.3"/>
  <cols>
    <col min="1" max="1" width="8.88671875" style="59"/>
    <col min="2" max="2" width="35.6640625" customWidth="1"/>
    <col min="3" max="3" width="16.44140625" customWidth="1"/>
    <col min="4" max="4" width="9.109375" customWidth="1"/>
    <col min="5" max="5" width="14.33203125" bestFit="1" customWidth="1"/>
    <col min="6" max="7" width="15.88671875" customWidth="1"/>
    <col min="8" max="8" width="17.44140625" bestFit="1" customWidth="1"/>
    <col min="9" max="9" width="24" customWidth="1"/>
    <col min="10" max="10" width="38" bestFit="1" customWidth="1"/>
    <col min="11" max="11" width="14" customWidth="1"/>
    <col min="12" max="12" width="21" customWidth="1"/>
    <col min="13" max="13" width="24.33203125" customWidth="1"/>
    <col min="16" max="16" width="14" bestFit="1" customWidth="1"/>
  </cols>
  <sheetData>
    <row r="1" spans="1:14" ht="15" thickBot="1" x14ac:dyDescent="0.35">
      <c r="F1" s="39"/>
      <c r="G1" s="39"/>
      <c r="H1" s="39"/>
    </row>
    <row r="2" spans="1:14" ht="40.799999999999997" x14ac:dyDescent="0.3">
      <c r="A2" s="337" t="s">
        <v>222</v>
      </c>
      <c r="B2" s="338" t="s">
        <v>223</v>
      </c>
      <c r="C2" s="338" t="s">
        <v>224</v>
      </c>
      <c r="D2" s="339" t="s">
        <v>225</v>
      </c>
      <c r="E2" s="339" t="s">
        <v>226</v>
      </c>
      <c r="F2" s="340" t="s">
        <v>227</v>
      </c>
      <c r="G2" s="305"/>
    </row>
    <row r="3" spans="1:14" x14ac:dyDescent="0.3">
      <c r="A3" s="372" t="s">
        <v>569</v>
      </c>
      <c r="B3" s="373"/>
      <c r="C3" s="373"/>
      <c r="D3" s="373"/>
      <c r="E3" s="373"/>
      <c r="F3" s="374"/>
      <c r="G3" s="306"/>
      <c r="H3" s="1"/>
      <c r="I3" s="1"/>
      <c r="J3" s="1"/>
    </row>
    <row r="4" spans="1:14" x14ac:dyDescent="0.3">
      <c r="A4" s="375">
        <v>1</v>
      </c>
      <c r="B4" s="327" t="s">
        <v>567</v>
      </c>
      <c r="C4" s="328">
        <v>2</v>
      </c>
      <c r="D4" s="329"/>
      <c r="E4" s="329"/>
      <c r="F4" s="341">
        <f>SUM(F5:F7)*C4</f>
        <v>473736</v>
      </c>
      <c r="G4" s="307"/>
      <c r="H4" s="41"/>
      <c r="M4" t="s">
        <v>213</v>
      </c>
      <c r="N4" s="40">
        <v>4449</v>
      </c>
    </row>
    <row r="5" spans="1:14" x14ac:dyDescent="0.3">
      <c r="A5" s="375"/>
      <c r="B5" s="330" t="s">
        <v>229</v>
      </c>
      <c r="C5" s="331">
        <v>1</v>
      </c>
      <c r="D5" s="332">
        <v>13349</v>
      </c>
      <c r="E5" s="332">
        <f>D5*C5</f>
        <v>13349</v>
      </c>
      <c r="F5" s="342">
        <f>E5*12</f>
        <v>160188</v>
      </c>
      <c r="G5" s="308"/>
      <c r="H5" s="41"/>
      <c r="M5" t="s">
        <v>214</v>
      </c>
      <c r="N5" s="40">
        <v>7349</v>
      </c>
    </row>
    <row r="6" spans="1:14" x14ac:dyDescent="0.3">
      <c r="A6" s="375"/>
      <c r="B6" s="333" t="s">
        <v>230</v>
      </c>
      <c r="C6" s="331">
        <v>4</v>
      </c>
      <c r="D6" s="334">
        <v>849</v>
      </c>
      <c r="E6" s="332">
        <f>D6*C6</f>
        <v>3396</v>
      </c>
      <c r="F6" s="342">
        <f>E6*12</f>
        <v>40752</v>
      </c>
      <c r="G6" s="308"/>
      <c r="H6" s="41"/>
      <c r="M6" t="s">
        <v>215</v>
      </c>
      <c r="N6">
        <v>13349</v>
      </c>
    </row>
    <row r="7" spans="1:14" x14ac:dyDescent="0.3">
      <c r="A7" s="375"/>
      <c r="B7" s="330" t="s">
        <v>231</v>
      </c>
      <c r="C7" s="331">
        <v>6</v>
      </c>
      <c r="D7" s="335">
        <v>499</v>
      </c>
      <c r="E7" s="332">
        <f>D7*C7</f>
        <v>2994</v>
      </c>
      <c r="F7" s="342">
        <f>E7*12</f>
        <v>35928</v>
      </c>
      <c r="G7" s="308"/>
      <c r="H7" s="41"/>
      <c r="M7" t="s">
        <v>216</v>
      </c>
      <c r="N7">
        <v>19949</v>
      </c>
    </row>
    <row r="8" spans="1:14" x14ac:dyDescent="0.3">
      <c r="A8" s="376">
        <v>2</v>
      </c>
      <c r="B8" s="327" t="s">
        <v>533</v>
      </c>
      <c r="C8" s="331">
        <v>6</v>
      </c>
      <c r="D8" s="329"/>
      <c r="E8" s="329"/>
      <c r="F8" s="341">
        <f>SUM(F9:F11)*C8</f>
        <v>5478264</v>
      </c>
      <c r="G8" s="307"/>
      <c r="H8" s="41"/>
      <c r="M8" t="s">
        <v>217</v>
      </c>
      <c r="N8">
        <v>25549</v>
      </c>
    </row>
    <row r="9" spans="1:14" x14ac:dyDescent="0.3">
      <c r="A9" s="376"/>
      <c r="B9" s="330" t="s">
        <v>234</v>
      </c>
      <c r="C9" s="331">
        <v>1</v>
      </c>
      <c r="D9" s="332">
        <v>25549</v>
      </c>
      <c r="E9" s="332">
        <f>D9*C9</f>
        <v>25549</v>
      </c>
      <c r="F9" s="342">
        <f>E9*12</f>
        <v>306588</v>
      </c>
      <c r="G9" s="308"/>
      <c r="H9" s="41"/>
      <c r="M9" t="s">
        <v>218</v>
      </c>
      <c r="N9">
        <v>49649</v>
      </c>
    </row>
    <row r="10" spans="1:14" x14ac:dyDescent="0.3">
      <c r="A10" s="376"/>
      <c r="B10" s="333" t="s">
        <v>230</v>
      </c>
      <c r="C10" s="331">
        <v>56</v>
      </c>
      <c r="D10" s="334">
        <v>849</v>
      </c>
      <c r="E10" s="332">
        <f>D10*C10</f>
        <v>47544</v>
      </c>
      <c r="F10" s="342">
        <f>E10*12</f>
        <v>570528</v>
      </c>
      <c r="G10" s="308"/>
      <c r="H10" s="41"/>
    </row>
    <row r="11" spans="1:14" x14ac:dyDescent="0.3">
      <c r="A11" s="376"/>
      <c r="B11" s="330" t="s">
        <v>232</v>
      </c>
      <c r="C11" s="331">
        <v>6</v>
      </c>
      <c r="D11" s="335">
        <v>499</v>
      </c>
      <c r="E11" s="332">
        <f>D11*C11</f>
        <v>2994</v>
      </c>
      <c r="F11" s="342">
        <f>E11*12</f>
        <v>35928</v>
      </c>
      <c r="G11" s="308"/>
      <c r="H11" s="41"/>
      <c r="I11" s="43"/>
      <c r="J11" s="44" t="s">
        <v>304</v>
      </c>
      <c r="K11" s="44" t="s">
        <v>305</v>
      </c>
      <c r="M11" t="s">
        <v>220</v>
      </c>
      <c r="N11">
        <v>2110</v>
      </c>
    </row>
    <row r="12" spans="1:14" x14ac:dyDescent="0.3">
      <c r="A12" s="376">
        <v>3</v>
      </c>
      <c r="B12" s="327" t="s">
        <v>534</v>
      </c>
      <c r="C12" s="331">
        <v>2</v>
      </c>
      <c r="D12" s="329"/>
      <c r="E12" s="329"/>
      <c r="F12" s="341">
        <f>SUM(F13:F15)*C12</f>
        <v>2289384</v>
      </c>
      <c r="G12" s="307"/>
      <c r="H12" s="41"/>
      <c r="I12" s="43" t="s">
        <v>263</v>
      </c>
      <c r="J12" s="118">
        <f>J26+744000</f>
        <v>10377278</v>
      </c>
      <c r="K12" s="119">
        <f>E34</f>
        <v>0</v>
      </c>
      <c r="M12" t="s">
        <v>219</v>
      </c>
      <c r="N12">
        <v>849</v>
      </c>
    </row>
    <row r="13" spans="1:14" x14ac:dyDescent="0.3">
      <c r="A13" s="376"/>
      <c r="B13" s="330" t="s">
        <v>236</v>
      </c>
      <c r="C13" s="331">
        <v>1</v>
      </c>
      <c r="D13" s="332">
        <v>49649</v>
      </c>
      <c r="E13" s="332">
        <f>D13*C13</f>
        <v>49649</v>
      </c>
      <c r="F13" s="342">
        <f>E13*12</f>
        <v>595788</v>
      </c>
      <c r="G13" s="308"/>
      <c r="H13" s="41"/>
      <c r="I13" s="43" t="s">
        <v>265</v>
      </c>
      <c r="J13" s="43">
        <v>9689988</v>
      </c>
      <c r="K13" s="120">
        <f>E35</f>
        <v>0</v>
      </c>
      <c r="L13">
        <v>9701553</v>
      </c>
      <c r="M13" t="s">
        <v>221</v>
      </c>
      <c r="N13" s="42">
        <v>499</v>
      </c>
    </row>
    <row r="14" spans="1:14" x14ac:dyDescent="0.3">
      <c r="A14" s="376"/>
      <c r="B14" s="333" t="s">
        <v>230</v>
      </c>
      <c r="C14" s="331">
        <v>48</v>
      </c>
      <c r="D14" s="334">
        <v>849</v>
      </c>
      <c r="E14" s="332">
        <f>D14*C14</f>
        <v>40752</v>
      </c>
      <c r="F14" s="342">
        <f>E14*12</f>
        <v>489024</v>
      </c>
      <c r="G14" s="308"/>
      <c r="H14" s="41"/>
      <c r="I14" s="43" t="s">
        <v>266</v>
      </c>
      <c r="J14" s="43">
        <v>4232974</v>
      </c>
      <c r="K14" s="120">
        <f>E36</f>
        <v>0</v>
      </c>
      <c r="L14">
        <v>4215870</v>
      </c>
      <c r="M14">
        <v>21.89</v>
      </c>
    </row>
    <row r="15" spans="1:14" x14ac:dyDescent="0.3">
      <c r="A15" s="376"/>
      <c r="B15" s="330" t="s">
        <v>232</v>
      </c>
      <c r="C15" s="331">
        <v>10</v>
      </c>
      <c r="D15" s="335">
        <v>499</v>
      </c>
      <c r="E15" s="332">
        <f>D15*C15</f>
        <v>4990</v>
      </c>
      <c r="F15" s="342">
        <f>E15*12</f>
        <v>59880</v>
      </c>
      <c r="G15" s="308"/>
      <c r="H15" s="41"/>
      <c r="I15" s="43"/>
      <c r="J15" s="43"/>
      <c r="K15" s="43"/>
      <c r="M15">
        <v>12.57</v>
      </c>
    </row>
    <row r="16" spans="1:14" x14ac:dyDescent="0.3">
      <c r="A16" s="343"/>
      <c r="B16" s="330"/>
      <c r="C16" s="331"/>
      <c r="D16" s="335"/>
      <c r="E16" s="332"/>
      <c r="F16" s="342"/>
      <c r="G16" s="308"/>
      <c r="H16" s="41"/>
      <c r="J16" t="s">
        <v>266</v>
      </c>
    </row>
    <row r="17" spans="1:10" x14ac:dyDescent="0.3">
      <c r="A17" s="344"/>
      <c r="B17" s="326" t="s">
        <v>240</v>
      </c>
      <c r="C17" s="323"/>
      <c r="D17" s="323"/>
      <c r="E17" s="323"/>
      <c r="F17" s="345">
        <f>SUM(F12,F8,F4)</f>
        <v>8241384</v>
      </c>
      <c r="G17" s="309"/>
      <c r="H17" s="41"/>
    </row>
    <row r="18" spans="1:10" x14ac:dyDescent="0.3">
      <c r="A18" s="343"/>
      <c r="B18" s="330"/>
      <c r="C18" s="331"/>
      <c r="D18" s="335"/>
      <c r="E18" s="332"/>
      <c r="F18" s="342"/>
      <c r="G18" s="308"/>
      <c r="H18" s="41"/>
    </row>
    <row r="19" spans="1:10" x14ac:dyDescent="0.3">
      <c r="A19" s="343"/>
      <c r="B19" s="336" t="s">
        <v>241</v>
      </c>
      <c r="C19" s="331"/>
      <c r="D19" s="335"/>
      <c r="E19" s="332"/>
      <c r="F19" s="342"/>
      <c r="G19" s="308"/>
      <c r="H19" s="41"/>
      <c r="I19">
        <v>1850</v>
      </c>
      <c r="J19">
        <f>25000/12</f>
        <v>2083.3333333333335</v>
      </c>
    </row>
    <row r="20" spans="1:10" x14ac:dyDescent="0.3">
      <c r="A20" s="343">
        <v>1</v>
      </c>
      <c r="B20" s="333" t="s">
        <v>237</v>
      </c>
      <c r="C20" s="331">
        <v>10</v>
      </c>
      <c r="D20" s="335">
        <v>2083</v>
      </c>
      <c r="E20" s="332">
        <f>D20*C20</f>
        <v>20830</v>
      </c>
      <c r="F20" s="342">
        <f>E20*12</f>
        <v>249960</v>
      </c>
      <c r="G20" s="308"/>
      <c r="H20" s="41"/>
    </row>
    <row r="21" spans="1:10" x14ac:dyDescent="0.3">
      <c r="A21" s="343">
        <v>2</v>
      </c>
      <c r="B21" s="333" t="s">
        <v>267</v>
      </c>
      <c r="C21" s="331">
        <v>10</v>
      </c>
      <c r="D21" s="335">
        <v>4670</v>
      </c>
      <c r="E21" s="332">
        <f>D21*C21</f>
        <v>46700</v>
      </c>
      <c r="F21" s="342">
        <f>E21*12</f>
        <v>560400</v>
      </c>
      <c r="G21" s="308"/>
      <c r="H21" s="41"/>
    </row>
    <row r="22" spans="1:10" x14ac:dyDescent="0.3">
      <c r="A22" s="343">
        <v>3</v>
      </c>
      <c r="B22" s="333" t="s">
        <v>530</v>
      </c>
      <c r="C22" s="331">
        <v>48</v>
      </c>
      <c r="D22" s="335">
        <v>1950</v>
      </c>
      <c r="E22" s="332">
        <f>C22*D22</f>
        <v>93600</v>
      </c>
      <c r="F22" s="342">
        <f>E22*12</f>
        <v>1123200</v>
      </c>
      <c r="G22" s="308"/>
      <c r="H22" s="41"/>
    </row>
    <row r="23" spans="1:10" x14ac:dyDescent="0.3">
      <c r="A23" s="346">
        <v>5</v>
      </c>
      <c r="B23" s="330" t="s">
        <v>287</v>
      </c>
      <c r="C23" s="331">
        <v>10</v>
      </c>
      <c r="D23" s="335">
        <v>1340</v>
      </c>
      <c r="E23" s="332">
        <f>D23*C23</f>
        <v>13400</v>
      </c>
      <c r="F23" s="342">
        <f>E23*12</f>
        <v>160800</v>
      </c>
      <c r="G23" s="308"/>
      <c r="H23" s="41"/>
      <c r="I23" t="s">
        <v>256</v>
      </c>
      <c r="J23" s="95">
        <v>2644848</v>
      </c>
    </row>
    <row r="24" spans="1:10" x14ac:dyDescent="0.3">
      <c r="A24" s="346">
        <v>6</v>
      </c>
      <c r="B24" s="330" t="s">
        <v>244</v>
      </c>
      <c r="C24" s="331">
        <v>2</v>
      </c>
      <c r="D24" s="335">
        <v>13440</v>
      </c>
      <c r="E24" s="332">
        <f>D24*C24</f>
        <v>26880</v>
      </c>
      <c r="F24" s="342">
        <f>E24*12</f>
        <v>322560</v>
      </c>
      <c r="G24" s="308"/>
      <c r="H24" s="41"/>
      <c r="I24" t="s">
        <v>257</v>
      </c>
      <c r="J24" s="95">
        <v>6988430</v>
      </c>
    </row>
    <row r="25" spans="1:10" x14ac:dyDescent="0.3">
      <c r="A25" s="346">
        <v>7</v>
      </c>
      <c r="B25" s="332" t="s">
        <v>561</v>
      </c>
      <c r="C25" s="332">
        <v>5</v>
      </c>
      <c r="D25" s="332"/>
      <c r="E25" s="332"/>
      <c r="F25" s="342">
        <v>720000</v>
      </c>
      <c r="G25" s="310"/>
    </row>
    <row r="26" spans="1:10" x14ac:dyDescent="0.3">
      <c r="A26" s="61"/>
      <c r="B26" s="43"/>
      <c r="C26" s="43"/>
      <c r="D26" s="43"/>
      <c r="E26" s="43"/>
      <c r="F26" s="47"/>
      <c r="J26" s="96">
        <f>SUM(J23:J24)</f>
        <v>9633278</v>
      </c>
    </row>
    <row r="27" spans="1:10" x14ac:dyDescent="0.3">
      <c r="A27" s="344"/>
      <c r="B27" s="326" t="s">
        <v>242</v>
      </c>
      <c r="C27" s="323"/>
      <c r="D27" s="323"/>
      <c r="E27" s="323"/>
      <c r="F27" s="345">
        <f>SUM(F20:F25)</f>
        <v>3136920</v>
      </c>
      <c r="G27" s="309"/>
    </row>
    <row r="28" spans="1:10" x14ac:dyDescent="0.3">
      <c r="A28" s="344"/>
      <c r="B28" s="323" t="s">
        <v>246</v>
      </c>
      <c r="C28" s="323"/>
      <c r="D28" s="323"/>
      <c r="E28" s="323"/>
      <c r="F28" s="345">
        <f>F27+F17</f>
        <v>11378304</v>
      </c>
      <c r="G28" s="308"/>
    </row>
    <row r="30" spans="1:10" ht="15" thickBot="1" x14ac:dyDescent="0.35">
      <c r="A30" s="347"/>
      <c r="B30" s="348" t="s">
        <v>248</v>
      </c>
      <c r="C30" s="349"/>
      <c r="D30" s="349"/>
      <c r="E30" s="349"/>
      <c r="F30" s="350">
        <f>F28</f>
        <v>11378304</v>
      </c>
      <c r="G30" s="311"/>
    </row>
    <row r="31" spans="1:10" x14ac:dyDescent="0.3">
      <c r="F31" s="325"/>
      <c r="G31" s="311"/>
    </row>
    <row r="33" spans="1:16" ht="15" thickBot="1" x14ac:dyDescent="0.35">
      <c r="F33" s="289">
        <f>SUM(F30:F31)</f>
        <v>11378304</v>
      </c>
      <c r="G33" s="289"/>
      <c r="K33" s="298" t="s">
        <v>556</v>
      </c>
      <c r="L33" s="298" t="s">
        <v>557</v>
      </c>
      <c r="M33" s="298" t="s">
        <v>308</v>
      </c>
      <c r="N33" s="298" t="s">
        <v>309</v>
      </c>
      <c r="O33" s="298" t="s">
        <v>558</v>
      </c>
      <c r="P33" s="298" t="s">
        <v>559</v>
      </c>
    </row>
    <row r="34" spans="1:16" ht="86.4" x14ac:dyDescent="0.3">
      <c r="B34" s="100"/>
      <c r="C34" s="103"/>
      <c r="D34" s="91"/>
      <c r="E34" s="91"/>
      <c r="I34" s="100"/>
      <c r="J34" s="292"/>
      <c r="K34" s="299">
        <v>1</v>
      </c>
      <c r="L34" s="299" t="s">
        <v>539</v>
      </c>
      <c r="M34" s="300" t="s">
        <v>541</v>
      </c>
      <c r="N34" s="299">
        <v>2</v>
      </c>
      <c r="O34" s="301">
        <v>480000</v>
      </c>
      <c r="P34" s="299">
        <f>N34*O34</f>
        <v>960000</v>
      </c>
    </row>
    <row r="35" spans="1:16" ht="86.4" x14ac:dyDescent="0.3">
      <c r="B35" s="101"/>
      <c r="C35" s="98"/>
      <c r="I35" s="101"/>
      <c r="J35" s="293"/>
      <c r="K35" s="299">
        <v>2</v>
      </c>
      <c r="L35" s="299" t="s">
        <v>333</v>
      </c>
      <c r="M35" s="300" t="s">
        <v>542</v>
      </c>
      <c r="N35" s="299">
        <v>2</v>
      </c>
      <c r="O35" s="301">
        <v>720000</v>
      </c>
      <c r="P35" s="299">
        <f t="shared" ref="P35:P41" si="0">N35*O35</f>
        <v>1440000</v>
      </c>
    </row>
    <row r="36" spans="1:16" ht="100.8" x14ac:dyDescent="0.3">
      <c r="B36" s="101"/>
      <c r="C36" s="98"/>
      <c r="I36" s="101"/>
      <c r="J36" s="293"/>
      <c r="K36" s="299">
        <v>3</v>
      </c>
      <c r="L36" s="299" t="s">
        <v>540</v>
      </c>
      <c r="M36" s="300" t="s">
        <v>547</v>
      </c>
      <c r="N36" s="299">
        <v>2</v>
      </c>
      <c r="O36" s="301">
        <v>840000</v>
      </c>
      <c r="P36" s="299">
        <f t="shared" si="0"/>
        <v>1680000</v>
      </c>
    </row>
    <row r="37" spans="1:16" ht="28.8" x14ac:dyDescent="0.3">
      <c r="B37" s="101"/>
      <c r="C37" s="98"/>
      <c r="D37" s="98"/>
      <c r="E37" s="91"/>
      <c r="I37" s="101"/>
      <c r="J37" s="293"/>
      <c r="K37" s="299">
        <v>4</v>
      </c>
      <c r="L37" s="299" t="s">
        <v>543</v>
      </c>
      <c r="M37" s="300" t="s">
        <v>544</v>
      </c>
      <c r="N37" s="299">
        <v>1</v>
      </c>
      <c r="O37" s="301">
        <v>3480000</v>
      </c>
      <c r="P37" s="299">
        <f t="shared" si="0"/>
        <v>3480000</v>
      </c>
    </row>
    <row r="38" spans="1:16" x14ac:dyDescent="0.3">
      <c r="B38" s="101"/>
      <c r="C38" s="98"/>
      <c r="D38" s="98"/>
      <c r="F38" s="91"/>
      <c r="G38" s="91"/>
      <c r="I38" s="101"/>
      <c r="J38" s="293"/>
      <c r="K38" s="299">
        <v>5</v>
      </c>
      <c r="L38" s="299" t="s">
        <v>545</v>
      </c>
      <c r="M38" s="300" t="s">
        <v>546</v>
      </c>
      <c r="N38" s="299">
        <v>2</v>
      </c>
      <c r="O38" s="301">
        <v>480000</v>
      </c>
      <c r="P38" s="299">
        <f t="shared" si="0"/>
        <v>960000</v>
      </c>
    </row>
    <row r="39" spans="1:16" ht="43.8" thickBot="1" x14ac:dyDescent="0.35">
      <c r="B39" s="102"/>
      <c r="C39" s="99"/>
      <c r="D39" s="99"/>
      <c r="I39" s="101"/>
      <c r="J39" s="293"/>
      <c r="K39" s="299">
        <v>6</v>
      </c>
      <c r="L39" s="299" t="s">
        <v>548</v>
      </c>
      <c r="M39" s="300" t="s">
        <v>549</v>
      </c>
      <c r="N39" s="299">
        <v>2</v>
      </c>
      <c r="O39" s="301">
        <v>620000</v>
      </c>
      <c r="P39" s="299">
        <f t="shared" si="0"/>
        <v>1240000</v>
      </c>
    </row>
    <row r="40" spans="1:16" x14ac:dyDescent="0.3">
      <c r="I40" s="101"/>
      <c r="J40" s="294"/>
      <c r="K40" s="299">
        <v>7</v>
      </c>
      <c r="L40" s="299" t="s">
        <v>554</v>
      </c>
      <c r="M40" s="299"/>
      <c r="N40" s="299">
        <v>6</v>
      </c>
      <c r="O40" s="301">
        <v>220000</v>
      </c>
      <c r="P40" s="299">
        <f t="shared" si="0"/>
        <v>1320000</v>
      </c>
    </row>
    <row r="41" spans="1:16" x14ac:dyDescent="0.3">
      <c r="I41" s="101"/>
      <c r="J41" s="295"/>
      <c r="K41" s="299">
        <v>8</v>
      </c>
      <c r="L41" s="299" t="s">
        <v>560</v>
      </c>
      <c r="M41" s="299"/>
      <c r="N41" s="299">
        <v>12</v>
      </c>
      <c r="O41" s="301">
        <v>650000</v>
      </c>
      <c r="P41" s="299">
        <f t="shared" si="0"/>
        <v>7800000</v>
      </c>
    </row>
    <row r="42" spans="1:16" ht="15" thickBot="1" x14ac:dyDescent="0.35">
      <c r="A42" s="65"/>
      <c r="B42" s="66"/>
      <c r="C42" s="66"/>
      <c r="D42" s="67"/>
      <c r="E42" s="67"/>
      <c r="F42" s="68"/>
      <c r="G42" s="305"/>
      <c r="I42" s="102"/>
      <c r="J42" s="296"/>
      <c r="K42" s="299"/>
      <c r="L42" s="299"/>
      <c r="M42" s="299"/>
      <c r="N42" s="299"/>
      <c r="O42" s="299"/>
      <c r="P42" s="299"/>
    </row>
    <row r="43" spans="1:16" ht="15" thickBot="1" x14ac:dyDescent="0.35">
      <c r="A43" s="377"/>
      <c r="B43" s="378"/>
      <c r="C43" s="378"/>
      <c r="D43" s="378"/>
      <c r="E43" s="378"/>
      <c r="F43" s="379"/>
      <c r="G43" s="306"/>
      <c r="I43" s="115"/>
      <c r="J43" s="297"/>
      <c r="K43" s="299"/>
      <c r="L43" s="299"/>
      <c r="M43" s="299"/>
      <c r="N43" s="299"/>
      <c r="O43" s="299"/>
      <c r="P43" s="302">
        <f>SUM(P34:P41)</f>
        <v>18880000</v>
      </c>
    </row>
    <row r="44" spans="1:16" ht="15" thickBot="1" x14ac:dyDescent="0.35">
      <c r="A44" s="369"/>
      <c r="B44" s="69"/>
      <c r="C44" s="70"/>
      <c r="D44" s="71"/>
      <c r="E44" s="71"/>
      <c r="F44" s="72"/>
      <c r="G44" s="307"/>
      <c r="I44" s="117"/>
      <c r="J44" s="110"/>
      <c r="K44" s="290"/>
      <c r="L44" s="290"/>
      <c r="M44" s="290"/>
      <c r="N44" s="290"/>
      <c r="O44" s="290"/>
      <c r="P44" s="291"/>
    </row>
    <row r="45" spans="1:16" ht="15" thickBot="1" x14ac:dyDescent="0.35">
      <c r="A45" s="370"/>
      <c r="B45" s="73"/>
      <c r="C45" s="74"/>
      <c r="D45" s="75"/>
      <c r="E45" s="75"/>
      <c r="F45" s="75"/>
      <c r="G45" s="308"/>
      <c r="I45" s="117"/>
      <c r="J45" s="110"/>
      <c r="K45" s="290"/>
      <c r="L45" s="290"/>
      <c r="M45" s="290"/>
      <c r="N45" s="290"/>
      <c r="O45" s="290"/>
      <c r="P45" s="290"/>
    </row>
    <row r="46" spans="1:16" x14ac:dyDescent="0.3">
      <c r="A46" s="370"/>
      <c r="B46" s="76"/>
      <c r="C46" s="74"/>
      <c r="D46" s="77"/>
      <c r="E46" s="75"/>
      <c r="F46" s="75"/>
      <c r="G46" s="308"/>
      <c r="K46" s="290"/>
      <c r="L46" s="290"/>
      <c r="M46" s="290"/>
      <c r="N46" s="290"/>
      <c r="O46" s="290"/>
      <c r="P46" s="290"/>
    </row>
    <row r="47" spans="1:16" x14ac:dyDescent="0.3">
      <c r="A47" s="371"/>
      <c r="B47" s="78"/>
      <c r="C47" s="74"/>
      <c r="D47" s="79"/>
      <c r="E47" s="75"/>
      <c r="F47" s="75"/>
      <c r="G47" s="308"/>
      <c r="K47" s="290"/>
      <c r="L47" s="290"/>
      <c r="M47" s="290"/>
      <c r="N47" s="290"/>
      <c r="O47" s="290"/>
      <c r="P47" s="290"/>
    </row>
    <row r="48" spans="1:16" x14ac:dyDescent="0.3">
      <c r="A48" s="381"/>
      <c r="B48" s="69"/>
      <c r="C48" s="70"/>
      <c r="D48" s="71"/>
      <c r="E48" s="71"/>
      <c r="F48" s="72"/>
      <c r="G48" s="307"/>
      <c r="K48" s="380" t="s">
        <v>550</v>
      </c>
      <c r="L48" s="380"/>
      <c r="M48" s="380"/>
      <c r="N48" s="380"/>
      <c r="O48" s="380"/>
      <c r="P48" s="380"/>
    </row>
    <row r="49" spans="1:16" x14ac:dyDescent="0.3">
      <c r="A49" s="382"/>
      <c r="B49" s="73"/>
      <c r="C49" s="74"/>
      <c r="D49" s="75"/>
      <c r="E49" s="75"/>
      <c r="F49" s="75"/>
      <c r="G49" s="308"/>
      <c r="K49" s="299"/>
      <c r="L49" s="299"/>
      <c r="M49" s="299"/>
      <c r="N49" s="299"/>
      <c r="O49" s="299" t="s">
        <v>553</v>
      </c>
      <c r="P49" s="299"/>
    </row>
    <row r="50" spans="1:16" x14ac:dyDescent="0.3">
      <c r="A50" s="382"/>
      <c r="B50" s="76"/>
      <c r="C50" s="74"/>
      <c r="D50" s="77"/>
      <c r="E50" s="75"/>
      <c r="F50" s="75"/>
      <c r="G50" s="308"/>
      <c r="K50" s="299">
        <v>1</v>
      </c>
      <c r="L50" s="299" t="s">
        <v>551</v>
      </c>
      <c r="M50" s="299"/>
      <c r="N50" s="299">
        <v>2</v>
      </c>
      <c r="O50" s="301">
        <v>840000</v>
      </c>
      <c r="P50" s="299">
        <f>N50*O50</f>
        <v>1680000</v>
      </c>
    </row>
    <row r="51" spans="1:16" x14ac:dyDescent="0.3">
      <c r="A51" s="383"/>
      <c r="B51" s="78"/>
      <c r="C51" s="74"/>
      <c r="D51" s="79"/>
      <c r="E51" s="75"/>
      <c r="F51" s="75"/>
      <c r="G51" s="308"/>
      <c r="K51" s="299">
        <v>2</v>
      </c>
      <c r="L51" s="299" t="s">
        <v>552</v>
      </c>
      <c r="M51" s="299"/>
      <c r="N51" s="299">
        <v>2</v>
      </c>
      <c r="O51" s="301">
        <v>1640000</v>
      </c>
      <c r="P51" s="299">
        <f>N51*O51</f>
        <v>3280000</v>
      </c>
    </row>
    <row r="52" spans="1:16" x14ac:dyDescent="0.3">
      <c r="A52" s="381"/>
      <c r="B52" s="69"/>
      <c r="C52" s="70"/>
      <c r="D52" s="71"/>
      <c r="E52" s="71"/>
      <c r="F52" s="72"/>
      <c r="G52" s="307"/>
      <c r="K52" s="299">
        <v>3</v>
      </c>
      <c r="L52" s="299" t="s">
        <v>555</v>
      </c>
      <c r="M52" s="299"/>
      <c r="N52" s="299">
        <v>6</v>
      </c>
      <c r="O52" s="301">
        <v>600000</v>
      </c>
      <c r="P52" s="299">
        <f>N52*O52</f>
        <v>3600000</v>
      </c>
    </row>
    <row r="53" spans="1:16" x14ac:dyDescent="0.3">
      <c r="A53" s="382"/>
      <c r="B53" s="73"/>
      <c r="C53" s="74"/>
      <c r="D53" s="75"/>
      <c r="E53" s="75"/>
      <c r="F53" s="75"/>
      <c r="G53" s="308"/>
      <c r="K53" s="299"/>
      <c r="L53" s="299"/>
      <c r="M53" s="299"/>
      <c r="N53" s="299"/>
      <c r="O53" s="299"/>
      <c r="P53" s="299"/>
    </row>
    <row r="54" spans="1:16" x14ac:dyDescent="0.3">
      <c r="A54" s="382"/>
      <c r="B54" s="76"/>
      <c r="C54" s="74"/>
      <c r="D54" s="77"/>
      <c r="E54" s="75"/>
      <c r="F54" s="75"/>
      <c r="G54" s="308"/>
      <c r="K54" s="299"/>
      <c r="L54" s="299"/>
      <c r="M54" s="299"/>
      <c r="N54" s="299"/>
      <c r="O54" s="299"/>
      <c r="P54" s="302">
        <f>SUM(P50:P52)</f>
        <v>8560000</v>
      </c>
    </row>
    <row r="55" spans="1:16" x14ac:dyDescent="0.3">
      <c r="A55" s="383"/>
      <c r="B55" s="78"/>
      <c r="C55" s="74"/>
      <c r="D55" s="79"/>
      <c r="E55" s="75"/>
      <c r="F55" s="75"/>
      <c r="G55" s="308"/>
    </row>
    <row r="56" spans="1:16" x14ac:dyDescent="0.3">
      <c r="A56" s="381"/>
      <c r="B56" s="69"/>
      <c r="C56" s="70"/>
      <c r="D56" s="71"/>
      <c r="E56" s="71"/>
      <c r="F56" s="72"/>
      <c r="G56" s="307"/>
    </row>
    <row r="57" spans="1:16" x14ac:dyDescent="0.3">
      <c r="A57" s="382"/>
      <c r="B57" s="73"/>
      <c r="C57" s="74"/>
      <c r="D57" s="75"/>
      <c r="E57" s="75"/>
      <c r="F57" s="75"/>
      <c r="G57" s="308"/>
    </row>
    <row r="58" spans="1:16" x14ac:dyDescent="0.3">
      <c r="A58" s="382"/>
      <c r="B58" s="76"/>
      <c r="C58" s="74"/>
      <c r="D58" s="77"/>
      <c r="E58" s="75"/>
      <c r="F58" s="75"/>
      <c r="G58" s="308"/>
    </row>
    <row r="59" spans="1:16" x14ac:dyDescent="0.3">
      <c r="A59" s="383"/>
      <c r="B59" s="78"/>
      <c r="C59" s="74"/>
      <c r="D59" s="79"/>
      <c r="E59" s="75"/>
      <c r="F59" s="75"/>
      <c r="G59" s="308"/>
    </row>
    <row r="60" spans="1:16" x14ac:dyDescent="0.3">
      <c r="A60" s="88"/>
      <c r="B60" s="89"/>
      <c r="C60" s="74"/>
      <c r="D60" s="79"/>
      <c r="E60" s="75"/>
      <c r="F60" s="75"/>
      <c r="G60" s="308"/>
    </row>
    <row r="61" spans="1:16" x14ac:dyDescent="0.3">
      <c r="A61" s="87"/>
      <c r="B61" s="66"/>
      <c r="C61" s="87"/>
      <c r="D61" s="87"/>
      <c r="E61" s="87"/>
      <c r="F61" s="92"/>
      <c r="G61" s="311"/>
    </row>
    <row r="62" spans="1:16" x14ac:dyDescent="0.3">
      <c r="A62" s="81"/>
      <c r="B62" s="89"/>
      <c r="C62" s="74"/>
      <c r="D62" s="79"/>
      <c r="E62" s="75"/>
      <c r="F62" s="75"/>
      <c r="G62" s="308"/>
      <c r="J62" t="s">
        <v>566</v>
      </c>
    </row>
    <row r="63" spans="1:16" x14ac:dyDescent="0.3">
      <c r="A63" s="81"/>
      <c r="B63" s="90"/>
      <c r="C63" s="74"/>
      <c r="D63" s="79"/>
      <c r="E63" s="75"/>
      <c r="F63" s="75"/>
      <c r="G63" s="308"/>
      <c r="H63" t="s">
        <v>564</v>
      </c>
      <c r="I63" t="s">
        <v>63</v>
      </c>
    </row>
    <row r="64" spans="1:16" x14ac:dyDescent="0.3">
      <c r="A64" s="81"/>
      <c r="B64" s="82"/>
      <c r="C64" s="74"/>
      <c r="D64" s="79"/>
      <c r="E64" s="75"/>
      <c r="F64" s="75"/>
      <c r="G64" s="308"/>
    </row>
    <row r="65" spans="1:12" x14ac:dyDescent="0.3">
      <c r="A65" s="81"/>
      <c r="B65" s="82"/>
      <c r="C65" s="74"/>
      <c r="D65" s="79"/>
      <c r="E65" s="75"/>
      <c r="F65" s="75"/>
      <c r="G65" s="308">
        <v>1000</v>
      </c>
      <c r="H65">
        <f>G65*3</f>
        <v>3000</v>
      </c>
      <c r="J65" t="s">
        <v>562</v>
      </c>
      <c r="K65" t="s">
        <v>563</v>
      </c>
      <c r="L65" t="s">
        <v>565</v>
      </c>
    </row>
    <row r="66" spans="1:12" x14ac:dyDescent="0.3">
      <c r="A66" s="83"/>
      <c r="B66" s="84"/>
      <c r="C66" s="74"/>
      <c r="D66" s="79"/>
      <c r="E66" s="75"/>
      <c r="F66" s="75"/>
      <c r="G66" s="308"/>
    </row>
    <row r="67" spans="1:12" x14ac:dyDescent="0.3">
      <c r="A67" s="83"/>
      <c r="B67" s="84"/>
      <c r="C67" s="74"/>
      <c r="D67" s="79"/>
      <c r="E67" s="75"/>
      <c r="F67" s="75"/>
      <c r="G67" s="308"/>
    </row>
    <row r="68" spans="1:12" x14ac:dyDescent="0.3">
      <c r="A68" s="83"/>
      <c r="B68" s="84"/>
      <c r="C68" s="74"/>
      <c r="D68" s="79"/>
      <c r="E68" s="75"/>
      <c r="F68" s="75"/>
      <c r="G68" s="308"/>
    </row>
    <row r="69" spans="1:12" x14ac:dyDescent="0.3">
      <c r="A69" s="83"/>
      <c r="B69" s="68"/>
      <c r="C69" s="74"/>
      <c r="D69" s="75"/>
      <c r="E69" s="85"/>
      <c r="F69" s="75"/>
      <c r="G69" s="308"/>
    </row>
    <row r="70" spans="1:12" x14ac:dyDescent="0.3">
      <c r="A70" s="87"/>
      <c r="B70" s="66"/>
      <c r="C70" s="87"/>
      <c r="D70" s="87"/>
      <c r="E70" s="87"/>
      <c r="F70" s="92"/>
      <c r="G70" s="311"/>
    </row>
    <row r="71" spans="1:12" x14ac:dyDescent="0.3">
      <c r="A71" s="87"/>
      <c r="B71" s="87"/>
      <c r="C71" s="87"/>
      <c r="D71" s="87"/>
      <c r="E71" s="87"/>
      <c r="F71" s="75"/>
      <c r="G71" s="308"/>
    </row>
    <row r="72" spans="1:12" x14ac:dyDescent="0.3">
      <c r="A72" s="87"/>
      <c r="B72" s="87"/>
      <c r="C72" s="87"/>
      <c r="D72" s="87"/>
      <c r="E72" s="87"/>
      <c r="F72" s="75"/>
      <c r="G72" s="308"/>
    </row>
    <row r="73" spans="1:12" x14ac:dyDescent="0.3">
      <c r="A73" s="87"/>
      <c r="B73" s="93"/>
      <c r="C73" s="87"/>
      <c r="D73" s="87"/>
      <c r="E73" s="87"/>
      <c r="F73" s="92"/>
      <c r="G73" s="311"/>
    </row>
    <row r="75" spans="1:12" x14ac:dyDescent="0.3">
      <c r="A75" s="65"/>
      <c r="B75" s="66"/>
      <c r="C75" s="66"/>
      <c r="D75" s="67"/>
      <c r="E75" s="67"/>
      <c r="F75" s="68"/>
      <c r="G75" s="305"/>
    </row>
    <row r="76" spans="1:12" x14ac:dyDescent="0.3">
      <c r="A76" s="377"/>
      <c r="B76" s="378"/>
      <c r="C76" s="378"/>
      <c r="D76" s="378"/>
      <c r="E76" s="378"/>
      <c r="F76" s="379"/>
      <c r="G76" s="306"/>
    </row>
    <row r="77" spans="1:12" x14ac:dyDescent="0.3">
      <c r="A77" s="369"/>
      <c r="B77" s="69"/>
      <c r="C77" s="70"/>
      <c r="D77" s="71"/>
      <c r="E77" s="71"/>
      <c r="F77" s="72"/>
      <c r="G77" s="307"/>
    </row>
    <row r="78" spans="1:12" x14ac:dyDescent="0.3">
      <c r="A78" s="370"/>
      <c r="B78" s="73"/>
      <c r="C78" s="74"/>
      <c r="D78" s="75"/>
      <c r="E78" s="75"/>
      <c r="F78" s="75"/>
      <c r="G78" s="308"/>
    </row>
    <row r="79" spans="1:12" x14ac:dyDescent="0.3">
      <c r="A79" s="370"/>
      <c r="B79" s="76"/>
      <c r="C79" s="74"/>
      <c r="D79" s="77"/>
      <c r="E79" s="75"/>
      <c r="F79" s="75"/>
      <c r="G79" s="308"/>
    </row>
    <row r="80" spans="1:12" x14ac:dyDescent="0.3">
      <c r="A80" s="371"/>
      <c r="B80" s="78"/>
      <c r="C80" s="74"/>
      <c r="D80" s="79"/>
      <c r="E80" s="75"/>
      <c r="F80" s="75"/>
      <c r="G80" s="308"/>
    </row>
    <row r="81" spans="1:7" x14ac:dyDescent="0.3">
      <c r="A81" s="369"/>
      <c r="B81" s="69"/>
      <c r="C81" s="70"/>
      <c r="D81" s="71"/>
      <c r="E81" s="71"/>
      <c r="F81" s="72"/>
      <c r="G81" s="307"/>
    </row>
    <row r="82" spans="1:7" x14ac:dyDescent="0.3">
      <c r="A82" s="370"/>
      <c r="B82" s="73"/>
      <c r="C82" s="74"/>
      <c r="D82" s="75"/>
      <c r="E82" s="75"/>
      <c r="F82" s="75"/>
      <c r="G82" s="308"/>
    </row>
    <row r="83" spans="1:7" x14ac:dyDescent="0.3">
      <c r="A83" s="370"/>
      <c r="B83" s="76"/>
      <c r="C83" s="74"/>
      <c r="D83" s="77"/>
      <c r="E83" s="75"/>
      <c r="F83" s="75"/>
      <c r="G83" s="308"/>
    </row>
    <row r="84" spans="1:7" x14ac:dyDescent="0.3">
      <c r="A84" s="371"/>
      <c r="B84" s="78"/>
      <c r="C84" s="74"/>
      <c r="D84" s="79"/>
      <c r="E84" s="75"/>
      <c r="F84" s="75"/>
      <c r="G84" s="308"/>
    </row>
    <row r="85" spans="1:7" x14ac:dyDescent="0.3">
      <c r="A85" s="381"/>
      <c r="B85" s="69"/>
      <c r="C85" s="70"/>
      <c r="D85" s="71"/>
      <c r="E85" s="71"/>
      <c r="F85" s="72"/>
      <c r="G85" s="307"/>
    </row>
    <row r="86" spans="1:7" x14ac:dyDescent="0.3">
      <c r="A86" s="382"/>
      <c r="B86" s="73"/>
      <c r="C86" s="74"/>
      <c r="D86" s="75"/>
      <c r="E86" s="75"/>
      <c r="F86" s="75"/>
      <c r="G86" s="308"/>
    </row>
    <row r="87" spans="1:7" x14ac:dyDescent="0.3">
      <c r="A87" s="382"/>
      <c r="B87" s="76"/>
      <c r="C87" s="74"/>
      <c r="D87" s="77"/>
      <c r="E87" s="75"/>
      <c r="F87" s="75"/>
      <c r="G87" s="308"/>
    </row>
    <row r="88" spans="1:7" x14ac:dyDescent="0.3">
      <c r="A88" s="383"/>
      <c r="B88" s="78"/>
      <c r="C88" s="74"/>
      <c r="D88" s="79"/>
      <c r="E88" s="75"/>
      <c r="F88" s="75"/>
      <c r="G88" s="308"/>
    </row>
    <row r="89" spans="1:7" x14ac:dyDescent="0.3">
      <c r="A89" s="381"/>
      <c r="B89" s="69"/>
      <c r="C89" s="70"/>
      <c r="D89" s="71"/>
      <c r="E89" s="71"/>
      <c r="F89" s="72"/>
      <c r="G89" s="307"/>
    </row>
    <row r="90" spans="1:7" x14ac:dyDescent="0.3">
      <c r="A90" s="382"/>
      <c r="B90" s="73"/>
      <c r="C90" s="74"/>
      <c r="D90" s="75"/>
      <c r="E90" s="75"/>
      <c r="F90" s="75"/>
      <c r="G90" s="308"/>
    </row>
    <row r="91" spans="1:7" x14ac:dyDescent="0.3">
      <c r="A91" s="382"/>
      <c r="B91" s="76"/>
      <c r="C91" s="74"/>
      <c r="D91" s="77"/>
      <c r="E91" s="75"/>
      <c r="F91" s="75"/>
      <c r="G91" s="308"/>
    </row>
    <row r="92" spans="1:7" x14ac:dyDescent="0.3">
      <c r="A92" s="383"/>
      <c r="B92" s="78"/>
      <c r="C92" s="74"/>
      <c r="D92" s="79"/>
      <c r="E92" s="75"/>
      <c r="F92" s="75"/>
      <c r="G92" s="308"/>
    </row>
    <row r="93" spans="1:7" x14ac:dyDescent="0.3">
      <c r="A93" s="381"/>
      <c r="B93" s="69"/>
      <c r="C93" s="70"/>
      <c r="D93" s="71"/>
      <c r="E93" s="71"/>
      <c r="F93" s="72"/>
      <c r="G93" s="307"/>
    </row>
    <row r="94" spans="1:7" x14ac:dyDescent="0.3">
      <c r="A94" s="382"/>
      <c r="B94" s="73"/>
      <c r="C94" s="74"/>
      <c r="D94" s="75"/>
      <c r="E94" s="75"/>
      <c r="F94" s="75"/>
      <c r="G94" s="308"/>
    </row>
    <row r="95" spans="1:7" x14ac:dyDescent="0.3">
      <c r="A95" s="382"/>
      <c r="B95" s="76"/>
      <c r="C95" s="74"/>
      <c r="D95" s="77"/>
      <c r="E95" s="75"/>
      <c r="F95" s="75"/>
      <c r="G95" s="308"/>
    </row>
    <row r="96" spans="1:7" x14ac:dyDescent="0.3">
      <c r="A96" s="383"/>
      <c r="B96" s="78"/>
      <c r="C96" s="74"/>
      <c r="D96" s="79"/>
      <c r="E96" s="75"/>
      <c r="F96" s="75"/>
      <c r="G96" s="308"/>
    </row>
    <row r="97" spans="1:7" x14ac:dyDescent="0.3">
      <c r="A97" s="88"/>
      <c r="B97" s="89"/>
      <c r="C97" s="74"/>
      <c r="D97" s="79"/>
      <c r="E97" s="75"/>
      <c r="F97" s="75"/>
      <c r="G97" s="308"/>
    </row>
    <row r="98" spans="1:7" x14ac:dyDescent="0.3">
      <c r="A98" s="87"/>
      <c r="B98" s="66"/>
      <c r="C98" s="87"/>
      <c r="D98" s="87"/>
      <c r="E98" s="87"/>
      <c r="F98" s="92"/>
      <c r="G98" s="311"/>
    </row>
    <row r="99" spans="1:7" x14ac:dyDescent="0.3">
      <c r="A99" s="81"/>
      <c r="B99" s="89"/>
      <c r="C99" s="74"/>
      <c r="D99" s="79"/>
      <c r="E99" s="75"/>
      <c r="F99" s="75"/>
      <c r="G99" s="308"/>
    </row>
    <row r="100" spans="1:7" x14ac:dyDescent="0.3">
      <c r="A100" s="81"/>
      <c r="B100" s="90"/>
      <c r="C100" s="74"/>
      <c r="D100" s="79"/>
      <c r="E100" s="75"/>
      <c r="F100" s="75"/>
      <c r="G100" s="308"/>
    </row>
    <row r="101" spans="1:7" x14ac:dyDescent="0.3">
      <c r="A101" s="81"/>
      <c r="B101" s="82"/>
      <c r="C101" s="74"/>
      <c r="D101" s="79"/>
      <c r="E101" s="75"/>
      <c r="F101" s="75"/>
      <c r="G101" s="308"/>
    </row>
    <row r="102" spans="1:7" x14ac:dyDescent="0.3">
      <c r="A102" s="81"/>
      <c r="B102" s="82"/>
      <c r="C102" s="74"/>
      <c r="D102" s="79"/>
      <c r="E102" s="75"/>
      <c r="F102" s="75"/>
      <c r="G102" s="308"/>
    </row>
    <row r="103" spans="1:7" x14ac:dyDescent="0.3">
      <c r="A103" s="83"/>
      <c r="B103" s="84"/>
      <c r="C103" s="74"/>
      <c r="D103" s="79"/>
      <c r="E103" s="75"/>
      <c r="F103" s="75"/>
      <c r="G103" s="308"/>
    </row>
    <row r="104" spans="1:7" x14ac:dyDescent="0.3">
      <c r="A104" s="83"/>
      <c r="B104" s="84"/>
      <c r="C104" s="74"/>
      <c r="D104" s="79"/>
      <c r="E104" s="75"/>
      <c r="F104" s="75"/>
      <c r="G104" s="308"/>
    </row>
    <row r="105" spans="1:7" x14ac:dyDescent="0.3">
      <c r="A105" s="83"/>
      <c r="B105" s="84"/>
      <c r="C105" s="74"/>
      <c r="D105" s="79"/>
      <c r="E105" s="75"/>
      <c r="F105" s="75"/>
      <c r="G105" s="308"/>
    </row>
    <row r="106" spans="1:7" x14ac:dyDescent="0.3">
      <c r="A106" s="83"/>
      <c r="B106" s="68"/>
      <c r="C106" s="74"/>
      <c r="D106" s="75"/>
      <c r="E106" s="85"/>
      <c r="F106" s="75"/>
      <c r="G106" s="308"/>
    </row>
    <row r="107" spans="1:7" x14ac:dyDescent="0.3">
      <c r="A107" s="87"/>
      <c r="B107" s="66"/>
      <c r="C107" s="87"/>
      <c r="D107" s="87"/>
      <c r="E107" s="87"/>
      <c r="F107" s="92"/>
      <c r="G107" s="311"/>
    </row>
    <row r="108" spans="1:7" x14ac:dyDescent="0.3">
      <c r="A108" s="87"/>
      <c r="B108" s="87"/>
      <c r="C108" s="87"/>
      <c r="D108" s="87"/>
      <c r="E108" s="87"/>
      <c r="F108" s="75"/>
      <c r="G108" s="308"/>
    </row>
    <row r="109" spans="1:7" x14ac:dyDescent="0.3">
      <c r="A109" s="87"/>
      <c r="B109" s="87"/>
      <c r="C109" s="87"/>
      <c r="D109" s="87"/>
      <c r="E109" s="87"/>
      <c r="F109" s="75"/>
      <c r="G109" s="308"/>
    </row>
    <row r="110" spans="1:7" x14ac:dyDescent="0.3">
      <c r="A110" s="87"/>
      <c r="B110" s="93"/>
      <c r="C110" s="87"/>
      <c r="D110" s="87"/>
      <c r="E110" s="87"/>
      <c r="F110" s="92"/>
      <c r="G110" s="311"/>
    </row>
    <row r="114" spans="1:8" ht="15.6" thickBot="1" x14ac:dyDescent="0.35">
      <c r="A114" s="261"/>
    </row>
    <row r="115" spans="1:8" ht="31.8" thickBot="1" x14ac:dyDescent="0.35">
      <c r="A115" s="351" t="s">
        <v>122</v>
      </c>
      <c r="B115" s="352" t="s">
        <v>308</v>
      </c>
      <c r="C115" s="353" t="s">
        <v>570</v>
      </c>
      <c r="D115" s="353" t="s">
        <v>571</v>
      </c>
      <c r="E115" s="353" t="s">
        <v>572</v>
      </c>
      <c r="F115" s="353" t="s">
        <v>311</v>
      </c>
      <c r="G115" s="353" t="s">
        <v>397</v>
      </c>
      <c r="H115" s="353" t="s">
        <v>573</v>
      </c>
    </row>
    <row r="116" spans="1:8" ht="120.6" thickBot="1" x14ac:dyDescent="0.35">
      <c r="A116" s="354">
        <v>1</v>
      </c>
      <c r="B116" s="255" t="s">
        <v>576</v>
      </c>
      <c r="C116" s="355">
        <v>316600</v>
      </c>
      <c r="D116" s="356">
        <v>18</v>
      </c>
      <c r="E116" s="355">
        <f>D116/100*C116</f>
        <v>56988</v>
      </c>
      <c r="F116" s="355">
        <f>C116+E116</f>
        <v>373588</v>
      </c>
      <c r="G116" s="355">
        <v>4</v>
      </c>
      <c r="H116" s="357">
        <f>F116*G116</f>
        <v>1494352</v>
      </c>
    </row>
    <row r="117" spans="1:8" ht="120.6" thickBot="1" x14ac:dyDescent="0.35">
      <c r="A117" s="354">
        <v>2</v>
      </c>
      <c r="B117" s="255" t="s">
        <v>577</v>
      </c>
      <c r="C117" s="355">
        <v>571650</v>
      </c>
      <c r="D117" s="356">
        <v>18</v>
      </c>
      <c r="E117" s="355">
        <f>D117/100*C117</f>
        <v>102897</v>
      </c>
      <c r="F117" s="355">
        <f>C117+E117</f>
        <v>674547</v>
      </c>
      <c r="G117" s="355">
        <v>64</v>
      </c>
      <c r="H117" s="357">
        <f>F117*G117</f>
        <v>43171008</v>
      </c>
    </row>
    <row r="118" spans="1:8" ht="15" x14ac:dyDescent="0.3">
      <c r="A118" s="261"/>
    </row>
    <row r="119" spans="1:8" ht="15" x14ac:dyDescent="0.3">
      <c r="A119" s="261"/>
    </row>
    <row r="120" spans="1:8" ht="135" x14ac:dyDescent="0.3">
      <c r="A120" s="261" t="s">
        <v>574</v>
      </c>
    </row>
    <row r="121" spans="1:8" ht="60" x14ac:dyDescent="0.3">
      <c r="A121" s="261" t="s">
        <v>575</v>
      </c>
    </row>
  </sheetData>
  <mergeCells count="16">
    <mergeCell ref="A85:A88"/>
    <mergeCell ref="A89:A92"/>
    <mergeCell ref="A93:A96"/>
    <mergeCell ref="K48:P48"/>
    <mergeCell ref="A52:A55"/>
    <mergeCell ref="A56:A59"/>
    <mergeCell ref="A77:A80"/>
    <mergeCell ref="A81:A84"/>
    <mergeCell ref="A76:F76"/>
    <mergeCell ref="A44:A47"/>
    <mergeCell ref="A48:A51"/>
    <mergeCell ref="A3:F3"/>
    <mergeCell ref="A4:A7"/>
    <mergeCell ref="A8:A11"/>
    <mergeCell ref="A12:A15"/>
    <mergeCell ref="A43:F43"/>
  </mergeCells>
  <pageMargins left="0.7" right="0.7" top="0.75" bottom="0.75" header="0.3" footer="0.3"/>
  <pageSetup paperSize="9" scale="2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BISHT JI</vt:lpstr>
      <vt:lpstr>ULB</vt:lpstr>
      <vt:lpstr>GMDA VM(01)</vt:lpstr>
      <vt:lpstr>GMDA City Bus -2</vt:lpstr>
      <vt:lpstr>Revenue</vt:lpstr>
      <vt:lpstr>GMDA IT</vt:lpstr>
      <vt:lpstr>HArtron-Bisht</vt:lpstr>
      <vt:lpstr>GMDA GIS</vt:lpstr>
      <vt:lpstr>GMDA City Bus</vt:lpstr>
      <vt:lpstr>HSIDC</vt:lpstr>
      <vt:lpstr>TCP</vt:lpstr>
      <vt:lpstr>Hartron Orders</vt:lpstr>
      <vt:lpstr>Tech Edu</vt:lpstr>
      <vt:lpstr>Hartron-Prashant</vt:lpstr>
      <vt:lpstr>Dhanush</vt:lpstr>
      <vt:lpstr>Hartron FamilyID</vt:lpstr>
      <vt:lpstr>Hartron DVBHL</vt:lpstr>
      <vt:lpstr>Hartron Internal</vt:lpstr>
      <vt:lpstr>Hartron E-Office</vt:lpstr>
      <vt:lpstr>Hartron HSCC</vt:lpstr>
      <vt:lpstr>Costing</vt:lpstr>
      <vt:lpstr>CHI</vt:lpstr>
      <vt:lpstr>Sheet2</vt:lpstr>
      <vt:lpstr>Sheet3</vt:lpstr>
      <vt:lpstr>Jaipur Cost</vt:lpstr>
      <vt:lpstr>Railtel-Requirement</vt:lpstr>
      <vt:lpstr>Sheet1</vt:lpstr>
      <vt:lpstr>RateCard</vt:lpstr>
      <vt:lpstr>Railtel-SRIT</vt:lpstr>
      <vt:lpstr>SRIT-RAILTEL PO</vt:lpstr>
      <vt:lpstr>Sheet3!page22</vt:lpstr>
      <vt:lpstr>'Jaipur Cost'!page26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db0244au</dc:creator>
  <cp:lastModifiedBy>Anuj Kumar</cp:lastModifiedBy>
  <cp:lastPrinted>2024-05-22T07:32:46Z</cp:lastPrinted>
  <dcterms:created xsi:type="dcterms:W3CDTF">2020-02-10T07:03:43Z</dcterms:created>
  <dcterms:modified xsi:type="dcterms:W3CDTF">2025-03-28T06:44:29Z</dcterms:modified>
</cp:coreProperties>
</file>