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tejas_raut/Desktop/Files/Pravega Work/"/>
    </mc:Choice>
  </mc:AlternateContent>
  <xr:revisionPtr revIDLastSave="0" documentId="13_ncr:1_{27F86CCE-F8CD-D641-A018-6094F403E2C3}" xr6:coauthVersionLast="47" xr6:coauthVersionMax="47" xr10:uidLastSave="{00000000-0000-0000-0000-000000000000}"/>
  <bookViews>
    <workbookView xWindow="0" yWindow="0" windowWidth="28800" windowHeight="18000" tabRatio="834" xr2:uid="{00000000-000D-0000-FFFF-FFFF00000000}"/>
  </bookViews>
  <sheets>
    <sheet name="MRP" sheetId="7" r:id="rId1"/>
    <sheet name="Industry Setup" sheetId="2" r:id="rId2"/>
    <sheet name="Industry Setup (2)" sheetId="10" r:id="rId3"/>
    <sheet name="MHR" sheetId="1" r:id="rId4"/>
    <sheet name="MHR (2)" sheetId="11" r:id="rId5"/>
    <sheet name="Part Cost" sheetId="3" r:id="rId6"/>
    <sheet name="Part Cost (2)" sheetId="12" r:id="rId7"/>
    <sheet name="Cost Benefit  Analysis" sheetId="4" r:id="rId8"/>
    <sheet name="Cost Benefit  Analysis (2)" sheetId="13" r:id="rId9"/>
    <sheet name="Value Stream Map" sheetId="9" r:id="rId10"/>
  </sheets>
  <definedNames>
    <definedName name="_xlnm.Print_Area" localSheetId="9">'Value Stream Map'!$A$1:$AS$56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7" i="10" l="1"/>
  <c r="P18" i="13" l="1"/>
  <c r="O18" i="13"/>
  <c r="N18" i="13"/>
  <c r="M18" i="13"/>
  <c r="L18" i="13"/>
  <c r="K18" i="13"/>
  <c r="J18" i="13"/>
  <c r="I18" i="13"/>
  <c r="H18" i="13"/>
  <c r="G18" i="13"/>
  <c r="F18" i="13"/>
  <c r="E18" i="13"/>
  <c r="D18" i="13"/>
  <c r="C18" i="13"/>
  <c r="P8" i="13"/>
  <c r="O8" i="13"/>
  <c r="N8" i="13"/>
  <c r="M8" i="13"/>
  <c r="L8" i="13"/>
  <c r="K8" i="13"/>
  <c r="J8" i="13"/>
  <c r="I8" i="13"/>
  <c r="H8" i="13"/>
  <c r="G8" i="13"/>
  <c r="F8" i="13"/>
  <c r="E8" i="13"/>
  <c r="D8" i="13"/>
  <c r="C8" i="13"/>
  <c r="H34" i="12"/>
  <c r="H35" i="12"/>
  <c r="H36" i="12"/>
  <c r="H37" i="12"/>
  <c r="H38" i="12"/>
  <c r="G39" i="12"/>
  <c r="K39" i="12" s="1"/>
  <c r="H39" i="12"/>
  <c r="H33" i="12"/>
  <c r="D20" i="12"/>
  <c r="E20" i="12"/>
  <c r="F20" i="12"/>
  <c r="Q7" i="12"/>
  <c r="Q6" i="12"/>
  <c r="N7" i="12"/>
  <c r="N6" i="12"/>
  <c r="J7" i="12"/>
  <c r="J6" i="12"/>
  <c r="H7" i="12"/>
  <c r="H6" i="12"/>
  <c r="D7" i="12"/>
  <c r="D6" i="12"/>
  <c r="Q27" i="12"/>
  <c r="I27" i="12"/>
  <c r="H27" i="12"/>
  <c r="G27" i="12"/>
  <c r="E27" i="12"/>
  <c r="D27" i="12"/>
  <c r="Q26" i="12"/>
  <c r="P26" i="12"/>
  <c r="N26" i="12"/>
  <c r="M26" i="12"/>
  <c r="L26" i="12"/>
  <c r="K26" i="12"/>
  <c r="J26" i="12"/>
  <c r="I26" i="12"/>
  <c r="Q25" i="12"/>
  <c r="P25" i="12"/>
  <c r="O25" i="12"/>
  <c r="N25" i="12"/>
  <c r="M25" i="12"/>
  <c r="L25" i="12"/>
  <c r="K25" i="12"/>
  <c r="J25" i="12"/>
  <c r="G25" i="12"/>
  <c r="F25" i="12"/>
  <c r="E25" i="12"/>
  <c r="D25" i="12"/>
  <c r="O24" i="12"/>
  <c r="M23" i="12"/>
  <c r="L23" i="12"/>
  <c r="K23" i="12"/>
  <c r="J23" i="12"/>
  <c r="H23" i="12"/>
  <c r="G22" i="12"/>
  <c r="F22" i="12"/>
  <c r="D22" i="12"/>
  <c r="G21" i="12"/>
  <c r="F21" i="12"/>
  <c r="D21" i="12"/>
  <c r="G20" i="12"/>
  <c r="Q11" i="12"/>
  <c r="Q12" i="12" s="1"/>
  <c r="P11" i="12"/>
  <c r="P13" i="12" s="1"/>
  <c r="O11" i="12"/>
  <c r="O12" i="12" s="1"/>
  <c r="N11" i="12"/>
  <c r="N12" i="12" s="1"/>
  <c r="M11" i="12"/>
  <c r="M12" i="12" s="1"/>
  <c r="M14" i="12" s="1"/>
  <c r="L11" i="12"/>
  <c r="K11" i="12"/>
  <c r="K12" i="12" s="1"/>
  <c r="K14" i="12" s="1"/>
  <c r="J11" i="12"/>
  <c r="J12" i="12" s="1"/>
  <c r="J14" i="12" s="1"/>
  <c r="I11" i="12"/>
  <c r="H11" i="12"/>
  <c r="G11" i="12"/>
  <c r="F11" i="12"/>
  <c r="F13" i="12" s="1"/>
  <c r="E11" i="12"/>
  <c r="E12" i="12" s="1"/>
  <c r="D11" i="12"/>
  <c r="D13" i="12" s="1"/>
  <c r="C12" i="11"/>
  <c r="D12" i="11"/>
  <c r="E12" i="11"/>
  <c r="F12" i="11"/>
  <c r="G12" i="11"/>
  <c r="H12" i="11"/>
  <c r="I12" i="11"/>
  <c r="J12" i="11"/>
  <c r="B12" i="11"/>
  <c r="C4" i="11"/>
  <c r="C6" i="11" s="1"/>
  <c r="C7" i="11" s="1"/>
  <c r="D4" i="11"/>
  <c r="E4" i="11"/>
  <c r="E6" i="11" s="1"/>
  <c r="E9" i="11" s="1"/>
  <c r="F4" i="11"/>
  <c r="G4" i="11"/>
  <c r="G6" i="11" s="1"/>
  <c r="G7" i="11" s="1"/>
  <c r="H4" i="11"/>
  <c r="I4" i="11"/>
  <c r="J4" i="11"/>
  <c r="B4" i="11"/>
  <c r="B6" i="11" s="1"/>
  <c r="L35" i="11"/>
  <c r="K35" i="11"/>
  <c r="L34" i="11"/>
  <c r="K34" i="11"/>
  <c r="L33" i="11"/>
  <c r="K33" i="11"/>
  <c r="L32" i="11"/>
  <c r="K32" i="11"/>
  <c r="A32" i="11"/>
  <c r="L31" i="11"/>
  <c r="K31" i="11"/>
  <c r="A31" i="11"/>
  <c r="L30" i="11"/>
  <c r="K30" i="11"/>
  <c r="B30" i="11"/>
  <c r="A30" i="11"/>
  <c r="L29" i="11"/>
  <c r="K29" i="11"/>
  <c r="L28" i="11"/>
  <c r="K28" i="11"/>
  <c r="L27" i="11"/>
  <c r="K27" i="11"/>
  <c r="J11" i="11"/>
  <c r="J14" i="11" s="1"/>
  <c r="I11" i="11"/>
  <c r="I14" i="11" s="1"/>
  <c r="H11" i="11"/>
  <c r="G11" i="11"/>
  <c r="F11" i="11"/>
  <c r="E11" i="11"/>
  <c r="D11" i="11"/>
  <c r="C11" i="11"/>
  <c r="B11" i="11"/>
  <c r="J6" i="11"/>
  <c r="J17" i="11" s="1"/>
  <c r="I6" i="11"/>
  <c r="I9" i="11" s="1"/>
  <c r="H6" i="11"/>
  <c r="H17" i="11" s="1"/>
  <c r="F6" i="11"/>
  <c r="F17" i="11" s="1"/>
  <c r="D6" i="11"/>
  <c r="D17" i="11" s="1"/>
  <c r="K36" i="11" l="1"/>
  <c r="E14" i="12"/>
  <c r="E15" i="12" s="1"/>
  <c r="H13" i="12"/>
  <c r="H15" i="12" s="1"/>
  <c r="E14" i="11"/>
  <c r="I13" i="12"/>
  <c r="I15" i="12" s="1"/>
  <c r="Q14" i="12"/>
  <c r="F12" i="12"/>
  <c r="F14" i="12" s="1"/>
  <c r="Q13" i="12"/>
  <c r="Q15" i="12" s="1"/>
  <c r="E13" i="12"/>
  <c r="J13" i="12"/>
  <c r="N13" i="12"/>
  <c r="O14" i="12"/>
  <c r="N14" i="12"/>
  <c r="N15" i="12" s="1"/>
  <c r="M13" i="12"/>
  <c r="L13" i="12"/>
  <c r="J15" i="12"/>
  <c r="M15" i="12"/>
  <c r="F15" i="12"/>
  <c r="G13" i="12"/>
  <c r="P12" i="12"/>
  <c r="P14" i="12" s="1"/>
  <c r="P15" i="12" s="1"/>
  <c r="G12" i="12"/>
  <c r="G14" i="12" s="1"/>
  <c r="K13" i="12"/>
  <c r="K15" i="12" s="1"/>
  <c r="O13" i="12"/>
  <c r="O15" i="12" s="1"/>
  <c r="L12" i="12"/>
  <c r="L14" i="12" s="1"/>
  <c r="L15" i="12" s="1"/>
  <c r="D12" i="12"/>
  <c r="D14" i="12" s="1"/>
  <c r="D15" i="12" s="1"/>
  <c r="F8" i="11"/>
  <c r="F9" i="11"/>
  <c r="E15" i="11"/>
  <c r="F7" i="11"/>
  <c r="I8" i="11"/>
  <c r="H9" i="11"/>
  <c r="F15" i="11"/>
  <c r="J7" i="11"/>
  <c r="J8" i="11"/>
  <c r="J9" i="11"/>
  <c r="I15" i="11"/>
  <c r="E8" i="11"/>
  <c r="D9" i="11"/>
  <c r="J15" i="11"/>
  <c r="B17" i="11"/>
  <c r="B7" i="11"/>
  <c r="B15" i="11"/>
  <c r="B9" i="11"/>
  <c r="B8" i="11"/>
  <c r="D7" i="11"/>
  <c r="H7" i="11"/>
  <c r="C8" i="11"/>
  <c r="G8" i="11"/>
  <c r="C15" i="11"/>
  <c r="G15" i="11"/>
  <c r="E17" i="11"/>
  <c r="I17" i="11"/>
  <c r="E7" i="11"/>
  <c r="I7" i="11"/>
  <c r="D8" i="11"/>
  <c r="H8" i="11"/>
  <c r="C9" i="11"/>
  <c r="G9" i="11"/>
  <c r="D15" i="11"/>
  <c r="H15" i="11"/>
  <c r="G17" i="11"/>
  <c r="C17" i="11"/>
  <c r="G17" i="10"/>
  <c r="G16" i="10"/>
  <c r="G11" i="10"/>
  <c r="C52" i="10" s="1"/>
  <c r="G10" i="10"/>
  <c r="C53" i="10" s="1"/>
  <c r="G9" i="10"/>
  <c r="C51" i="10" s="1"/>
  <c r="G8" i="10"/>
  <c r="C50" i="10" s="1"/>
  <c r="G7" i="10"/>
  <c r="C49" i="10"/>
  <c r="D44" i="10"/>
  <c r="D38" i="10"/>
  <c r="D32" i="10"/>
  <c r="C25" i="10"/>
  <c r="C26" i="10"/>
  <c r="C24" i="10"/>
  <c r="C27" i="10" s="1"/>
  <c r="C16" i="10"/>
  <c r="C17" i="10"/>
  <c r="C18" i="10"/>
  <c r="C15" i="10"/>
  <c r="B16" i="1"/>
  <c r="C27" i="2"/>
  <c r="B16" i="11" l="1"/>
  <c r="C54" i="10"/>
  <c r="G18" i="10"/>
  <c r="G15" i="12"/>
  <c r="C38" i="2"/>
  <c r="C38" i="10" s="1"/>
  <c r="C39" i="10" s="1"/>
  <c r="C32" i="2"/>
  <c r="C32" i="10" s="1"/>
  <c r="C33" i="10" s="1"/>
  <c r="C6" i="2" l="1"/>
  <c r="K39" i="3"/>
  <c r="C7" i="2" l="1"/>
  <c r="C6" i="10"/>
  <c r="G37" i="3"/>
  <c r="G37" i="12" s="1"/>
  <c r="K37" i="12" s="1"/>
  <c r="G38" i="3"/>
  <c r="G38" i="12" s="1"/>
  <c r="K38" i="12" s="1"/>
  <c r="G36" i="3"/>
  <c r="G36" i="12" s="1"/>
  <c r="K36" i="12" s="1"/>
  <c r="G33" i="3"/>
  <c r="G33" i="12" s="1"/>
  <c r="K33" i="12" s="1"/>
  <c r="G34" i="3"/>
  <c r="G34" i="12" s="1"/>
  <c r="K34" i="12" s="1"/>
  <c r="G35" i="3"/>
  <c r="G35" i="12" s="1"/>
  <c r="K35" i="12" s="1"/>
  <c r="K40" i="12" l="1"/>
  <c r="C7" i="10"/>
  <c r="P18" i="4"/>
  <c r="O18" i="4"/>
  <c r="N18" i="4"/>
  <c r="M18" i="4"/>
  <c r="L18" i="4"/>
  <c r="K18" i="4"/>
  <c r="J18" i="4"/>
  <c r="I18" i="4"/>
  <c r="H18" i="4"/>
  <c r="G18" i="4"/>
  <c r="F18" i="4"/>
  <c r="E18" i="4"/>
  <c r="D18" i="4"/>
  <c r="C18" i="4"/>
  <c r="O8" i="4"/>
  <c r="N8" i="4"/>
  <c r="M8" i="4"/>
  <c r="L8" i="4"/>
  <c r="K8" i="4"/>
  <c r="I8" i="4"/>
  <c r="E8" i="4"/>
  <c r="P8" i="4"/>
  <c r="J8" i="4"/>
  <c r="H8" i="4"/>
  <c r="G8" i="4"/>
  <c r="F8" i="4"/>
  <c r="D8" i="4"/>
  <c r="C8" i="4"/>
  <c r="C44" i="2" l="1"/>
  <c r="C44" i="10" s="1"/>
  <c r="C45" i="10" s="1"/>
  <c r="K35" i="1" l="1"/>
  <c r="K34" i="1"/>
  <c r="K33" i="1"/>
  <c r="K32" i="1"/>
  <c r="K31" i="1"/>
  <c r="K30" i="1"/>
  <c r="K29" i="1"/>
  <c r="K28" i="1"/>
  <c r="K27" i="1"/>
  <c r="L27" i="1"/>
  <c r="L28" i="1"/>
  <c r="L29" i="1"/>
  <c r="L30" i="1"/>
  <c r="L31" i="1"/>
  <c r="L32" i="1"/>
  <c r="L33" i="1"/>
  <c r="L34" i="1"/>
  <c r="L35" i="1"/>
  <c r="C53" i="2"/>
  <c r="C52" i="2"/>
  <c r="D21" i="3"/>
  <c r="AE10" i="9" l="1"/>
  <c r="K35" i="3" l="1"/>
  <c r="K36" i="3"/>
  <c r="K37" i="3"/>
  <c r="K38" i="3"/>
  <c r="K34" i="3"/>
  <c r="K33" i="3"/>
  <c r="K40" i="3" s="1"/>
  <c r="C11" i="1"/>
  <c r="B11" i="1"/>
  <c r="K36" i="1" l="1"/>
  <c r="E18" i="1" s="1"/>
  <c r="E18" i="11" s="1"/>
  <c r="Q26" i="3"/>
  <c r="P26" i="3"/>
  <c r="O24" i="3"/>
  <c r="C32" i="11" s="1"/>
  <c r="N26" i="3"/>
  <c r="M26" i="3"/>
  <c r="L26" i="3"/>
  <c r="K26" i="3"/>
  <c r="J26" i="3"/>
  <c r="M25" i="3"/>
  <c r="M23" i="3"/>
  <c r="L25" i="3"/>
  <c r="L23" i="3"/>
  <c r="K25" i="3"/>
  <c r="K23" i="3"/>
  <c r="D27" i="3"/>
  <c r="E27" i="3"/>
  <c r="G27" i="3"/>
  <c r="H27" i="3"/>
  <c r="I27" i="3"/>
  <c r="J25" i="3"/>
  <c r="I26" i="3"/>
  <c r="J23" i="3"/>
  <c r="H23" i="3"/>
  <c r="G22" i="3"/>
  <c r="G21" i="3"/>
  <c r="G20" i="3"/>
  <c r="F25" i="3"/>
  <c r="D22" i="3"/>
  <c r="F22" i="3"/>
  <c r="C29" i="11" s="1"/>
  <c r="F21" i="3"/>
  <c r="F20" i="3"/>
  <c r="E20" i="3"/>
  <c r="D20" i="3"/>
  <c r="Q25" i="3"/>
  <c r="P25" i="3"/>
  <c r="N25" i="3"/>
  <c r="G25" i="3"/>
  <c r="E25" i="3"/>
  <c r="D25" i="3"/>
  <c r="O25" i="3"/>
  <c r="B30" i="1"/>
  <c r="B29" i="11" l="1"/>
  <c r="D14" i="11"/>
  <c r="B32" i="11"/>
  <c r="G14" i="11"/>
  <c r="C27" i="11"/>
  <c r="C33" i="11"/>
  <c r="C31" i="11"/>
  <c r="C34" i="11"/>
  <c r="B34" i="11" s="1"/>
  <c r="C28" i="11"/>
  <c r="C28" i="1"/>
  <c r="C14" i="1" s="1"/>
  <c r="C33" i="1"/>
  <c r="C27" i="1"/>
  <c r="B14" i="1" s="1"/>
  <c r="C29" i="1"/>
  <c r="B29" i="1" s="1"/>
  <c r="I18" i="1"/>
  <c r="I18" i="11" s="1"/>
  <c r="H18" i="1"/>
  <c r="H18" i="11" s="1"/>
  <c r="D18" i="1"/>
  <c r="D18" i="11" s="1"/>
  <c r="G18" i="1"/>
  <c r="G18" i="11" s="1"/>
  <c r="C18" i="1"/>
  <c r="C18" i="11" s="1"/>
  <c r="J18" i="1"/>
  <c r="J18" i="11" s="1"/>
  <c r="F18" i="1"/>
  <c r="F18" i="11" s="1"/>
  <c r="B18" i="1"/>
  <c r="B18" i="11" s="1"/>
  <c r="C32" i="1"/>
  <c r="Q27" i="3"/>
  <c r="C35" i="1" s="1"/>
  <c r="C31" i="1"/>
  <c r="C35" i="11" l="1"/>
  <c r="B35" i="11" s="1"/>
  <c r="B27" i="11"/>
  <c r="B14" i="11"/>
  <c r="B20" i="11" s="1"/>
  <c r="B22" i="11" s="1"/>
  <c r="B28" i="11"/>
  <c r="C14" i="11"/>
  <c r="B31" i="11"/>
  <c r="F14" i="11"/>
  <c r="B33" i="11"/>
  <c r="H14" i="11"/>
  <c r="B31" i="1"/>
  <c r="B32" i="1"/>
  <c r="B27" i="1"/>
  <c r="B33" i="1"/>
  <c r="C34" i="1"/>
  <c r="B28" i="1"/>
  <c r="B35" i="1"/>
  <c r="I47" i="7"/>
  <c r="I48" i="7" s="1"/>
  <c r="I49" i="7" s="1"/>
  <c r="G47" i="7"/>
  <c r="G48" i="7" s="1"/>
  <c r="G49" i="7" s="1"/>
  <c r="B47" i="7"/>
  <c r="B48" i="7" s="1"/>
  <c r="E48" i="7"/>
  <c r="B34" i="1" l="1"/>
  <c r="B49" i="7"/>
  <c r="B50" i="7" s="1"/>
  <c r="E11" i="3" l="1"/>
  <c r="E13" i="3" s="1"/>
  <c r="Q11" i="3"/>
  <c r="P11" i="3"/>
  <c r="P13" i="3" s="1"/>
  <c r="O11" i="3"/>
  <c r="O13" i="3" s="1"/>
  <c r="N11" i="3"/>
  <c r="M11" i="3"/>
  <c r="M13" i="3" s="1"/>
  <c r="L11" i="3"/>
  <c r="L13" i="3" s="1"/>
  <c r="K11" i="3"/>
  <c r="K13" i="3" s="1"/>
  <c r="J11" i="3"/>
  <c r="I11" i="3"/>
  <c r="H11" i="3"/>
  <c r="G11" i="3"/>
  <c r="G12" i="3" s="1"/>
  <c r="F11" i="3"/>
  <c r="F12" i="3" s="1"/>
  <c r="D11" i="3"/>
  <c r="D13" i="3" s="1"/>
  <c r="I13" i="3" l="1"/>
  <c r="H13" i="3"/>
  <c r="G13" i="3"/>
  <c r="F13" i="3"/>
  <c r="D12" i="3"/>
  <c r="E12" i="3"/>
  <c r="E14" i="3" s="1"/>
  <c r="J16" i="1" l="1"/>
  <c r="J16" i="11" s="1"/>
  <c r="J20" i="11" s="1"/>
  <c r="J22" i="11" s="1"/>
  <c r="I16" i="1"/>
  <c r="I16" i="11" s="1"/>
  <c r="I20" i="11" s="1"/>
  <c r="I22" i="11" s="1"/>
  <c r="I11" i="1"/>
  <c r="J11" i="1"/>
  <c r="I6" i="1"/>
  <c r="I7" i="1" s="1"/>
  <c r="J6" i="1"/>
  <c r="J17" i="1" s="1"/>
  <c r="H15" i="3"/>
  <c r="J9" i="1" l="1"/>
  <c r="J7" i="1"/>
  <c r="J8" i="1"/>
  <c r="I9" i="1"/>
  <c r="I8" i="1"/>
  <c r="I15" i="1"/>
  <c r="I17" i="1"/>
  <c r="J15" i="1"/>
  <c r="M12" i="3"/>
  <c r="M14" i="3" s="1"/>
  <c r="M15" i="3" s="1"/>
  <c r="N12" i="3"/>
  <c r="N14" i="3" s="1"/>
  <c r="O12" i="3"/>
  <c r="O14" i="3" s="1"/>
  <c r="O15" i="3" s="1"/>
  <c r="P12" i="3"/>
  <c r="P14" i="3" s="1"/>
  <c r="P15" i="3" s="1"/>
  <c r="Q12" i="3"/>
  <c r="Q14" i="3" s="1"/>
  <c r="J12" i="3"/>
  <c r="J14" i="3" s="1"/>
  <c r="K12" i="3"/>
  <c r="K14" i="3" s="1"/>
  <c r="K15" i="3" s="1"/>
  <c r="L12" i="3"/>
  <c r="L14" i="3" s="1"/>
  <c r="L15" i="3" s="1"/>
  <c r="I15" i="3"/>
  <c r="F14" i="3"/>
  <c r="F15" i="3" s="1"/>
  <c r="G14" i="3"/>
  <c r="G15" i="3" s="1"/>
  <c r="D14" i="3"/>
  <c r="Q13" i="3"/>
  <c r="N13" i="3"/>
  <c r="J13" i="3"/>
  <c r="I14" i="1"/>
  <c r="J14" i="1"/>
  <c r="H16" i="1"/>
  <c r="H16" i="11" s="1"/>
  <c r="H20" i="11" s="1"/>
  <c r="H22" i="11" s="1"/>
  <c r="J15" i="3" l="1"/>
  <c r="I20" i="1"/>
  <c r="J20" i="1"/>
  <c r="Q15" i="3"/>
  <c r="N15" i="3"/>
  <c r="E15" i="3"/>
  <c r="D15" i="3"/>
  <c r="C51" i="2"/>
  <c r="C50" i="2"/>
  <c r="C49" i="2"/>
  <c r="C54" i="2" l="1"/>
  <c r="J22" i="1"/>
  <c r="C27" i="3" s="1"/>
  <c r="C27" i="12" s="1"/>
  <c r="I22" i="1"/>
  <c r="C26" i="3" s="1"/>
  <c r="C26" i="12" s="1"/>
  <c r="G18" i="2"/>
  <c r="G16" i="1"/>
  <c r="G16" i="11" s="1"/>
  <c r="G20" i="11" s="1"/>
  <c r="G22" i="11" s="1"/>
  <c r="F16" i="1"/>
  <c r="F16" i="11" s="1"/>
  <c r="F20" i="11" s="1"/>
  <c r="F22" i="11" s="1"/>
  <c r="E16" i="1"/>
  <c r="E16" i="11" s="1"/>
  <c r="E20" i="11" s="1"/>
  <c r="E22" i="11" s="1"/>
  <c r="D16" i="1"/>
  <c r="D16" i="11" s="1"/>
  <c r="D20" i="11" s="1"/>
  <c r="D22" i="11" s="1"/>
  <c r="C16" i="1"/>
  <c r="C16" i="11" s="1"/>
  <c r="C20" i="11" s="1"/>
  <c r="C22" i="11" s="1"/>
  <c r="F11" i="1" l="1"/>
  <c r="F14" i="1" s="1"/>
  <c r="A32" i="1" l="1"/>
  <c r="A31" i="1"/>
  <c r="A30" i="1"/>
  <c r="B6" i="1" l="1"/>
  <c r="C45" i="2"/>
  <c r="C39" i="2"/>
  <c r="J57" i="2"/>
  <c r="C8" i="2" s="1"/>
  <c r="C8" i="10" s="1"/>
  <c r="C33" i="2"/>
  <c r="C19" i="2"/>
  <c r="C19" i="10" l="1"/>
  <c r="C12" i="4"/>
  <c r="B9" i="1"/>
  <c r="C10" i="2"/>
  <c r="C10" i="10" s="1"/>
  <c r="D11" i="1"/>
  <c r="D14" i="1" s="1"/>
  <c r="E11" i="1"/>
  <c r="E14" i="1" s="1"/>
  <c r="G11" i="1"/>
  <c r="G14" i="1" s="1"/>
  <c r="H11" i="1"/>
  <c r="H14" i="1" s="1"/>
  <c r="C12" i="13" l="1"/>
  <c r="H6" i="1"/>
  <c r="C6" i="1"/>
  <c r="C9" i="2" s="1"/>
  <c r="C9" i="10" s="1"/>
  <c r="D6" i="1"/>
  <c r="E6" i="1"/>
  <c r="E6" i="12" s="1"/>
  <c r="F6" i="1"/>
  <c r="G6" i="1"/>
  <c r="F7" i="1" l="1"/>
  <c r="F7" i="12" s="1"/>
  <c r="F6" i="12"/>
  <c r="G8" i="1"/>
  <c r="G6" i="12"/>
  <c r="C9" i="1"/>
  <c r="C17" i="1"/>
  <c r="H8" i="1"/>
  <c r="H15" i="1"/>
  <c r="H17" i="1"/>
  <c r="G7" i="1"/>
  <c r="G7" i="12" s="1"/>
  <c r="G17" i="1"/>
  <c r="G15" i="1"/>
  <c r="H7" i="1"/>
  <c r="H9" i="1"/>
  <c r="D9" i="1"/>
  <c r="D7" i="1"/>
  <c r="D17" i="1"/>
  <c r="D15" i="1"/>
  <c r="D8" i="1"/>
  <c r="G9" i="1"/>
  <c r="F9" i="1"/>
  <c r="F15" i="1"/>
  <c r="F17" i="1"/>
  <c r="F8" i="1"/>
  <c r="E9" i="1"/>
  <c r="E8" i="1"/>
  <c r="E7" i="1"/>
  <c r="E7" i="12" s="1"/>
  <c r="E17" i="1"/>
  <c r="E15" i="1"/>
  <c r="C7" i="1"/>
  <c r="C15" i="1"/>
  <c r="C8" i="1"/>
  <c r="B17" i="1"/>
  <c r="B15" i="1"/>
  <c r="B8" i="1"/>
  <c r="B7" i="1"/>
  <c r="B20" i="1" s="1"/>
  <c r="H20" i="1" l="1"/>
  <c r="H22" i="1" s="1"/>
  <c r="F20" i="1"/>
  <c r="F22" i="1" s="1"/>
  <c r="C11" i="2"/>
  <c r="C11" i="10" s="1"/>
  <c r="D20" i="1"/>
  <c r="D22" i="1" s="1"/>
  <c r="G20" i="1"/>
  <c r="G22" i="1" s="1"/>
  <c r="E20" i="1"/>
  <c r="E22" i="1" s="1"/>
  <c r="C20" i="1"/>
  <c r="C22" i="1" s="1"/>
  <c r="B22" i="1"/>
  <c r="C24" i="3" l="1"/>
  <c r="C24" i="12" s="1"/>
  <c r="C23" i="3"/>
  <c r="C23" i="12" s="1"/>
  <c r="C21" i="3"/>
  <c r="C21" i="12" s="1"/>
  <c r="C20" i="3"/>
  <c r="C20" i="12" s="1"/>
  <c r="C25" i="3"/>
  <c r="C25" i="12" s="1"/>
  <c r="C22" i="3"/>
  <c r="C22" i="12" s="1"/>
  <c r="I28" i="12" l="1"/>
  <c r="N28" i="12"/>
  <c r="P28" i="12"/>
  <c r="M28" i="12"/>
  <c r="G28" i="12"/>
  <c r="L28" i="12"/>
  <c r="Q28" i="12"/>
  <c r="K28" i="12"/>
  <c r="O28" i="12"/>
  <c r="H28" i="12"/>
  <c r="D28" i="12"/>
  <c r="F28" i="12"/>
  <c r="E28" i="12"/>
  <c r="J28" i="12"/>
  <c r="D28" i="3"/>
  <c r="C7" i="4" s="1"/>
  <c r="C7" i="13" s="1"/>
  <c r="C9" i="13" s="1"/>
  <c r="N28" i="3"/>
  <c r="M7" i="4" s="1"/>
  <c r="M7" i="13" s="1"/>
  <c r="M9" i="13" s="1"/>
  <c r="M28" i="3"/>
  <c r="L7" i="4" s="1"/>
  <c r="L7" i="13" s="1"/>
  <c r="L9" i="13" s="1"/>
  <c r="O28" i="3"/>
  <c r="N7" i="4" s="1"/>
  <c r="N7" i="13" s="1"/>
  <c r="N9" i="13" s="1"/>
  <c r="J28" i="3"/>
  <c r="I7" i="4" s="1"/>
  <c r="I7" i="13" s="1"/>
  <c r="I9" i="13" s="1"/>
  <c r="K28" i="3"/>
  <c r="J7" i="4" s="1"/>
  <c r="J7" i="13" s="1"/>
  <c r="J9" i="13" s="1"/>
  <c r="L28" i="3"/>
  <c r="K7" i="4" s="1"/>
  <c r="K7" i="13" s="1"/>
  <c r="K9" i="13" s="1"/>
  <c r="E28" i="3"/>
  <c r="D7" i="4" s="1"/>
  <c r="D7" i="13" s="1"/>
  <c r="P28" i="3"/>
  <c r="O7" i="4" s="1"/>
  <c r="O7" i="13" s="1"/>
  <c r="I28" i="3"/>
  <c r="H7" i="4" s="1"/>
  <c r="H7" i="13" s="1"/>
  <c r="H9" i="13" s="1"/>
  <c r="F28" i="3"/>
  <c r="E7" i="4" s="1"/>
  <c r="E7" i="13" s="1"/>
  <c r="E9" i="13" s="1"/>
  <c r="H28" i="3"/>
  <c r="G7" i="4" s="1"/>
  <c r="G7" i="13" s="1"/>
  <c r="G9" i="13" s="1"/>
  <c r="G28" i="3"/>
  <c r="F7" i="4" s="1"/>
  <c r="F7" i="13" s="1"/>
  <c r="F9" i="13" s="1"/>
  <c r="Q28" i="3"/>
  <c r="P7" i="4" s="1"/>
  <c r="P7" i="13" s="1"/>
  <c r="P9" i="13" s="1"/>
  <c r="D9" i="13" l="1"/>
  <c r="O9" i="13"/>
  <c r="C11" i="13"/>
  <c r="C13" i="13" s="1"/>
  <c r="D17" i="4"/>
  <c r="D9" i="4"/>
  <c r="N9" i="4"/>
  <c r="N17" i="4"/>
  <c r="E17" i="4"/>
  <c r="E9" i="4"/>
  <c r="K17" i="4"/>
  <c r="K9" i="4"/>
  <c r="L9" i="4"/>
  <c r="L17" i="4"/>
  <c r="G17" i="4"/>
  <c r="G9" i="4"/>
  <c r="P9" i="4"/>
  <c r="P17" i="4"/>
  <c r="H17" i="4"/>
  <c r="H9" i="4"/>
  <c r="J17" i="4"/>
  <c r="J9" i="4"/>
  <c r="M17" i="4"/>
  <c r="M9" i="4"/>
  <c r="F17" i="4"/>
  <c r="F9" i="4"/>
  <c r="O17" i="4"/>
  <c r="O9" i="4"/>
  <c r="I17" i="4"/>
  <c r="I9" i="4"/>
  <c r="C17" i="4"/>
  <c r="C9" i="4"/>
  <c r="C19" i="4" l="1"/>
  <c r="C17" i="13"/>
  <c r="C19" i="13" s="1"/>
  <c r="I19" i="4"/>
  <c r="I17" i="13"/>
  <c r="I19" i="13" s="1"/>
  <c r="D19" i="4"/>
  <c r="D17" i="13"/>
  <c r="D19" i="13" s="1"/>
  <c r="P19" i="4"/>
  <c r="P17" i="13"/>
  <c r="P19" i="13" s="1"/>
  <c r="G19" i="4"/>
  <c r="G17" i="13"/>
  <c r="G19" i="13" s="1"/>
  <c r="J19" i="4"/>
  <c r="J17" i="13"/>
  <c r="J19" i="13" s="1"/>
  <c r="O19" i="4"/>
  <c r="O17" i="13"/>
  <c r="O19" i="13" s="1"/>
  <c r="H19" i="4"/>
  <c r="C21" i="4" s="1"/>
  <c r="F28" i="4" s="1"/>
  <c r="F28" i="13" s="1"/>
  <c r="H17" i="13"/>
  <c r="H19" i="13" s="1"/>
  <c r="K19" i="4"/>
  <c r="K17" i="13"/>
  <c r="K19" i="13" s="1"/>
  <c r="E19" i="4"/>
  <c r="E17" i="13"/>
  <c r="E19" i="13" s="1"/>
  <c r="M19" i="4"/>
  <c r="M17" i="13"/>
  <c r="M19" i="13" s="1"/>
  <c r="L19" i="4"/>
  <c r="L17" i="13"/>
  <c r="L19" i="13" s="1"/>
  <c r="F19" i="4"/>
  <c r="F17" i="13"/>
  <c r="F19" i="13" s="1"/>
  <c r="N19" i="4"/>
  <c r="N17" i="13"/>
  <c r="N19" i="13" s="1"/>
  <c r="C11" i="4"/>
  <c r="G28" i="4" s="1"/>
  <c r="F30" i="13" l="1"/>
  <c r="F32" i="13"/>
  <c r="F31" i="13"/>
  <c r="G29" i="4"/>
  <c r="G28" i="13"/>
  <c r="C21" i="13"/>
  <c r="C22" i="13" s="1"/>
  <c r="F32" i="4"/>
  <c r="F31" i="4"/>
  <c r="F30" i="4"/>
  <c r="F29" i="4"/>
  <c r="F29" i="13" s="1"/>
  <c r="C13" i="4"/>
  <c r="C22" i="4" s="1"/>
  <c r="G30" i="4" l="1"/>
  <c r="G29" i="13"/>
  <c r="H28" i="4"/>
  <c r="H28" i="13" s="1"/>
  <c r="G31" i="4" l="1"/>
  <c r="G30" i="13"/>
  <c r="H29" i="4"/>
  <c r="H29" i="13" s="1"/>
  <c r="H30" i="4"/>
  <c r="H30" i="13" s="1"/>
  <c r="H31" i="4"/>
  <c r="H31" i="13" s="1"/>
  <c r="G32" i="4" l="1"/>
  <c r="G31" i="13"/>
  <c r="G32" i="13" l="1"/>
  <c r="H32" i="4"/>
  <c r="H3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MJOOQ</author>
  </authors>
  <commentList>
    <comment ref="AR2" authorId="0" shapeId="0" xr:uid="{00000000-0006-0000-0900-000001000000}">
      <text>
        <r>
          <rPr>
            <b/>
            <sz val="8"/>
            <color indexed="9"/>
            <rFont val="Arial"/>
            <family val="2"/>
          </rPr>
          <t>The timeline shows value added times (Cycle Times) and non-value added (wait) times. Use this to calculate Lead Time and Total Cycle Time.</t>
        </r>
        <r>
          <rPr>
            <sz val="8"/>
            <color indexed="9"/>
            <rFont val="Arial"/>
            <family val="2"/>
          </rPr>
          <t xml:space="preserve">
</t>
        </r>
      </text>
    </comment>
    <comment ref="AS2" authorId="0" shapeId="0" xr:uid="{00000000-0006-0000-0900-000002000000}">
      <text>
        <r>
          <rPr>
            <b/>
            <sz val="8"/>
            <color indexed="9"/>
            <rFont val="Arial"/>
            <family val="2"/>
          </rPr>
          <t>This icon represents an operator. It shows the number of operators required to process the VSM family at a particular workstation.</t>
        </r>
        <r>
          <rPr>
            <sz val="8"/>
            <color indexed="9"/>
            <rFont val="Arial"/>
            <family val="2"/>
          </rPr>
          <t xml:space="preserve">
</t>
        </r>
      </text>
    </comment>
    <comment ref="AQ4" authorId="0" shapeId="0" xr:uid="{00000000-0006-0000-0900-000003000000}">
      <text>
        <r>
          <rPr>
            <b/>
            <sz val="8"/>
            <color indexed="9"/>
            <rFont val="Arial"/>
            <family val="2"/>
          </rPr>
          <t>This icon is a process, operation, machine or department, through which material flows. Typically, to avoid unwieldy mapping of every single processing step, it represents one department with a continuous, internal fixed flow path.In the case of assembly with several connected workstations, even if some WIP inventory accumulates between machines (or stations), the entire line would show as a single box. If there are separate operations, where one is disconnected from the next, inventory between and batch transfers, then use multiple boxes.</t>
        </r>
        <r>
          <rPr>
            <sz val="8"/>
            <color indexed="9"/>
            <rFont val="Arial"/>
            <family val="2"/>
          </rPr>
          <t xml:space="preserve">
</t>
        </r>
      </text>
    </comment>
    <comment ref="AR4" authorId="0" shapeId="0" xr:uid="{00000000-0006-0000-0900-000004000000}">
      <text>
        <r>
          <rPr>
            <b/>
            <sz val="8"/>
            <color indexed="9"/>
            <rFont val="Arial"/>
            <family val="2"/>
          </rPr>
          <t>This is a process operation, department or workcenter that other value stream families share. Estimate the number of operators required for the Value Stream being mapped, not the number of operators required for processing all products.</t>
        </r>
        <r>
          <rPr>
            <sz val="8"/>
            <color indexed="9"/>
            <rFont val="Arial"/>
            <family val="2"/>
          </rPr>
          <t xml:space="preserve">
</t>
        </r>
      </text>
    </comment>
    <comment ref="AQ7" authorId="0" shapeId="0" xr:uid="{00000000-0006-0000-0900-000005000000}">
      <text>
        <r>
          <rPr>
            <b/>
            <sz val="8"/>
            <color indexed="9"/>
            <rFont val="Arial"/>
            <family val="2"/>
          </rPr>
          <t>This icon represents verbal or personal information flow.</t>
        </r>
        <r>
          <rPr>
            <sz val="8"/>
            <color indexed="9"/>
            <rFont val="Arial"/>
            <family val="2"/>
          </rPr>
          <t xml:space="preserve">
</t>
        </r>
      </text>
    </comment>
    <comment ref="AR7" authorId="0" shapeId="0" xr:uid="{00000000-0006-0000-0900-000006000000}">
      <text>
        <r>
          <rPr>
            <b/>
            <sz val="8"/>
            <color indexed="9"/>
            <rFont val="Arial"/>
            <family val="2"/>
          </rPr>
          <t>This symbol indicates that multiple processes are integrated in a manufacturing workcell. such cells usually process a limited family of similar products or a single product. Product moves from process step to process step in small batches or single pieces.</t>
        </r>
        <r>
          <rPr>
            <sz val="8"/>
            <color indexed="9"/>
            <rFont val="Arial"/>
            <family val="2"/>
          </rPr>
          <t xml:space="preserve">
</t>
        </r>
      </text>
    </comment>
    <comment ref="AQ10" authorId="0" shapeId="0" xr:uid="{00000000-0006-0000-0900-000007000000}">
      <text>
        <r>
          <rPr>
            <b/>
            <sz val="8"/>
            <color indexed="9"/>
            <rFont val="Arial"/>
            <family val="2"/>
          </rPr>
          <t>Gathering of information through visual means.</t>
        </r>
        <r>
          <rPr>
            <sz val="8"/>
            <color indexed="9"/>
            <rFont val="Tahoma"/>
            <family val="2"/>
          </rPr>
          <t xml:space="preserve">
</t>
        </r>
      </text>
    </comment>
    <comment ref="AR10" authorId="0" shapeId="0" xr:uid="{00000000-0006-0000-0900-000008000000}">
      <text>
        <r>
          <rPr>
            <b/>
            <sz val="8"/>
            <color indexed="9"/>
            <rFont val="Arial"/>
            <family val="2"/>
          </rPr>
          <t>Represents electronic flow such as Phone,fax,.... You may indicate the frequency of information/data interchange.</t>
        </r>
      </text>
    </comment>
    <comment ref="AS10" authorId="0" shapeId="0" xr:uid="{00000000-0006-0000-0900-000009000000}">
      <text>
        <r>
          <rPr>
            <b/>
            <sz val="8"/>
            <color indexed="9"/>
            <rFont val="Arial"/>
            <family val="2"/>
          </rPr>
          <t>Represents electronic flow such as Phone,fax,.... You may indicate the frequency of information/data interchange.</t>
        </r>
      </text>
    </comment>
    <comment ref="AQ13" authorId="0" shapeId="0" xr:uid="{00000000-0006-0000-0900-00000A000000}">
      <text>
        <r>
          <rPr>
            <b/>
            <sz val="8"/>
            <color indexed="9"/>
            <rFont val="Arial"/>
            <family val="2"/>
          </rPr>
          <t xml:space="preserve">This wiggle arrow represents electronic flow such as electronic data interchange (EDI), the Internet, Intranets, LANs (local area network), WANs (wide area network). You may indicate the frequency of information/data interchange, and the type of data exchanged.
</t>
        </r>
      </text>
    </comment>
    <comment ref="AR13" authorId="0" shapeId="0" xr:uid="{00000000-0006-0000-0900-00000B000000}">
      <text>
        <r>
          <rPr>
            <b/>
            <sz val="8"/>
            <color indexed="9"/>
            <rFont val="Arial"/>
            <family val="2"/>
          </rPr>
          <t>Designates manual information flow (paper ,…). Signifies and adjustment in admin time.</t>
        </r>
        <r>
          <rPr>
            <sz val="8"/>
            <color indexed="9"/>
            <rFont val="Arial"/>
            <family val="2"/>
          </rPr>
          <t xml:space="preserve">
</t>
        </r>
      </text>
    </comment>
    <comment ref="AQ15" authorId="0" shapeId="0" xr:uid="{00000000-0006-0000-0900-00000C000000}">
      <text>
        <r>
          <rPr>
            <b/>
            <sz val="8"/>
            <color indexed="9"/>
            <rFont val="Arial"/>
            <family val="2"/>
          </rPr>
          <t xml:space="preserve"> This icon represents the Supplier when in the upper left, the usual starting point for material flow. The customer is represented when placed in the upper right, the usual end point for material flow.</t>
        </r>
        <r>
          <rPr>
            <sz val="8"/>
            <color indexed="9"/>
            <rFont val="Tahoma"/>
            <family val="2"/>
          </rPr>
          <t xml:space="preserve">
</t>
        </r>
      </text>
    </comment>
    <comment ref="AS15" authorId="0" shapeId="0" xr:uid="{00000000-0006-0000-0900-00000D000000}">
      <text>
        <r>
          <rPr>
            <b/>
            <sz val="8"/>
            <color indexed="9"/>
            <rFont val="Arial"/>
            <family val="2"/>
          </rPr>
          <t>Supermarkets connect to downstream processes with this "Pull" icon that indicates physical removal.</t>
        </r>
        <r>
          <rPr>
            <sz val="8"/>
            <color indexed="9"/>
            <rFont val="Arial"/>
            <family val="2"/>
          </rPr>
          <t xml:space="preserve">
</t>
        </r>
      </text>
    </comment>
    <comment ref="AQ19" authorId="0" shapeId="0" xr:uid="{00000000-0006-0000-0900-00000E000000}">
      <text>
        <r>
          <rPr>
            <b/>
            <sz val="8"/>
            <color indexed="9"/>
            <rFont val="Arial"/>
            <family val="2"/>
          </rPr>
          <t>This box represents a central production scheduling or control department, person or operation.</t>
        </r>
        <r>
          <rPr>
            <sz val="8"/>
            <color indexed="9"/>
            <rFont val="Arial"/>
            <family val="2"/>
          </rPr>
          <t xml:space="preserve">
</t>
        </r>
      </text>
    </comment>
    <comment ref="AR19" authorId="0" shapeId="0" xr:uid="{00000000-0006-0000-0900-00000F000000}">
      <text>
        <r>
          <rPr>
            <b/>
            <sz val="8"/>
            <color indexed="9"/>
            <rFont val="Arial"/>
            <family val="2"/>
          </rPr>
          <t>Scheduling using MRP/ERP or other centralized systems.</t>
        </r>
        <r>
          <rPr>
            <sz val="8"/>
            <color indexed="9"/>
            <rFont val="Arial"/>
            <family val="2"/>
          </rPr>
          <t xml:space="preserve">
</t>
        </r>
      </text>
    </comment>
    <comment ref="AR21" authorId="0" shapeId="0" xr:uid="{00000000-0006-0000-0900-000010000000}">
      <text>
        <r>
          <rPr>
            <b/>
            <sz val="8"/>
            <color indexed="9"/>
            <rFont val="Arial"/>
            <family val="2"/>
          </rPr>
          <t>Other useful or potentially useful information.</t>
        </r>
        <r>
          <rPr>
            <sz val="8"/>
            <color indexed="9"/>
            <rFont val="Arial"/>
            <family val="2"/>
          </rPr>
          <t xml:space="preserve">
</t>
        </r>
      </text>
    </comment>
    <comment ref="AQ23" authorId="0" shapeId="0" xr:uid="{00000000-0006-0000-0900-000011000000}">
      <text>
        <r>
          <rPr>
            <b/>
            <sz val="8"/>
            <color indexed="9"/>
            <rFont val="Arial"/>
            <family val="2"/>
          </rPr>
          <t>A location where kanban signals reside for pickup. Often used with two-card systems to exchange withdrawal and production kanban.</t>
        </r>
        <r>
          <rPr>
            <sz val="8"/>
            <color indexed="9"/>
            <rFont val="Arial"/>
            <family val="2"/>
          </rPr>
          <t xml:space="preserve">
</t>
        </r>
      </text>
    </comment>
    <comment ref="AR23" authorId="0" shapeId="0" xr:uid="{00000000-0006-0000-0900-000012000000}">
      <text>
        <r>
          <rPr>
            <b/>
            <sz val="8"/>
            <color indexed="9"/>
            <rFont val="Arial"/>
            <family val="2"/>
          </rPr>
          <t>This icon is used whenever the on-hand inventory levels in the supermarket between two processes drops to a trigger or minimum point. When a Triangle Kanban arrives at a supplying process, it signals a changeover and production of a predetermined batch size of the part noted on the Kanban. It is also referred as “one-per-batch” kanban.</t>
        </r>
        <r>
          <rPr>
            <sz val="8"/>
            <color indexed="9"/>
            <rFont val="Arial"/>
            <family val="2"/>
          </rPr>
          <t xml:space="preserve">
</t>
        </r>
      </text>
    </comment>
    <comment ref="AS23" authorId="0" shapeId="0" xr:uid="{00000000-0006-0000-0900-000013000000}">
      <text>
        <r>
          <rPr>
            <b/>
            <sz val="8"/>
            <color indexed="9"/>
            <rFont val="Arial"/>
            <family val="2"/>
          </rPr>
          <t>This icon triggers production of a pre-defined number of parts. It signals a supplying process to provide parts to a downstream process.</t>
        </r>
        <r>
          <rPr>
            <sz val="8"/>
            <color indexed="9"/>
            <rFont val="Arial"/>
            <family val="2"/>
          </rPr>
          <t xml:space="preserve">
</t>
        </r>
      </text>
    </comment>
    <comment ref="AQ27" authorId="0" shapeId="0" xr:uid="{00000000-0006-0000-0900-000014000000}">
      <text>
        <r>
          <rPr>
            <b/>
            <sz val="8"/>
            <color indexed="9"/>
            <rFont val="Arial"/>
            <family val="2"/>
          </rPr>
          <t>This icon represents a card or device that instructs a material handler to transfer parts from a supermarket to the receiving process.  The material handler (or operator) goes to the supermarket and withdraws the necessary items.</t>
        </r>
        <r>
          <rPr>
            <sz val="8"/>
            <color indexed="9"/>
            <rFont val="Arial"/>
            <family val="2"/>
          </rPr>
          <t xml:space="preserve">
</t>
        </r>
      </text>
    </comment>
    <comment ref="AR27" authorId="0" shapeId="0" xr:uid="{00000000-0006-0000-0900-000015000000}">
      <text>
        <r>
          <rPr>
            <b/>
            <sz val="8"/>
            <color indexed="9"/>
            <rFont val="Arial"/>
            <family val="2"/>
          </rPr>
          <t>These icons are used to highlight improvement needs and plan kaizen workshops at specific processes that are critical to achieving the Future State Map of the value stream.</t>
        </r>
        <r>
          <rPr>
            <sz val="8"/>
            <color indexed="9"/>
            <rFont val="Arial"/>
            <family val="2"/>
          </rPr>
          <t xml:space="preserve">
</t>
        </r>
      </text>
    </comment>
    <comment ref="AS27" authorId="0" shapeId="0" xr:uid="{00000000-0006-0000-0900-000016000000}">
      <text>
        <r>
          <rPr>
            <b/>
            <sz val="8"/>
            <color indexed="9"/>
            <rFont val="Arial"/>
            <family val="2"/>
          </rPr>
          <t>This icon represents the tempoprary consolidation of material awaiting introduction into the next process phase. Infers a waiting period  while product downstream is processed and released, granting access to the material in "queue".</t>
        </r>
      </text>
    </comment>
    <comment ref="AQ31" authorId="0" shapeId="0" xr:uid="{00000000-0006-0000-0900-000017000000}">
      <text>
        <r>
          <rPr>
            <b/>
            <sz val="8"/>
            <color indexed="9"/>
            <rFont val="Arial"/>
            <family val="2"/>
          </rPr>
          <t>This icon is a tool to batch kanbans in order to level the production volume and mix over a period of time</t>
        </r>
        <r>
          <rPr>
            <sz val="8"/>
            <color indexed="9"/>
            <rFont val="Arial"/>
            <family val="2"/>
          </rPr>
          <t xml:space="preserve">
</t>
        </r>
      </text>
    </comment>
    <comment ref="AR31" authorId="0" shapeId="0" xr:uid="{00000000-0006-0000-0900-000018000000}">
      <text>
        <r>
          <rPr>
            <b/>
            <sz val="8"/>
            <color indexed="9"/>
            <rFont val="Arial"/>
            <family val="2"/>
          </rPr>
          <t>This is an inventory “supermarket” (kanban stockpoint). Like a supermarket, a small inventory is available and one or more downstream customers come to the supermarket to pick out what they need. The upstream workcenter then replenishes stocks as required. When continuous flow is impractical, and the upstream process must operate in batch mode, a supermarket reduces overproduction and limits total inventory.</t>
        </r>
        <r>
          <rPr>
            <sz val="8"/>
            <color indexed="9"/>
            <rFont val="Tahoma"/>
            <family val="2"/>
          </rPr>
          <t xml:space="preserve">
</t>
        </r>
      </text>
    </comment>
    <comment ref="AS31" authorId="0" shapeId="0" xr:uid="{00000000-0006-0000-0900-000019000000}">
      <text>
        <r>
          <rPr>
            <b/>
            <sz val="8"/>
            <color indexed="9"/>
            <rFont val="Arial"/>
            <family val="2"/>
          </rPr>
          <t>This icon represents an inventory “hedge” (or safety stock) against problems such as downtime, to protect the system against sudden fluctuations in customer orders or system failures. Notice that the icon is closed on all sides. It is intended as a temporary, not a permanent storage of stock; thus; there should be a clearly-stated management policy on when such inventory should be used.</t>
        </r>
        <r>
          <rPr>
            <sz val="8"/>
            <color indexed="9"/>
            <rFont val="Arial"/>
            <family val="2"/>
          </rPr>
          <t xml:space="preserve">
</t>
        </r>
      </text>
    </comment>
    <comment ref="AQ35" authorId="0" shapeId="0" xr:uid="{00000000-0006-0000-0900-00001A000000}">
      <text>
        <r>
          <rPr>
            <b/>
            <sz val="8"/>
            <color indexed="9"/>
            <rFont val="Arial"/>
            <family val="2"/>
          </rPr>
          <t>These icons show inventory between two processes. While mapping the current state, the amount of inventory can be approximated by a quick count, and that amount is noted beneath the triangle.  If there is more than one inventory accumulation, use an icon for each. This icon also represents storage for raw materials and finished goods.</t>
        </r>
        <r>
          <rPr>
            <sz val="8"/>
            <color indexed="9"/>
            <rFont val="Tahoma"/>
            <family val="2"/>
          </rPr>
          <t xml:space="preserve">
</t>
        </r>
      </text>
    </comment>
    <comment ref="AS35" authorId="0" shapeId="0" xr:uid="{00000000-0006-0000-0900-00001B000000}">
      <text>
        <r>
          <rPr>
            <b/>
            <sz val="8"/>
            <color indexed="9"/>
            <rFont val="Arial"/>
            <family val="2"/>
          </rPr>
          <t>First-In-First-Out inventory. Use this icon when processes are connected with a FIFO system that limits input. An accumulating roller conveyor is an example. Record the maximum possible inventory.</t>
        </r>
        <r>
          <rPr>
            <sz val="8"/>
            <color indexed="9"/>
            <rFont val="Tahoma"/>
            <family val="2"/>
          </rPr>
          <t xml:space="preserve">
</t>
        </r>
      </text>
    </comment>
    <comment ref="AQ38" authorId="0" shapeId="0" xr:uid="{00000000-0006-0000-0900-00001C000000}">
      <text>
        <r>
          <rPr>
            <b/>
            <sz val="8"/>
            <color indexed="9"/>
            <rFont val="Arial"/>
            <family val="2"/>
          </rPr>
          <t>This icon represents the “pushing” of material from one process to the next process. Push means that a process produces something regardless of the immediate needs of the downstream process.</t>
        </r>
        <r>
          <rPr>
            <sz val="8"/>
            <color indexed="9"/>
            <rFont val="Tahoma"/>
            <family val="2"/>
          </rPr>
          <t xml:space="preserve">
</t>
        </r>
      </text>
    </comment>
    <comment ref="AR38" authorId="0" shapeId="0" xr:uid="{00000000-0006-0000-0900-00001D000000}">
      <text>
        <r>
          <rPr>
            <b/>
            <sz val="8"/>
            <color indexed="9"/>
            <rFont val="Arial"/>
            <family val="2"/>
          </rPr>
          <t>This icon represents the “pushing” of material from process to staging area for packaging and shipment</t>
        </r>
        <r>
          <rPr>
            <sz val="8"/>
            <color indexed="9"/>
            <rFont val="Arial"/>
            <family val="2"/>
          </rPr>
          <t xml:space="preserve">
</t>
        </r>
      </text>
    </comment>
    <comment ref="AS38" authorId="0" shapeId="0" xr:uid="{00000000-0006-0000-0900-00001E000000}">
      <text>
        <r>
          <rPr>
            <b/>
            <sz val="8"/>
            <color indexed="9"/>
            <rFont val="Arial"/>
            <family val="2"/>
          </rPr>
          <t xml:space="preserve"> This icon represents a pull system that gives instruction to subassembly processes to produce a predetermined type and quantity of product, typically one unit, without using a supermarket.</t>
        </r>
        <r>
          <rPr>
            <sz val="8"/>
            <color indexed="9"/>
            <rFont val="Arial"/>
            <family val="2"/>
          </rPr>
          <t xml:space="preserve">
</t>
        </r>
      </text>
    </comment>
    <comment ref="AQ42" authorId="0" shapeId="0" xr:uid="{00000000-0006-0000-0900-00001F000000}">
      <text>
        <r>
          <rPr>
            <b/>
            <u/>
            <sz val="8"/>
            <color indexed="9"/>
            <rFont val="Arial"/>
            <family val="2"/>
          </rPr>
          <t xml:space="preserve">Truck / Plane /… </t>
        </r>
        <r>
          <rPr>
            <b/>
            <sz val="8"/>
            <color indexed="9"/>
            <rFont val="Arial"/>
            <family val="2"/>
          </rPr>
          <t>: Shipments from suppliers or to customers using external transport.</t>
        </r>
        <r>
          <rPr>
            <sz val="8"/>
            <color indexed="9"/>
            <rFont val="Tahoma"/>
            <family val="2"/>
          </rPr>
          <t xml:space="preserve">
</t>
        </r>
      </text>
    </comment>
    <comment ref="AQ44" authorId="0" shapeId="0" xr:uid="{00000000-0006-0000-0900-000020000000}">
      <text>
        <r>
          <rPr>
            <b/>
            <u/>
            <sz val="8"/>
            <color indexed="9"/>
            <rFont val="Tahoma"/>
            <family val="2"/>
          </rPr>
          <t>Hand Truck</t>
        </r>
        <r>
          <rPr>
            <b/>
            <sz val="8"/>
            <color indexed="9"/>
            <rFont val="Tahoma"/>
            <family val="2"/>
          </rPr>
          <t xml:space="preserve"> : Designates the physical transport of material from storage to point of use .</t>
        </r>
      </text>
    </comment>
    <comment ref="AQ46" authorId="0" shapeId="0" xr:uid="{00000000-0006-0000-0900-000021000000}">
      <text>
        <r>
          <rPr>
            <b/>
            <sz val="8"/>
            <color indexed="9"/>
            <rFont val="Arial"/>
            <family val="2"/>
          </rPr>
          <t>This icon represents movement of raw materials from suppliers to the Receiving dock/s of the factory.  Or, the movement of finished goods from the Shipping dock/s of the factory to the customers</t>
        </r>
      </text>
    </comment>
    <comment ref="AQ50" authorId="0" shapeId="0" xr:uid="{00000000-0006-0000-0900-000022000000}">
      <text>
        <r>
          <rPr>
            <b/>
            <sz val="8"/>
            <color indexed="9"/>
            <rFont val="Arial"/>
            <family val="2"/>
          </rPr>
          <t xml:space="preserve"> Oven / cure / heat treat /Prep station. Signifies need for cycle time adjustment</t>
        </r>
        <r>
          <rPr>
            <sz val="8"/>
            <color indexed="9"/>
            <rFont val="Arial"/>
            <family val="2"/>
          </rPr>
          <t xml:space="preserve">
.</t>
        </r>
      </text>
    </comment>
    <comment ref="AC55" authorId="1" shapeId="0" xr:uid="{00000000-0006-0000-0900-000023000000}">
      <text>
        <r>
          <rPr>
            <b/>
            <sz val="8"/>
            <color indexed="9"/>
            <rFont val="Tahoma"/>
            <family val="2"/>
          </rPr>
          <t>Pieces Produced / (Ideal Rate * Operating Time)</t>
        </r>
        <r>
          <rPr>
            <sz val="8"/>
            <color indexed="9"/>
            <rFont val="Tahoma"/>
            <family val="2"/>
          </rPr>
          <t xml:space="preserve">
</t>
        </r>
      </text>
    </comment>
    <comment ref="X56" authorId="1" shapeId="0" xr:uid="{00000000-0006-0000-0900-000024000000}">
      <text>
        <r>
          <rPr>
            <b/>
            <sz val="8"/>
            <color indexed="9"/>
            <rFont val="Tahoma"/>
            <family val="2"/>
          </rPr>
          <t xml:space="preserve">Good Pieces produces / Total pieces produced.
</t>
        </r>
      </text>
    </comment>
    <comment ref="AC56" authorId="1" shapeId="0" xr:uid="{00000000-0006-0000-0900-000025000000}">
      <text>
        <r>
          <rPr>
            <b/>
            <sz val="8"/>
            <color indexed="9"/>
            <rFont val="Tahoma"/>
            <family val="2"/>
          </rPr>
          <t>Operating Time / Planned Production Time</t>
        </r>
        <r>
          <rPr>
            <sz val="8"/>
            <color indexed="9"/>
            <rFont val="Tahoma"/>
            <family val="2"/>
          </rPr>
          <t xml:space="preserve">
</t>
        </r>
      </text>
    </comment>
  </commentList>
</comments>
</file>

<file path=xl/sharedStrings.xml><?xml version="1.0" encoding="utf-8"?>
<sst xmlns="http://schemas.openxmlformats.org/spreadsheetml/2006/main" count="746" uniqueCount="324">
  <si>
    <t>Cost Of Machine</t>
  </si>
  <si>
    <t>Number Of Machines</t>
  </si>
  <si>
    <t>Total Cost Of Machines</t>
  </si>
  <si>
    <t>Cost Of Accessories</t>
  </si>
  <si>
    <t>Depriciation Cost (For 5 Years)</t>
  </si>
  <si>
    <t>Total Load</t>
  </si>
  <si>
    <t>Power Cost (Per Unit)</t>
  </si>
  <si>
    <t>Load Factor</t>
  </si>
  <si>
    <t>Power Cost</t>
  </si>
  <si>
    <t>Maintenance Cost</t>
  </si>
  <si>
    <t>Labour Cost</t>
  </si>
  <si>
    <t>Land Cost</t>
  </si>
  <si>
    <t>MHR</t>
  </si>
  <si>
    <t>Consumables</t>
  </si>
  <si>
    <t>Connected Load (KW)</t>
  </si>
  <si>
    <t>No. Of Labours</t>
  </si>
  <si>
    <t>No. Of Years</t>
  </si>
  <si>
    <t>No. Of Days a Year</t>
  </si>
  <si>
    <t>% Consumables</t>
  </si>
  <si>
    <t>CNC Milling</t>
  </si>
  <si>
    <t>Furnace</t>
  </si>
  <si>
    <t>% Maintenance Cost</t>
  </si>
  <si>
    <t>%  COA</t>
  </si>
  <si>
    <t>CNC milling</t>
  </si>
  <si>
    <t>PARAMETERS/MACHINES</t>
  </si>
  <si>
    <t>LABOUR/CATEGORY</t>
  </si>
  <si>
    <t>Unskilled</t>
  </si>
  <si>
    <t>Skilled</t>
  </si>
  <si>
    <t>Watch And Guard (Without Arms)</t>
  </si>
  <si>
    <t>Watch And Guard (With Arms)</t>
  </si>
  <si>
    <t>Sweeping And Cleaning</t>
  </si>
  <si>
    <t>Required</t>
  </si>
  <si>
    <t>Wages Per Day (Rs)</t>
  </si>
  <si>
    <t xml:space="preserve">   (MINISTRY OF LABOUR AND EMPLOYMENT)</t>
  </si>
  <si>
    <t>PROFFESSION/CATEGORY</t>
  </si>
  <si>
    <t>Salary (Monthly)</t>
  </si>
  <si>
    <t xml:space="preserve">Lawyer  </t>
  </si>
  <si>
    <t>Doctor</t>
  </si>
  <si>
    <t>INDUSTRY SETUP COST</t>
  </si>
  <si>
    <t>Construction Cost</t>
  </si>
  <si>
    <t>Machine Cost</t>
  </si>
  <si>
    <t>TOTAL</t>
  </si>
  <si>
    <t>SOFTWARES REQUIRED</t>
  </si>
  <si>
    <t>Solidworks</t>
  </si>
  <si>
    <t>Ansys</t>
  </si>
  <si>
    <t>Matlab</t>
  </si>
  <si>
    <t>LABOUR COST</t>
  </si>
  <si>
    <t>R&amp;D</t>
  </si>
  <si>
    <t>Employees</t>
  </si>
  <si>
    <t>Salary</t>
  </si>
  <si>
    <t>Consulting Engineering Scientist</t>
  </si>
  <si>
    <t>Production Engineer Manager</t>
  </si>
  <si>
    <t>Production/Processing Engineer</t>
  </si>
  <si>
    <t>Instrument Technician</t>
  </si>
  <si>
    <t>Package Design Manager</t>
  </si>
  <si>
    <t>Industrial Engineering Supervisor</t>
  </si>
  <si>
    <t>Chief Design Engineer</t>
  </si>
  <si>
    <t>Chief Drafter</t>
  </si>
  <si>
    <t>CAD Drafter</t>
  </si>
  <si>
    <t>Senior CAD Drafter</t>
  </si>
  <si>
    <t>Senior Designer</t>
  </si>
  <si>
    <t>Top Engineering Executive</t>
  </si>
  <si>
    <t>Top Quality Control Executive</t>
  </si>
  <si>
    <t>Top Product Development Executive</t>
  </si>
  <si>
    <t>Top Environmental Executive</t>
  </si>
  <si>
    <t>Top Industrial Engineer</t>
  </si>
  <si>
    <t>Energy Mannagement Engineer</t>
  </si>
  <si>
    <t>ADDITIONAL COST</t>
  </si>
  <si>
    <t>Plant/Facility Maintenance Engineering Manager</t>
  </si>
  <si>
    <t>Reliability Engineer</t>
  </si>
  <si>
    <t>Quality Control Engineer</t>
  </si>
  <si>
    <t>Human Resource</t>
  </si>
  <si>
    <t>LABOUR</t>
  </si>
  <si>
    <t>INDUSTRY SETUP</t>
  </si>
  <si>
    <t>EXECUTIVES</t>
  </si>
  <si>
    <t>GENERAL ENGINEERS</t>
  </si>
  <si>
    <t>Product Development Engineer</t>
  </si>
  <si>
    <t>Technical Writer</t>
  </si>
  <si>
    <t>Product Development Engineering Manager</t>
  </si>
  <si>
    <t>Waste Management Engineer</t>
  </si>
  <si>
    <t>LEVELS OF EMPLOYEES</t>
  </si>
  <si>
    <t>`</t>
  </si>
  <si>
    <t xml:space="preserve">TIG Welding </t>
  </si>
  <si>
    <t xml:space="preserve">3D Printing </t>
  </si>
  <si>
    <t>Interest (@8%)</t>
  </si>
  <si>
    <t xml:space="preserve">Sheet Moulding Compound  machine </t>
  </si>
  <si>
    <t>Ultrasonic Testing Machine</t>
  </si>
  <si>
    <t>ITEMS/CATEGORY</t>
  </si>
  <si>
    <t>Cost</t>
  </si>
  <si>
    <t>Desktop</t>
  </si>
  <si>
    <t>Printer</t>
  </si>
  <si>
    <t>Furniture</t>
  </si>
  <si>
    <t>OFFICE COST</t>
  </si>
  <si>
    <t>Software And Office Cost</t>
  </si>
  <si>
    <t>Staff/Labour Cost</t>
  </si>
  <si>
    <t>Microsoft Office</t>
  </si>
  <si>
    <t>MATERIAL COST</t>
  </si>
  <si>
    <t>Raw Material</t>
  </si>
  <si>
    <t>Scrap</t>
  </si>
  <si>
    <t>Seat</t>
  </si>
  <si>
    <t>Lumbar Support</t>
  </si>
  <si>
    <t>Drilling Machine</t>
  </si>
  <si>
    <t>Steering Shaft</t>
  </si>
  <si>
    <t>Railbox</t>
  </si>
  <si>
    <t>COST</t>
  </si>
  <si>
    <t>Head Rest</t>
  </si>
  <si>
    <t>ABS</t>
  </si>
  <si>
    <t>Wood (HDF)</t>
  </si>
  <si>
    <t>Leg Support</t>
  </si>
  <si>
    <t>Steering Wheel</t>
  </si>
  <si>
    <t>Peddal Box</t>
  </si>
  <si>
    <t>MACHINES</t>
  </si>
  <si>
    <t>PROCESS COST</t>
  </si>
  <si>
    <t>TOTAL PART COST (Rs)</t>
  </si>
  <si>
    <t>RATE (PER KG)</t>
  </si>
  <si>
    <t>WEIGHT (KG)</t>
  </si>
  <si>
    <t>MHR VALUES (Rs)</t>
  </si>
  <si>
    <t>MATERIAL TYPE/MATERIAL</t>
  </si>
  <si>
    <t>MATERIAL TYPE/PARTS</t>
  </si>
  <si>
    <t>Alluminium 7075</t>
  </si>
  <si>
    <t>Glass Fibre (S Class)</t>
  </si>
  <si>
    <t>Break Peddal</t>
  </si>
  <si>
    <t>Foot Rest</t>
  </si>
  <si>
    <t>Seat Inserts</t>
  </si>
  <si>
    <t>Peddal Shifter</t>
  </si>
  <si>
    <t>Steering Grip</t>
  </si>
  <si>
    <t>Peddal Face</t>
  </si>
  <si>
    <t>Polyurethane Foam</t>
  </si>
  <si>
    <t>Volume (m3)</t>
  </si>
  <si>
    <t>Density (Kg/m3)</t>
  </si>
  <si>
    <t>PROPERTY</t>
  </si>
  <si>
    <t>Seat Insert</t>
  </si>
  <si>
    <t>TOTAL (Rs)</t>
  </si>
  <si>
    <t xml:space="preserve">Foot Rest </t>
  </si>
  <si>
    <t xml:space="preserve">Peddal Shifter </t>
  </si>
  <si>
    <t xml:space="preserve">Steering Grip </t>
  </si>
  <si>
    <t xml:space="preserve">Peddal Face </t>
  </si>
  <si>
    <t xml:space="preserve">Break Peddal </t>
  </si>
  <si>
    <t>Time</t>
  </si>
  <si>
    <t xml:space="preserve"> </t>
  </si>
  <si>
    <t>DAYS</t>
  </si>
  <si>
    <t>PR</t>
  </si>
  <si>
    <t>RECIEPT</t>
  </si>
  <si>
    <t>POR</t>
  </si>
  <si>
    <t>CARS</t>
  </si>
  <si>
    <t>SOH (0)</t>
  </si>
  <si>
    <t>INTERCHANGE OF STOCK WITH CURRENT RECEIVED ORDER</t>
  </si>
  <si>
    <t>FIRST MONTH</t>
  </si>
  <si>
    <t>MONTHLY</t>
  </si>
  <si>
    <t>YEARLY</t>
  </si>
  <si>
    <t>STOCK</t>
  </si>
  <si>
    <t>EVENT</t>
  </si>
  <si>
    <t>ERGONOMIC PACKAGES FOR</t>
  </si>
  <si>
    <t>SECOND MONTH</t>
  </si>
  <si>
    <t xml:space="preserve">THIRD MONTH </t>
  </si>
  <si>
    <t>SOH (40)</t>
  </si>
  <si>
    <t>SOH (20)</t>
  </si>
  <si>
    <t>Injection Moulding Machine</t>
  </si>
  <si>
    <t>ERGONOMIC PACKAGES (FOR EVENT)</t>
  </si>
  <si>
    <t>WEEK 1</t>
  </si>
  <si>
    <t>WEEK 2</t>
  </si>
  <si>
    <t>WEEK 3</t>
  </si>
  <si>
    <t>WEEK 4</t>
  </si>
  <si>
    <t>WEEK 5</t>
  </si>
  <si>
    <t>WEEK 6</t>
  </si>
  <si>
    <t>WEEK 7</t>
  </si>
  <si>
    <t>WEEK 8</t>
  </si>
  <si>
    <t>WEEK 9</t>
  </si>
  <si>
    <t>WEEK 10</t>
  </si>
  <si>
    <t>WEEK 11</t>
  </si>
  <si>
    <t>WEEK 12</t>
  </si>
  <si>
    <t>WEEK 13</t>
  </si>
  <si>
    <t>PRODUCTION</t>
  </si>
  <si>
    <t>ERGONOMIC PACKAGES (FOR CARS) AND CAR PRODUCTION</t>
  </si>
  <si>
    <t>PARTS PER PACKAGE</t>
  </si>
  <si>
    <t xml:space="preserve">PARTS </t>
  </si>
  <si>
    <t>No. Of Hours A Day</t>
  </si>
  <si>
    <t>Effective No. Hours A Day</t>
  </si>
  <si>
    <t xml:space="preserve">Forging Machine </t>
  </si>
  <si>
    <t>Forging Machine</t>
  </si>
  <si>
    <t>MACHINES / PARAMETERS</t>
  </si>
  <si>
    <t xml:space="preserve">Steering grip </t>
  </si>
  <si>
    <t xml:space="preserve">Pedal Shifters </t>
  </si>
  <si>
    <t>Mirror</t>
  </si>
  <si>
    <t>PARTS  OUTSOURCED</t>
  </si>
  <si>
    <t xml:space="preserve">Master Cylinder </t>
  </si>
  <si>
    <t xml:space="preserve">Hydraulic reservoir </t>
  </si>
  <si>
    <t>Quick release</t>
  </si>
  <si>
    <t xml:space="preserve">Electrical buttons </t>
  </si>
  <si>
    <t xml:space="preserve">LCD Display </t>
  </si>
  <si>
    <t xml:space="preserve">Steering Display PCB </t>
  </si>
  <si>
    <t>PRICE PER PART</t>
  </si>
  <si>
    <t>FINAL COST</t>
  </si>
  <si>
    <t>PARTS OUTSOURCED</t>
  </si>
  <si>
    <t>ERGONOMIC PACKAGE INFO</t>
  </si>
  <si>
    <t>Ded. Proc.</t>
  </si>
  <si>
    <t>Shared Proc.</t>
  </si>
  <si>
    <t>Proc. Time</t>
  </si>
  <si>
    <t>Verbal Info</t>
  </si>
  <si>
    <t>Proc. Cell</t>
  </si>
  <si>
    <t>Prod. Lead</t>
  </si>
  <si>
    <t>See Sched.</t>
  </si>
  <si>
    <t>Tel. Info</t>
  </si>
  <si>
    <t>Elec. Info</t>
  </si>
  <si>
    <t>Man. Info</t>
  </si>
  <si>
    <t>Supplier/</t>
  </si>
  <si>
    <t>OR</t>
  </si>
  <si>
    <t>Manual pull/</t>
  </si>
  <si>
    <t>Customer</t>
  </si>
  <si>
    <t>Withdrawl</t>
  </si>
  <si>
    <t>Production</t>
  </si>
  <si>
    <t>MRP/</t>
  </si>
  <si>
    <t>Order</t>
  </si>
  <si>
    <t>Control</t>
  </si>
  <si>
    <t>ERP</t>
  </si>
  <si>
    <t>Input</t>
  </si>
  <si>
    <t>Other Info</t>
  </si>
  <si>
    <t>Kanban</t>
  </si>
  <si>
    <t>Signal</t>
  </si>
  <si>
    <t>Post</t>
  </si>
  <si>
    <t>Kaizan</t>
  </si>
  <si>
    <t>Queue</t>
  </si>
  <si>
    <t>Burst</t>
  </si>
  <si>
    <t>Load</t>
  </si>
  <si>
    <t>Store / WIP</t>
  </si>
  <si>
    <t>Safety</t>
  </si>
  <si>
    <t>Leveling</t>
  </si>
  <si>
    <t>Stock</t>
  </si>
  <si>
    <t xml:space="preserve">Inventory </t>
  </si>
  <si>
    <t>First in, First out</t>
  </si>
  <si>
    <t>Push:</t>
  </si>
  <si>
    <t>Push</t>
  </si>
  <si>
    <t xml:space="preserve">Sequenced </t>
  </si>
  <si>
    <t>Matl. Move</t>
  </si>
  <si>
    <t>Pull :</t>
  </si>
  <si>
    <t>Shipment</t>
  </si>
  <si>
    <t>External</t>
  </si>
  <si>
    <t>Warehouse</t>
  </si>
  <si>
    <t>PLT</t>
  </si>
  <si>
    <t>Movement</t>
  </si>
  <si>
    <t>Production Lead time</t>
  </si>
  <si>
    <t>Oven /</t>
  </si>
  <si>
    <t>Quality Problem Area</t>
  </si>
  <si>
    <t>Production Cycle Efficiency</t>
  </si>
  <si>
    <t>Heat /Prep.</t>
  </si>
  <si>
    <t>Metric / Data Box Definitions :</t>
  </si>
  <si>
    <t xml:space="preserve">Considerations : 22 Work day / month ; 1 shift =&gt; 7 hour (after PFD) = 7.5 Hour - 2 x 10 Min - 10 Min </t>
  </si>
  <si>
    <t xml:space="preserve">T/T = </t>
  </si>
  <si>
    <t>Travel time</t>
  </si>
  <si>
    <t xml:space="preserve">L/T = </t>
  </si>
  <si>
    <t>Lead time</t>
  </si>
  <si>
    <t>C/O =</t>
  </si>
  <si>
    <t>Change over time</t>
  </si>
  <si>
    <t>C/Te =</t>
  </si>
  <si>
    <t>Cycle time (Oven, Equipment)</t>
  </si>
  <si>
    <t>Takt   =</t>
  </si>
  <si>
    <t>Available work time per shift</t>
  </si>
  <si>
    <t xml:space="preserve">Define effective Work hour/day </t>
  </si>
  <si>
    <t>Q/T =</t>
  </si>
  <si>
    <t>Queue time</t>
  </si>
  <si>
    <t>P/T + T/T</t>
  </si>
  <si>
    <t>P/T =</t>
  </si>
  <si>
    <t>Process time</t>
  </si>
  <si>
    <t>Q/T + C/T + C/O</t>
  </si>
  <si>
    <t>Perf = Performance</t>
  </si>
  <si>
    <t xml:space="preserve">customer demand qty. per shift </t>
  </si>
  <si>
    <t xml:space="preserve">x working day &amp; calculate Takt time. </t>
  </si>
  <si>
    <t>C/T =</t>
  </si>
  <si>
    <t>Cycle time</t>
  </si>
  <si>
    <t>PFD =</t>
  </si>
  <si>
    <t>Personal Fatigue &amp; Delay Time</t>
  </si>
  <si>
    <t>C/Tt =</t>
  </si>
  <si>
    <t>Cycle time (Touch)</t>
  </si>
  <si>
    <t>FPY =</t>
  </si>
  <si>
    <t>First Pass Yield</t>
  </si>
  <si>
    <t>Av=Availability</t>
  </si>
  <si>
    <t>OEE = FPY * Av * Perf</t>
  </si>
  <si>
    <t>Record all your assumptions.</t>
  </si>
  <si>
    <t>Operator</t>
  </si>
  <si>
    <t>Timeline</t>
  </si>
  <si>
    <t>Ideal</t>
  </si>
  <si>
    <t>Future</t>
  </si>
  <si>
    <t>Current</t>
  </si>
  <si>
    <t>Date :</t>
  </si>
  <si>
    <t>Value Stream Mapping</t>
  </si>
  <si>
    <t>Monthly Orders</t>
  </si>
  <si>
    <t>Monthly Forecast</t>
  </si>
  <si>
    <t>Weekly Orders</t>
  </si>
  <si>
    <t>5 min</t>
  </si>
  <si>
    <t>20 min</t>
  </si>
  <si>
    <t>8 min</t>
  </si>
  <si>
    <t>C/T :</t>
  </si>
  <si>
    <t>C/O :</t>
  </si>
  <si>
    <t>Avail :</t>
  </si>
  <si>
    <t>FPY :</t>
  </si>
  <si>
    <t>OEE/Util :</t>
  </si>
  <si>
    <t>16 min</t>
  </si>
  <si>
    <t>TOTAL COST</t>
  </si>
  <si>
    <t>TOTAL MANUFACTURING COST</t>
  </si>
  <si>
    <t>TOTAL SETUP COST</t>
  </si>
  <si>
    <t>OVERAL COST INCURED IN 5 YEARS</t>
  </si>
  <si>
    <t xml:space="preserve">PROFIT PERCENT </t>
  </si>
  <si>
    <t>SELLING PRICE</t>
  </si>
  <si>
    <t>PARTS MANUFACTURED</t>
  </si>
  <si>
    <t>REVENUE GENERATED</t>
  </si>
  <si>
    <t>TOTAL REVENUE GENERATED</t>
  </si>
  <si>
    <t>TOTAL PROFIT</t>
  </si>
  <si>
    <t>COST BENEFIT ANALYSIS</t>
  </si>
  <si>
    <t>STEERING SHAFT</t>
  </si>
  <si>
    <t>PROCESS :</t>
  </si>
  <si>
    <t>TOTAL AREA</t>
  </si>
  <si>
    <t>SUPERVISOR</t>
  </si>
  <si>
    <t>N / C (Numerical Control) Programmer</t>
  </si>
  <si>
    <t xml:space="preserve">Sheet Moulding Compound </t>
  </si>
  <si>
    <t>% Usage For Ergonomics</t>
  </si>
  <si>
    <t>Area (m2)</t>
  </si>
  <si>
    <t>Yearly Revenue Chart</t>
  </si>
  <si>
    <t>Year</t>
  </si>
  <si>
    <t>Revenue</t>
  </si>
  <si>
    <t>Investment</t>
  </si>
  <si>
    <t>Cumulative Profit</t>
  </si>
  <si>
    <t>US to Rupees</t>
  </si>
  <si>
    <t xml:space="preserve">TOTAL PART COST </t>
  </si>
  <si>
    <t>Wages Per 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</si>
</sst>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 * #,##0.00_ ;_ * \-#,##0.00_ ;_ * &quot;-&quot;??_ ;_ @_ "/>
    <numFmt numFmtId="165" formatCode="0.0"/>
    <numFmt numFmtId="166" formatCode="0.0000000"/>
    <numFmt numFmtId="167" formatCode="_-[$$-409]* #,##0.00_ ;_-[$$-409]* \-#,##0.00\ ;_-[$$-409]* &quot;-&quot;??_ ;_-@_ "/>
  </numFmts>
  <fonts count="36">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8"/>
      <color theme="4" tint="-0.249977111117893"/>
      <name val="Calibri"/>
      <family val="2"/>
      <scheme val="minor"/>
    </font>
    <font>
      <b/>
      <sz val="20"/>
      <color theme="4" tint="-0.249977111117893"/>
      <name val="Calibri"/>
      <family val="2"/>
      <scheme val="minor"/>
    </font>
    <font>
      <b/>
      <sz val="11"/>
      <color rgb="FF111111"/>
      <name val="Calibri"/>
      <family val="2"/>
      <scheme val="minor"/>
    </font>
    <font>
      <b/>
      <sz val="18"/>
      <color rgb="FF0070C0"/>
      <name val="Calibri"/>
      <family val="2"/>
      <scheme val="minor"/>
    </font>
    <font>
      <b/>
      <sz val="11"/>
      <name val="Calibri"/>
      <family val="2"/>
      <scheme val="minor"/>
    </font>
    <font>
      <sz val="11"/>
      <color rgb="FF006100"/>
      <name val="Calibri"/>
      <family val="2"/>
      <scheme val="minor"/>
    </font>
    <font>
      <sz val="11"/>
      <color theme="0"/>
      <name val="Calibri"/>
      <family val="2"/>
      <scheme val="minor"/>
    </font>
    <font>
      <sz val="10"/>
      <name val="Arial"/>
      <family val="2"/>
    </font>
    <font>
      <b/>
      <sz val="10"/>
      <name val="Arial"/>
      <family val="2"/>
    </font>
    <font>
      <b/>
      <sz val="9"/>
      <name val="Arial"/>
      <family val="2"/>
    </font>
    <font>
      <b/>
      <sz val="8"/>
      <color indexed="9"/>
      <name val="Arial"/>
      <family val="2"/>
    </font>
    <font>
      <sz val="8"/>
      <color indexed="9"/>
      <name val="Tahoma"/>
      <family val="2"/>
    </font>
    <font>
      <sz val="8"/>
      <color indexed="9"/>
      <name val="Arial"/>
      <family val="2"/>
    </font>
    <font>
      <sz val="8"/>
      <name val="Arial"/>
      <family val="2"/>
    </font>
    <font>
      <sz val="9"/>
      <name val="Arial"/>
      <family val="2"/>
    </font>
    <font>
      <b/>
      <sz val="8"/>
      <color indexed="9"/>
      <name val="Tahoma"/>
      <family val="2"/>
    </font>
    <font>
      <b/>
      <u/>
      <sz val="8"/>
      <color indexed="9"/>
      <name val="Arial"/>
      <family val="2"/>
    </font>
    <font>
      <b/>
      <u/>
      <sz val="8"/>
      <color indexed="9"/>
      <name val="Tahoma"/>
      <family val="2"/>
    </font>
    <font>
      <u/>
      <sz val="10"/>
      <name val="Arial"/>
      <family val="2"/>
    </font>
    <font>
      <sz val="10"/>
      <color indexed="9"/>
      <name val="Arial"/>
      <family val="2"/>
    </font>
    <font>
      <u/>
      <sz val="8"/>
      <color indexed="9"/>
      <name val="Arial"/>
      <family val="2"/>
    </font>
    <font>
      <b/>
      <sz val="24"/>
      <color indexed="9"/>
      <name val="Arial"/>
      <family val="2"/>
    </font>
    <font>
      <b/>
      <sz val="10"/>
      <color indexed="9"/>
      <name val="Arial"/>
      <family val="2"/>
    </font>
    <font>
      <sz val="10"/>
      <name val="Arial"/>
      <family val="2"/>
    </font>
    <font>
      <sz val="8"/>
      <color rgb="FF000000"/>
      <name val="Tahoma"/>
      <family val="2"/>
    </font>
    <font>
      <b/>
      <sz val="14"/>
      <color rgb="FF5B9BD5"/>
      <name val="Calibri"/>
      <family val="2"/>
      <scheme val="minor"/>
    </font>
    <font>
      <sz val="11"/>
      <color theme="1"/>
      <name val="HP Simp"/>
    </font>
    <font>
      <b/>
      <sz val="18"/>
      <color rgb="FF0070C0"/>
      <name val="HP Simp"/>
    </font>
    <font>
      <b/>
      <sz val="11"/>
      <color theme="1"/>
      <name val="HP Simp"/>
    </font>
    <font>
      <b/>
      <sz val="11"/>
      <color rgb="FF006100"/>
      <name val="HP Simp"/>
    </font>
    <font>
      <sz val="11"/>
      <color rgb="FF006100"/>
      <name val="HP Simp"/>
    </font>
    <font>
      <b/>
      <sz val="11"/>
      <color rgb="FF0070C0"/>
      <name val="HP Simp"/>
    </font>
  </fonts>
  <fills count="23">
    <fill>
      <patternFill patternType="none"/>
    </fill>
    <fill>
      <patternFill patternType="gray125"/>
    </fill>
    <fill>
      <patternFill patternType="solid">
        <fgColor rgb="FFA5A5A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0"/>
        <bgColor indexed="64"/>
      </patternFill>
    </fill>
    <fill>
      <patternFill patternType="solid">
        <fgColor rgb="FFC6EFCE"/>
      </patternFill>
    </fill>
    <fill>
      <patternFill patternType="solid">
        <fgColor theme="7" tint="0.59999389629810485"/>
        <bgColor indexed="65"/>
      </patternFill>
    </fill>
    <fill>
      <patternFill patternType="solid">
        <fgColor theme="5" tint="0.39997558519241921"/>
        <bgColor indexed="65"/>
      </patternFill>
    </fill>
    <fill>
      <patternFill patternType="solid">
        <fgColor theme="4" tint="0.79998168889431442"/>
        <bgColor indexed="65"/>
      </patternFill>
    </fill>
    <fill>
      <patternFill patternType="solid">
        <fgColor theme="4" tint="0.39997558519241921"/>
        <bgColor indexed="65"/>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indexed="47"/>
        <bgColor indexed="64"/>
      </patternFill>
    </fill>
    <fill>
      <patternFill patternType="solid">
        <fgColor indexed="10"/>
        <bgColor indexed="64"/>
      </patternFill>
    </fill>
    <fill>
      <patternFill patternType="solid">
        <fgColor indexed="49"/>
        <bgColor indexed="64"/>
      </patternFill>
    </fill>
    <fill>
      <patternFill patternType="solid">
        <fgColor indexed="63"/>
        <bgColor indexed="64"/>
      </patternFill>
    </fill>
    <fill>
      <patternFill patternType="solid">
        <fgColor indexed="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right/>
      <top style="double">
        <color rgb="FF3F3F3F"/>
      </top>
      <bottom/>
      <diagonal/>
    </border>
    <border>
      <left style="thin">
        <color indexed="64"/>
      </left>
      <right style="double">
        <color rgb="FF3F3F3F"/>
      </right>
      <top style="thin">
        <color indexed="64"/>
      </top>
      <bottom style="double">
        <color rgb="FF3F3F3F"/>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double">
        <color rgb="FF3F3F3F"/>
      </top>
      <bottom style="double">
        <color rgb="FF3F3F3F"/>
      </bottom>
      <diagonal/>
    </border>
    <border>
      <left style="thin">
        <color indexed="64"/>
      </left>
      <right/>
      <top style="double">
        <color rgb="FF3F3F3F"/>
      </top>
      <bottom style="thin">
        <color indexed="64"/>
      </bottom>
      <diagonal/>
    </border>
    <border>
      <left style="double">
        <color rgb="FF3F3F3F"/>
      </left>
      <right style="double">
        <color rgb="FF3F3F3F"/>
      </right>
      <top style="thin">
        <color indexed="64"/>
      </top>
      <bottom/>
      <diagonal/>
    </border>
    <border>
      <left style="double">
        <color rgb="FF3F3F3F"/>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s>
  <cellStyleXfs count="17">
    <xf numFmtId="0" fontId="0" fillId="0" borderId="0"/>
    <xf numFmtId="0" fontId="3" fillId="2" borderId="3" applyNumberForma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9" fillId="10" borderId="0" applyNumberFormat="0" applyBorder="0" applyAlignment="0" applyProtection="0"/>
    <xf numFmtId="0" fontId="1" fillId="11" borderId="0" applyNumberFormat="0" applyBorder="0" applyAlignment="0" applyProtection="0"/>
    <xf numFmtId="0" fontId="10" fillId="12" borderId="0" applyNumberFormat="0" applyBorder="0" applyAlignment="0" applyProtection="0"/>
    <xf numFmtId="0" fontId="1" fillId="13" borderId="0" applyNumberFormat="0" applyBorder="0" applyAlignment="0" applyProtection="0"/>
    <xf numFmtId="0" fontId="10" fillId="14" borderId="0" applyNumberFormat="0" applyBorder="0" applyAlignment="0" applyProtection="0"/>
    <xf numFmtId="0" fontId="11"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315">
    <xf numFmtId="0" fontId="0" fillId="0" borderId="0" xfId="0"/>
    <xf numFmtId="0" fontId="2" fillId="0" borderId="0" xfId="0" applyFont="1"/>
    <xf numFmtId="0" fontId="0" fillId="0" borderId="0" xfId="0" applyAlignment="1">
      <alignment horizontal="center"/>
    </xf>
    <xf numFmtId="0" fontId="2" fillId="3" borderId="1" xfId="2" applyFont="1" applyBorder="1"/>
    <xf numFmtId="0" fontId="0" fillId="0" borderId="4" xfId="0" applyBorder="1" applyAlignment="1">
      <alignment horizontal="left"/>
    </xf>
    <xf numFmtId="0" fontId="3" fillId="2" borderId="5" xfId="1" applyBorder="1"/>
    <xf numFmtId="0" fontId="3" fillId="2" borderId="11" xfId="1" applyBorder="1"/>
    <xf numFmtId="0" fontId="3" fillId="2" borderId="12" xfId="1" applyBorder="1"/>
    <xf numFmtId="0" fontId="3" fillId="2" borderId="13" xfId="1" applyBorder="1"/>
    <xf numFmtId="0" fontId="3" fillId="2" borderId="14" xfId="1" applyBorder="1"/>
    <xf numFmtId="0" fontId="2" fillId="0" borderId="1" xfId="0" applyFont="1" applyBorder="1"/>
    <xf numFmtId="0" fontId="6" fillId="0" borderId="1" xfId="0" applyFont="1" applyBorder="1" applyAlignment="1">
      <alignment vertical="center" wrapText="1"/>
    </xf>
    <xf numFmtId="0" fontId="3" fillId="2" borderId="1" xfId="1" applyBorder="1"/>
    <xf numFmtId="0" fontId="0" fillId="0" borderId="15" xfId="0" applyBorder="1" applyAlignment="1">
      <alignment horizontal="center"/>
    </xf>
    <xf numFmtId="0" fontId="0" fillId="0" borderId="16" xfId="0" applyBorder="1" applyAlignment="1">
      <alignment horizontal="center"/>
    </xf>
    <xf numFmtId="0" fontId="0" fillId="0" borderId="15" xfId="0" applyBorder="1"/>
    <xf numFmtId="0" fontId="2" fillId="0" borderId="16" xfId="0" applyFont="1" applyBorder="1"/>
    <xf numFmtId="0" fontId="0" fillId="0" borderId="16" xfId="0" applyBorder="1"/>
    <xf numFmtId="0" fontId="2" fillId="5" borderId="1" xfId="4" applyFont="1" applyBorder="1"/>
    <xf numFmtId="0" fontId="2" fillId="8" borderId="1" xfId="7" applyFont="1" applyBorder="1"/>
    <xf numFmtId="0" fontId="2" fillId="7" borderId="1" xfId="6" applyFont="1" applyBorder="1"/>
    <xf numFmtId="0" fontId="2" fillId="4" borderId="1" xfId="3" applyFont="1" applyBorder="1"/>
    <xf numFmtId="0" fontId="2" fillId="0" borderId="1" xfId="0" applyFont="1" applyBorder="1" applyAlignment="1">
      <alignment horizontal="right"/>
    </xf>
    <xf numFmtId="0" fontId="2" fillId="3" borderId="17" xfId="2" applyFont="1" applyBorder="1"/>
    <xf numFmtId="0" fontId="6" fillId="0" borderId="17" xfId="0" applyFont="1" applyBorder="1" applyAlignment="1">
      <alignment vertical="center" wrapText="1"/>
    </xf>
    <xf numFmtId="0" fontId="2" fillId="2" borderId="1" xfId="1" applyFont="1" applyBorder="1"/>
    <xf numFmtId="0" fontId="2" fillId="3" borderId="1" xfId="2" applyFont="1" applyBorder="1" applyAlignment="1">
      <alignment horizontal="left"/>
    </xf>
    <xf numFmtId="0" fontId="0" fillId="0" borderId="1" xfId="0" applyBorder="1"/>
    <xf numFmtId="2" fontId="2" fillId="3" borderId="1" xfId="2" applyNumberFormat="1" applyFont="1" applyBorder="1"/>
    <xf numFmtId="2" fontId="2" fillId="0" borderId="1" xfId="0" applyNumberFormat="1" applyFont="1" applyBorder="1"/>
    <xf numFmtId="0" fontId="2" fillId="3" borderId="1" xfId="2" applyFont="1" applyBorder="1" applyAlignment="1">
      <alignment horizontal="center" vertical="center"/>
    </xf>
    <xf numFmtId="0" fontId="3" fillId="12" borderId="1" xfId="10" applyFont="1" applyBorder="1"/>
    <xf numFmtId="0" fontId="2" fillId="0" borderId="0" xfId="0" applyFont="1" applyAlignment="1">
      <alignment horizontal="left"/>
    </xf>
    <xf numFmtId="0" fontId="2" fillId="2" borderId="1" xfId="1" applyFont="1" applyBorder="1" applyAlignment="1">
      <alignment horizontal="left"/>
    </xf>
    <xf numFmtId="0" fontId="11" fillId="0" borderId="0" xfId="13"/>
    <xf numFmtId="0" fontId="11" fillId="0" borderId="23" xfId="13" applyBorder="1"/>
    <xf numFmtId="0" fontId="12" fillId="0" borderId="23" xfId="13" applyFont="1" applyBorder="1"/>
    <xf numFmtId="0" fontId="11" fillId="15" borderId="21" xfId="13" applyFill="1" applyBorder="1"/>
    <xf numFmtId="0" fontId="17" fillId="15" borderId="22" xfId="13" applyFont="1" applyFill="1" applyBorder="1"/>
    <xf numFmtId="0" fontId="11" fillId="15" borderId="15" xfId="13" applyFill="1" applyBorder="1"/>
    <xf numFmtId="0" fontId="17" fillId="15" borderId="10" xfId="13" applyFont="1" applyFill="1" applyBorder="1"/>
    <xf numFmtId="0" fontId="11" fillId="16" borderId="21" xfId="13" applyFill="1" applyBorder="1"/>
    <xf numFmtId="0" fontId="17" fillId="16" borderId="21" xfId="13" applyFont="1" applyFill="1" applyBorder="1"/>
    <xf numFmtId="0" fontId="17" fillId="16" borderId="22" xfId="13" applyFont="1" applyFill="1" applyBorder="1"/>
    <xf numFmtId="0" fontId="17" fillId="17" borderId="21" xfId="13" applyFont="1" applyFill="1" applyBorder="1"/>
    <xf numFmtId="0" fontId="17" fillId="17" borderId="22" xfId="13" applyFont="1" applyFill="1" applyBorder="1"/>
    <xf numFmtId="0" fontId="11" fillId="15" borderId="25" xfId="13" applyFill="1" applyBorder="1"/>
    <xf numFmtId="0" fontId="17" fillId="15" borderId="25" xfId="13" applyFont="1" applyFill="1" applyBorder="1"/>
    <xf numFmtId="0" fontId="17" fillId="15" borderId="26" xfId="13" applyFont="1" applyFill="1" applyBorder="1"/>
    <xf numFmtId="0" fontId="17" fillId="18" borderId="26" xfId="13" applyFont="1" applyFill="1" applyBorder="1"/>
    <xf numFmtId="0" fontId="17" fillId="16" borderId="25" xfId="13" applyFont="1" applyFill="1" applyBorder="1"/>
    <xf numFmtId="0" fontId="17" fillId="16" borderId="26" xfId="13" applyFont="1" applyFill="1" applyBorder="1"/>
    <xf numFmtId="0" fontId="11" fillId="15" borderId="0" xfId="13" applyFill="1"/>
    <xf numFmtId="0" fontId="11" fillId="15" borderId="16" xfId="13" applyFill="1" applyBorder="1"/>
    <xf numFmtId="0" fontId="17" fillId="15" borderId="6" xfId="13" applyFont="1" applyFill="1" applyBorder="1"/>
    <xf numFmtId="0" fontId="17" fillId="15" borderId="16" xfId="13" applyFont="1" applyFill="1" applyBorder="1"/>
    <xf numFmtId="0" fontId="17" fillId="18" borderId="16" xfId="13" applyFont="1" applyFill="1" applyBorder="1"/>
    <xf numFmtId="0" fontId="17" fillId="18" borderId="6" xfId="13" applyFont="1" applyFill="1" applyBorder="1"/>
    <xf numFmtId="0" fontId="17" fillId="17" borderId="16" xfId="13" applyFont="1" applyFill="1" applyBorder="1"/>
    <xf numFmtId="0" fontId="17" fillId="17" borderId="6" xfId="13" applyFont="1" applyFill="1" applyBorder="1"/>
    <xf numFmtId="0" fontId="11" fillId="16" borderId="16" xfId="13" applyFill="1" applyBorder="1"/>
    <xf numFmtId="0" fontId="17" fillId="16" borderId="16" xfId="13" applyFont="1" applyFill="1" applyBorder="1"/>
    <xf numFmtId="0" fontId="17" fillId="16" borderId="6" xfId="13" applyFont="1" applyFill="1" applyBorder="1"/>
    <xf numFmtId="0" fontId="17" fillId="15" borderId="9" xfId="13" applyFont="1" applyFill="1" applyBorder="1" applyAlignment="1">
      <alignment horizontal="center"/>
    </xf>
    <xf numFmtId="0" fontId="17" fillId="15" borderId="27" xfId="13" applyFont="1" applyFill="1" applyBorder="1" applyAlignment="1">
      <alignment horizontal="center"/>
    </xf>
    <xf numFmtId="0" fontId="17" fillId="15" borderId="28" xfId="13" applyFont="1" applyFill="1" applyBorder="1" applyAlignment="1">
      <alignment horizontal="left"/>
    </xf>
    <xf numFmtId="0" fontId="17" fillId="16" borderId="25" xfId="13" applyFont="1" applyFill="1" applyBorder="1" applyAlignment="1">
      <alignment horizontal="left"/>
    </xf>
    <xf numFmtId="0" fontId="17" fillId="16" borderId="9" xfId="13" applyFont="1" applyFill="1" applyBorder="1"/>
    <xf numFmtId="0" fontId="17" fillId="15" borderId="9" xfId="13" applyFont="1" applyFill="1" applyBorder="1" applyAlignment="1">
      <alignment horizontal="left"/>
    </xf>
    <xf numFmtId="0" fontId="17" fillId="15" borderId="9" xfId="13" applyFont="1" applyFill="1" applyBorder="1"/>
    <xf numFmtId="0" fontId="17" fillId="18" borderId="29" xfId="13" applyFont="1" applyFill="1" applyBorder="1" applyAlignment="1">
      <alignment horizontal="left"/>
    </xf>
    <xf numFmtId="0" fontId="17" fillId="15" borderId="15" xfId="13" applyFont="1" applyFill="1" applyBorder="1"/>
    <xf numFmtId="0" fontId="17" fillId="15" borderId="7" xfId="13" applyFont="1" applyFill="1" applyBorder="1" applyAlignment="1">
      <alignment horizontal="left"/>
    </xf>
    <xf numFmtId="0" fontId="17" fillId="15" borderId="17" xfId="13" applyFont="1" applyFill="1" applyBorder="1" applyAlignment="1">
      <alignment horizontal="center"/>
    </xf>
    <xf numFmtId="0" fontId="17" fillId="18" borderId="7" xfId="13" applyFont="1" applyFill="1" applyBorder="1" applyAlignment="1">
      <alignment horizontal="right"/>
    </xf>
    <xf numFmtId="0" fontId="17" fillId="18" borderId="10" xfId="13" applyFont="1" applyFill="1" applyBorder="1" applyAlignment="1">
      <alignment horizontal="right"/>
    </xf>
    <xf numFmtId="0" fontId="17" fillId="18" borderId="7" xfId="13" applyFont="1" applyFill="1" applyBorder="1"/>
    <xf numFmtId="0" fontId="17" fillId="18" borderId="10" xfId="13" applyFont="1" applyFill="1" applyBorder="1"/>
    <xf numFmtId="0" fontId="17" fillId="15" borderId="25" xfId="13" applyFont="1" applyFill="1" applyBorder="1" applyAlignment="1">
      <alignment horizontal="center"/>
    </xf>
    <xf numFmtId="0" fontId="11" fillId="15" borderId="26" xfId="13" applyFill="1" applyBorder="1"/>
    <xf numFmtId="0" fontId="17" fillId="16" borderId="7" xfId="13" applyFont="1" applyFill="1" applyBorder="1"/>
    <xf numFmtId="0" fontId="17" fillId="16" borderId="15" xfId="13" applyFont="1" applyFill="1" applyBorder="1"/>
    <xf numFmtId="0" fontId="17" fillId="16" borderId="10" xfId="13" applyFont="1" applyFill="1" applyBorder="1"/>
    <xf numFmtId="0" fontId="17" fillId="16" borderId="0" xfId="13" applyFont="1" applyFill="1"/>
    <xf numFmtId="0" fontId="17" fillId="16" borderId="27" xfId="13" applyFont="1" applyFill="1" applyBorder="1"/>
    <xf numFmtId="0" fontId="17" fillId="16" borderId="30" xfId="13" applyFont="1" applyFill="1" applyBorder="1"/>
    <xf numFmtId="0" fontId="17" fillId="16" borderId="31" xfId="13" applyFont="1" applyFill="1" applyBorder="1"/>
    <xf numFmtId="0" fontId="17" fillId="18" borderId="28" xfId="13" applyFont="1" applyFill="1" applyBorder="1"/>
    <xf numFmtId="0" fontId="17" fillId="18" borderId="25" xfId="13" applyFont="1" applyFill="1" applyBorder="1"/>
    <xf numFmtId="0" fontId="11" fillId="16" borderId="30" xfId="13" applyFill="1" applyBorder="1"/>
    <xf numFmtId="0" fontId="17" fillId="15" borderId="21" xfId="13" applyFont="1" applyFill="1" applyBorder="1" applyAlignment="1">
      <alignment horizontal="center"/>
    </xf>
    <xf numFmtId="0" fontId="17" fillId="16" borderId="30" xfId="13" applyFont="1" applyFill="1" applyBorder="1" applyAlignment="1">
      <alignment horizontal="left"/>
    </xf>
    <xf numFmtId="0" fontId="17" fillId="16" borderId="31" xfId="13" applyFont="1" applyFill="1" applyBorder="1" applyAlignment="1">
      <alignment horizontal="left"/>
    </xf>
    <xf numFmtId="0" fontId="17" fillId="16" borderId="17" xfId="13" applyFont="1" applyFill="1" applyBorder="1"/>
    <xf numFmtId="0" fontId="11" fillId="16" borderId="8" xfId="13" applyFill="1" applyBorder="1"/>
    <xf numFmtId="0" fontId="11" fillId="16" borderId="0" xfId="13" applyFill="1"/>
    <xf numFmtId="0" fontId="11" fillId="16" borderId="2" xfId="13" applyFill="1" applyBorder="1"/>
    <xf numFmtId="0" fontId="11" fillId="16" borderId="31" xfId="13" applyFill="1" applyBorder="1"/>
    <xf numFmtId="0" fontId="17" fillId="17" borderId="30" xfId="13" applyFont="1" applyFill="1" applyBorder="1"/>
    <xf numFmtId="0" fontId="17" fillId="17" borderId="31" xfId="13" applyFont="1" applyFill="1" applyBorder="1"/>
    <xf numFmtId="0" fontId="17" fillId="17" borderId="17" xfId="13" applyFont="1" applyFill="1" applyBorder="1"/>
    <xf numFmtId="0" fontId="18" fillId="17" borderId="21" xfId="13" applyFont="1" applyFill="1" applyBorder="1"/>
    <xf numFmtId="0" fontId="17" fillId="15" borderId="0" xfId="13" applyFont="1" applyFill="1"/>
    <xf numFmtId="0" fontId="17" fillId="15" borderId="28" xfId="13" applyFont="1" applyFill="1" applyBorder="1" applyAlignment="1">
      <alignment horizontal="left" vertical="top"/>
    </xf>
    <xf numFmtId="0" fontId="22" fillId="0" borderId="0" xfId="13" applyFont="1"/>
    <xf numFmtId="0" fontId="17" fillId="15" borderId="32" xfId="13" applyFont="1" applyFill="1" applyBorder="1" applyAlignment="1">
      <alignment horizontal="left" vertical="top"/>
    </xf>
    <xf numFmtId="0" fontId="13" fillId="15" borderId="29" xfId="13" applyFont="1" applyFill="1" applyBorder="1" applyAlignment="1">
      <alignment horizontal="right"/>
    </xf>
    <xf numFmtId="0" fontId="11" fillId="15" borderId="6" xfId="13" applyFill="1" applyBorder="1"/>
    <xf numFmtId="0" fontId="11" fillId="16" borderId="15" xfId="13" applyFill="1" applyBorder="1"/>
    <xf numFmtId="0" fontId="14" fillId="19" borderId="7" xfId="13" applyFont="1" applyFill="1" applyBorder="1"/>
    <xf numFmtId="0" fontId="11" fillId="19" borderId="27" xfId="13" applyFill="1" applyBorder="1"/>
    <xf numFmtId="0" fontId="11" fillId="19" borderId="15" xfId="13" applyFill="1" applyBorder="1"/>
    <xf numFmtId="0" fontId="11" fillId="19" borderId="30" xfId="13" applyFill="1" applyBorder="1"/>
    <xf numFmtId="0" fontId="11" fillId="19" borderId="34" xfId="13" applyFill="1" applyBorder="1"/>
    <xf numFmtId="0" fontId="11" fillId="19" borderId="35" xfId="13" applyFill="1" applyBorder="1"/>
    <xf numFmtId="0" fontId="17" fillId="20" borderId="36" xfId="13" applyFont="1" applyFill="1" applyBorder="1"/>
    <xf numFmtId="0" fontId="23" fillId="21" borderId="37" xfId="13" applyFont="1" applyFill="1" applyBorder="1"/>
    <xf numFmtId="0" fontId="14" fillId="21" borderId="37" xfId="13" applyFont="1" applyFill="1" applyBorder="1"/>
    <xf numFmtId="0" fontId="23" fillId="21" borderId="32" xfId="13" applyFont="1" applyFill="1" applyBorder="1"/>
    <xf numFmtId="0" fontId="16" fillId="21" borderId="38" xfId="13" applyFont="1" applyFill="1" applyBorder="1"/>
    <xf numFmtId="0" fontId="16" fillId="21" borderId="0" xfId="13" applyFont="1" applyFill="1"/>
    <xf numFmtId="0" fontId="23" fillId="21" borderId="0" xfId="13" applyFont="1" applyFill="1"/>
    <xf numFmtId="0" fontId="24" fillId="21" borderId="0" xfId="13" applyFont="1" applyFill="1"/>
    <xf numFmtId="0" fontId="23" fillId="21" borderId="30" xfId="13" applyFont="1" applyFill="1" applyBorder="1"/>
    <xf numFmtId="0" fontId="16" fillId="21" borderId="39" xfId="13" applyFont="1" applyFill="1" applyBorder="1"/>
    <xf numFmtId="0" fontId="16" fillId="21" borderId="36" xfId="13" applyFont="1" applyFill="1" applyBorder="1"/>
    <xf numFmtId="0" fontId="23" fillId="21" borderId="36" xfId="13" applyFont="1" applyFill="1" applyBorder="1"/>
    <xf numFmtId="0" fontId="23" fillId="21" borderId="35" xfId="13" applyFont="1" applyFill="1" applyBorder="1"/>
    <xf numFmtId="0" fontId="14" fillId="21" borderId="0" xfId="13" applyFont="1" applyFill="1"/>
    <xf numFmtId="0" fontId="14" fillId="21" borderId="36" xfId="13" applyFont="1" applyFill="1" applyBorder="1"/>
    <xf numFmtId="0" fontId="26" fillId="21" borderId="36" xfId="13" applyFont="1" applyFill="1" applyBorder="1"/>
    <xf numFmtId="0" fontId="26" fillId="22" borderId="40" xfId="13" applyFont="1" applyFill="1" applyBorder="1"/>
    <xf numFmtId="0" fontId="26" fillId="22" borderId="33" xfId="13" applyFont="1" applyFill="1" applyBorder="1"/>
    <xf numFmtId="0" fontId="17" fillId="15" borderId="37" xfId="13" applyFont="1" applyFill="1" applyBorder="1" applyAlignment="1">
      <alignment horizontal="left"/>
    </xf>
    <xf numFmtId="0" fontId="11" fillId="15" borderId="2" xfId="13" applyFill="1" applyBorder="1"/>
    <xf numFmtId="0" fontId="17" fillId="15" borderId="2" xfId="13" applyFont="1" applyFill="1" applyBorder="1"/>
    <xf numFmtId="0" fontId="17" fillId="16" borderId="8" xfId="13" applyFont="1" applyFill="1" applyBorder="1"/>
    <xf numFmtId="0" fontId="17" fillId="16" borderId="2" xfId="13" applyFont="1" applyFill="1" applyBorder="1"/>
    <xf numFmtId="0" fontId="11" fillId="16" borderId="36" xfId="13" applyFill="1" applyBorder="1"/>
    <xf numFmtId="0" fontId="17" fillId="20" borderId="8" xfId="13" applyFont="1" applyFill="1" applyBorder="1"/>
    <xf numFmtId="0" fontId="17" fillId="20" borderId="0" xfId="13" applyFont="1" applyFill="1"/>
    <xf numFmtId="0" fontId="11" fillId="0" borderId="37" xfId="13" applyBorder="1"/>
    <xf numFmtId="0" fontId="11" fillId="0" borderId="32" xfId="13" applyBorder="1"/>
    <xf numFmtId="0" fontId="14" fillId="21" borderId="38" xfId="13" applyFont="1" applyFill="1" applyBorder="1"/>
    <xf numFmtId="0" fontId="11" fillId="0" borderId="41" xfId="13" applyBorder="1"/>
    <xf numFmtId="0" fontId="11" fillId="0" borderId="38" xfId="13" applyBorder="1"/>
    <xf numFmtId="0" fontId="11" fillId="0" borderId="30" xfId="13" applyBorder="1"/>
    <xf numFmtId="0" fontId="11" fillId="0" borderId="39" xfId="13" applyBorder="1"/>
    <xf numFmtId="0" fontId="11" fillId="0" borderId="36" xfId="13" applyBorder="1"/>
    <xf numFmtId="0" fontId="11" fillId="0" borderId="35" xfId="13" applyBorder="1"/>
    <xf numFmtId="0" fontId="11" fillId="0" borderId="8" xfId="13" applyBorder="1"/>
    <xf numFmtId="0" fontId="11" fillId="0" borderId="9" xfId="13" applyBorder="1"/>
    <xf numFmtId="0" fontId="11" fillId="0" borderId="16" xfId="13" applyBorder="1"/>
    <xf numFmtId="0" fontId="11" fillId="0" borderId="10" xfId="13" applyBorder="1"/>
    <xf numFmtId="0" fontId="11" fillId="0" borderId="2" xfId="13" applyBorder="1"/>
    <xf numFmtId="0" fontId="11" fillId="0" borderId="6" xfId="13" applyBorder="1"/>
    <xf numFmtId="0" fontId="11" fillId="0" borderId="20" xfId="13" applyBorder="1"/>
    <xf numFmtId="0" fontId="11" fillId="0" borderId="19" xfId="13" applyBorder="1"/>
    <xf numFmtId="0" fontId="27" fillId="0" borderId="18" xfId="13" applyFont="1" applyBorder="1"/>
    <xf numFmtId="0" fontId="25" fillId="21" borderId="40" xfId="13" applyFont="1" applyFill="1" applyBorder="1"/>
    <xf numFmtId="0" fontId="23" fillId="21" borderId="23" xfId="13" applyFont="1" applyFill="1" applyBorder="1"/>
    <xf numFmtId="0" fontId="12" fillId="0" borderId="0" xfId="13" applyFont="1"/>
    <xf numFmtId="0" fontId="12" fillId="0" borderId="16" xfId="13" applyFont="1" applyBorder="1"/>
    <xf numFmtId="0" fontId="12" fillId="0" borderId="15" xfId="13" applyFont="1" applyBorder="1"/>
    <xf numFmtId="0" fontId="11" fillId="0" borderId="15" xfId="13" applyBorder="1"/>
    <xf numFmtId="0" fontId="11" fillId="0" borderId="7" xfId="13" applyBorder="1"/>
    <xf numFmtId="0" fontId="2" fillId="3" borderId="19" xfId="2" applyFont="1" applyBorder="1"/>
    <xf numFmtId="0" fontId="1" fillId="3" borderId="1" xfId="2" applyBorder="1"/>
    <xf numFmtId="0" fontId="2" fillId="14" borderId="18" xfId="12" applyFont="1" applyBorder="1" applyAlignment="1"/>
    <xf numFmtId="0" fontId="2" fillId="14" borderId="1" xfId="12" applyFont="1" applyBorder="1"/>
    <xf numFmtId="165" fontId="2" fillId="0" borderId="1" xfId="0" applyNumberFormat="1" applyFont="1" applyBorder="1"/>
    <xf numFmtId="2" fontId="2" fillId="0" borderId="21" xfId="0" applyNumberFormat="1" applyFont="1" applyBorder="1"/>
    <xf numFmtId="2" fontId="2" fillId="0" borderId="0" xfId="0" applyNumberFormat="1" applyFont="1"/>
    <xf numFmtId="2" fontId="0" fillId="0" borderId="0" xfId="0" applyNumberFormat="1"/>
    <xf numFmtId="166" fontId="2" fillId="0" borderId="1" xfId="0" applyNumberFormat="1" applyFont="1" applyBorder="1"/>
    <xf numFmtId="2" fontId="2" fillId="0" borderId="17" xfId="0" applyNumberFormat="1" applyFont="1" applyBorder="1"/>
    <xf numFmtId="0" fontId="0" fillId="0" borderId="8" xfId="0" applyBorder="1"/>
    <xf numFmtId="0" fontId="2" fillId="3" borderId="18" xfId="2" applyFont="1" applyBorder="1"/>
    <xf numFmtId="2" fontId="2" fillId="0" borderId="18" xfId="0" applyNumberFormat="1" applyFont="1" applyBorder="1"/>
    <xf numFmtId="2" fontId="0" fillId="0" borderId="15" xfId="0" applyNumberFormat="1" applyBorder="1"/>
    <xf numFmtId="0" fontId="30" fillId="0" borderId="0" xfId="0" applyFont="1"/>
    <xf numFmtId="0" fontId="32" fillId="11" borderId="1" xfId="9" applyFont="1" applyBorder="1" applyAlignment="1"/>
    <xf numFmtId="0" fontId="32" fillId="11" borderId="1" xfId="9" applyFont="1" applyBorder="1"/>
    <xf numFmtId="0" fontId="32" fillId="0" borderId="1" xfId="0" applyFont="1" applyBorder="1"/>
    <xf numFmtId="0" fontId="33" fillId="10" borderId="1" xfId="8" applyFont="1" applyBorder="1"/>
    <xf numFmtId="0" fontId="32" fillId="0" borderId="0" xfId="0" applyFont="1"/>
    <xf numFmtId="0" fontId="32" fillId="11" borderId="1" xfId="9" applyFont="1" applyBorder="1" applyAlignment="1">
      <alignment horizontal="center"/>
    </xf>
    <xf numFmtId="0" fontId="33" fillId="10" borderId="0" xfId="8" applyFont="1"/>
    <xf numFmtId="0" fontId="32" fillId="11" borderId="1" xfId="9" applyFont="1" applyBorder="1" applyAlignment="1">
      <alignment vertical="center"/>
    </xf>
    <xf numFmtId="2" fontId="2" fillId="0" borderId="1" xfId="0" applyNumberFormat="1" applyFont="1" applyBorder="1" applyAlignment="1">
      <alignment horizontal="right"/>
    </xf>
    <xf numFmtId="2" fontId="8" fillId="9" borderId="1" xfId="2" applyNumberFormat="1" applyFont="1" applyFill="1" applyBorder="1"/>
    <xf numFmtId="167" fontId="2" fillId="0" borderId="1" xfId="0" applyNumberFormat="1" applyFont="1" applyBorder="1" applyAlignment="1">
      <alignment horizontal="center" vertical="center"/>
    </xf>
    <xf numFmtId="167" fontId="2" fillId="0" borderId="1" xfId="0" applyNumberFormat="1" applyFont="1" applyBorder="1"/>
    <xf numFmtId="9" fontId="2" fillId="0" borderId="1" xfId="15" applyFont="1" applyBorder="1"/>
    <xf numFmtId="1" fontId="2" fillId="0" borderId="1" xfId="0" applyNumberFormat="1" applyFont="1" applyBorder="1"/>
    <xf numFmtId="167" fontId="2" fillId="0" borderId="1" xfId="14" applyNumberFormat="1" applyFont="1" applyBorder="1"/>
    <xf numFmtId="167" fontId="2" fillId="0" borderId="1" xfId="0" applyNumberFormat="1" applyFont="1" applyBorder="1" applyAlignment="1">
      <alignment horizontal="right"/>
    </xf>
    <xf numFmtId="167" fontId="2" fillId="3" borderId="1" xfId="2" applyNumberFormat="1" applyFont="1" applyBorder="1"/>
    <xf numFmtId="167" fontId="0" fillId="0" borderId="0" xfId="0" applyNumberFormat="1"/>
    <xf numFmtId="167" fontId="2" fillId="0" borderId="17" xfId="0" applyNumberFormat="1" applyFont="1" applyBorder="1"/>
    <xf numFmtId="167" fontId="2" fillId="0" borderId="0" xfId="0" applyNumberFormat="1" applyFont="1"/>
    <xf numFmtId="0" fontId="32" fillId="11" borderId="18" xfId="9" applyFont="1" applyBorder="1" applyAlignment="1">
      <alignment horizontal="center" vertical="center"/>
    </xf>
    <xf numFmtId="0" fontId="32" fillId="11" borderId="20" xfId="9" applyFont="1" applyBorder="1" applyAlignment="1">
      <alignment horizontal="center" vertical="center"/>
    </xf>
    <xf numFmtId="0" fontId="32" fillId="11" borderId="19" xfId="9" applyFont="1" applyBorder="1" applyAlignment="1">
      <alignment horizontal="center" vertical="center"/>
    </xf>
    <xf numFmtId="0" fontId="32" fillId="0" borderId="7"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32" fillId="0" borderId="10" xfId="0" applyFont="1" applyBorder="1" applyAlignment="1">
      <alignment horizontal="center" vertical="center"/>
    </xf>
    <xf numFmtId="0" fontId="32" fillId="0" borderId="2" xfId="0" applyFont="1" applyBorder="1" applyAlignment="1">
      <alignment horizontal="center" vertical="center"/>
    </xf>
    <xf numFmtId="0" fontId="32" fillId="0" borderId="6" xfId="0" applyFont="1" applyBorder="1" applyAlignment="1">
      <alignment horizontal="center" vertical="center"/>
    </xf>
    <xf numFmtId="0" fontId="34" fillId="10" borderId="17" xfId="8" applyFont="1" applyBorder="1" applyAlignment="1">
      <alignment horizontal="center"/>
    </xf>
    <xf numFmtId="0" fontId="34" fillId="10" borderId="22" xfId="8" applyFont="1" applyBorder="1" applyAlignment="1">
      <alignment horizontal="center"/>
    </xf>
    <xf numFmtId="0" fontId="32" fillId="11" borderId="1" xfId="9" applyFont="1" applyBorder="1" applyAlignment="1">
      <alignment horizontal="center"/>
    </xf>
    <xf numFmtId="0" fontId="32" fillId="0" borderId="1" xfId="0" applyFont="1" applyBorder="1" applyAlignment="1">
      <alignment horizontal="right"/>
    </xf>
    <xf numFmtId="0" fontId="32" fillId="11" borderId="1" xfId="9" applyFont="1" applyBorder="1" applyAlignment="1">
      <alignment horizontal="left" vertical="center"/>
    </xf>
    <xf numFmtId="0" fontId="32" fillId="0" borderId="18" xfId="0" applyFont="1" applyBorder="1" applyAlignment="1">
      <alignment horizontal="center"/>
    </xf>
    <xf numFmtId="0" fontId="32" fillId="0" borderId="20" xfId="0" applyFont="1" applyBorder="1" applyAlignment="1">
      <alignment horizontal="center"/>
    </xf>
    <xf numFmtId="0" fontId="32" fillId="0" borderId="19" xfId="0" applyFont="1" applyBorder="1" applyAlignment="1">
      <alignment horizontal="center"/>
    </xf>
    <xf numFmtId="0" fontId="32" fillId="0" borderId="1" xfId="0" applyFont="1" applyBorder="1" applyAlignment="1">
      <alignment horizontal="center"/>
    </xf>
    <xf numFmtId="0" fontId="30" fillId="0" borderId="1" xfId="0" applyFont="1" applyBorder="1" applyAlignment="1">
      <alignment horizontal="center"/>
    </xf>
    <xf numFmtId="0" fontId="32" fillId="11" borderId="18" xfId="9" applyFont="1" applyBorder="1" applyAlignment="1">
      <alignment horizontal="center"/>
    </xf>
    <xf numFmtId="0" fontId="32" fillId="11" borderId="20" xfId="9" applyFont="1" applyBorder="1" applyAlignment="1">
      <alignment horizontal="center"/>
    </xf>
    <xf numFmtId="0" fontId="32" fillId="11" borderId="19" xfId="9" applyFont="1" applyBorder="1" applyAlignment="1">
      <alignment horizontal="center"/>
    </xf>
    <xf numFmtId="0" fontId="31" fillId="0" borderId="1" xfId="0" applyFont="1" applyBorder="1" applyAlignment="1">
      <alignment horizontal="center" vertical="center"/>
    </xf>
    <xf numFmtId="0" fontId="35" fillId="0" borderId="1" xfId="0" applyFont="1" applyBorder="1" applyAlignment="1">
      <alignment horizontal="center" vertical="center"/>
    </xf>
    <xf numFmtId="0" fontId="31" fillId="0" borderId="7" xfId="0" applyFont="1" applyBorder="1" applyAlignment="1">
      <alignment horizontal="center" vertical="center"/>
    </xf>
    <xf numFmtId="0" fontId="31" fillId="0" borderId="8" xfId="0" applyFont="1" applyBorder="1" applyAlignment="1">
      <alignment horizontal="center" vertical="center"/>
    </xf>
    <xf numFmtId="0" fontId="31" fillId="0" borderId="9" xfId="0" applyFont="1" applyBorder="1" applyAlignment="1">
      <alignment horizontal="center" vertical="center"/>
    </xf>
    <xf numFmtId="0" fontId="31" fillId="0" borderId="10" xfId="0" applyFont="1" applyBorder="1" applyAlignment="1">
      <alignment horizontal="center" vertical="center"/>
    </xf>
    <xf numFmtId="0" fontId="31" fillId="0" borderId="2" xfId="0" applyFont="1" applyBorder="1" applyAlignment="1">
      <alignment horizontal="center" vertical="center"/>
    </xf>
    <xf numFmtId="0" fontId="31" fillId="0" borderId="6" xfId="0" applyFont="1" applyBorder="1" applyAlignment="1">
      <alignment horizontal="center" vertical="center"/>
    </xf>
    <xf numFmtId="0" fontId="2" fillId="0" borderId="1" xfId="0" applyFont="1" applyBorder="1" applyAlignment="1">
      <alignment horizontal="right"/>
    </xf>
    <xf numFmtId="0" fontId="4" fillId="0" borderId="1" xfId="0" applyFont="1" applyBorder="1" applyAlignment="1">
      <alignment horizontal="center"/>
    </xf>
    <xf numFmtId="0" fontId="0" fillId="0" borderId="8" xfId="0" applyBorder="1" applyAlignment="1">
      <alignment horizontal="center"/>
    </xf>
    <xf numFmtId="2" fontId="2" fillId="0" borderId="18" xfId="0" applyNumberFormat="1" applyFont="1" applyBorder="1" applyAlignment="1">
      <alignment horizontal="right"/>
    </xf>
    <xf numFmtId="0" fontId="2" fillId="0" borderId="19" xfId="0" applyFont="1" applyBorder="1" applyAlignment="1">
      <alignment horizontal="right"/>
    </xf>
    <xf numFmtId="0" fontId="2" fillId="4" borderId="1" xfId="3" applyFont="1" applyBorder="1" applyAlignment="1">
      <alignment horizontal="center"/>
    </xf>
    <xf numFmtId="0" fontId="2" fillId="7" borderId="1" xfId="6" applyFont="1" applyBorder="1" applyAlignment="1">
      <alignment horizontal="center"/>
    </xf>
    <xf numFmtId="0" fontId="6" fillId="0" borderId="20" xfId="0" applyFont="1" applyBorder="1" applyAlignment="1">
      <alignment horizontal="center" vertical="center" wrapText="1"/>
    </xf>
    <xf numFmtId="0" fontId="0" fillId="0" borderId="20" xfId="0" applyBorder="1" applyAlignment="1">
      <alignment horizontal="center"/>
    </xf>
    <xf numFmtId="0" fontId="5" fillId="0" borderId="1" xfId="0" applyFont="1" applyBorder="1" applyAlignment="1">
      <alignment horizontal="center"/>
    </xf>
    <xf numFmtId="0" fontId="0" fillId="0" borderId="1" xfId="0" applyBorder="1" applyAlignment="1">
      <alignment horizontal="center"/>
    </xf>
    <xf numFmtId="0" fontId="2" fillId="8" borderId="1" xfId="7" applyFont="1" applyBorder="1" applyAlignment="1">
      <alignment horizontal="center"/>
    </xf>
    <xf numFmtId="0" fontId="3" fillId="2" borderId="1" xfId="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0" fontId="2" fillId="6" borderId="1" xfId="5" applyFont="1" applyBorder="1" applyAlignment="1">
      <alignment horizontal="center"/>
    </xf>
    <xf numFmtId="0" fontId="2" fillId="0" borderId="18" xfId="0" applyFont="1" applyBorder="1" applyAlignment="1">
      <alignment horizontal="right" wrapText="1"/>
    </xf>
    <xf numFmtId="0" fontId="2" fillId="0" borderId="19" xfId="0" applyFont="1" applyBorder="1" applyAlignment="1">
      <alignment horizontal="right" wrapText="1"/>
    </xf>
    <xf numFmtId="2" fontId="2" fillId="0" borderId="1" xfId="0" applyNumberFormat="1" applyFont="1" applyBorder="1" applyAlignment="1">
      <alignment horizontal="right"/>
    </xf>
    <xf numFmtId="2" fontId="2" fillId="0" borderId="1" xfId="0" applyNumberFormat="1" applyFont="1" applyBorder="1"/>
    <xf numFmtId="0" fontId="6" fillId="0" borderId="18" xfId="0" applyFont="1" applyBorder="1" applyAlignment="1">
      <alignment horizontal="right" vertical="center" wrapText="1"/>
    </xf>
    <xf numFmtId="0" fontId="6" fillId="0" borderId="19" xfId="0" applyFont="1" applyBorder="1" applyAlignment="1">
      <alignment horizontal="right" vertical="center" wrapText="1"/>
    </xf>
    <xf numFmtId="0" fontId="2" fillId="8" borderId="1" xfId="7" applyFont="1" applyBorder="1" applyAlignment="1">
      <alignment horizontal="center" wrapText="1"/>
    </xf>
    <xf numFmtId="0" fontId="2" fillId="0" borderId="18" xfId="0" applyFont="1" applyBorder="1" applyAlignment="1">
      <alignment horizontal="right"/>
    </xf>
    <xf numFmtId="0" fontId="2" fillId="0" borderId="18" xfId="0" applyFont="1" applyBorder="1" applyAlignment="1">
      <alignment horizontal="left"/>
    </xf>
    <xf numFmtId="0" fontId="2" fillId="0" borderId="19" xfId="0" applyFont="1" applyBorder="1" applyAlignment="1">
      <alignment horizontal="left"/>
    </xf>
    <xf numFmtId="0" fontId="2" fillId="0" borderId="1" xfId="0" applyFont="1" applyBorder="1" applyAlignment="1">
      <alignment horizontal="left"/>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0" fontId="2" fillId="3" borderId="18" xfId="2" applyFont="1" applyBorder="1" applyAlignment="1">
      <alignment horizontal="left"/>
    </xf>
    <xf numFmtId="0" fontId="2" fillId="3" borderId="19" xfId="2" applyFont="1" applyBorder="1" applyAlignment="1">
      <alignment horizontal="left"/>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2" fillId="3" borderId="1" xfId="2" applyFont="1" applyBorder="1" applyAlignment="1">
      <alignment horizontal="center"/>
    </xf>
    <xf numFmtId="0" fontId="2" fillId="3" borderId="1" xfId="2" applyFont="1" applyBorder="1" applyAlignment="1">
      <alignment horizontal="center" vertical="center"/>
    </xf>
    <xf numFmtId="0" fontId="2" fillId="0" borderId="20" xfId="0" applyFont="1" applyBorder="1" applyAlignment="1">
      <alignment horizontal="right"/>
    </xf>
    <xf numFmtId="0" fontId="2" fillId="3" borderId="18" xfId="2" applyFont="1" applyBorder="1" applyAlignment="1">
      <alignment horizontal="center"/>
    </xf>
    <xf numFmtId="0" fontId="2" fillId="3" borderId="19" xfId="2" applyFont="1"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2" fillId="3" borderId="17" xfId="2" applyFont="1" applyBorder="1" applyAlignment="1">
      <alignment horizontal="center" vertical="center"/>
    </xf>
    <xf numFmtId="0" fontId="2" fillId="3" borderId="21" xfId="2" applyFont="1" applyBorder="1" applyAlignment="1">
      <alignment horizontal="center" vertical="center"/>
    </xf>
    <xf numFmtId="0" fontId="2" fillId="3" borderId="22" xfId="2" applyFont="1" applyBorder="1" applyAlignment="1">
      <alignment horizontal="center" vertical="center"/>
    </xf>
    <xf numFmtId="2" fontId="2" fillId="0" borderId="19" xfId="0" applyNumberFormat="1" applyFont="1" applyBorder="1" applyAlignment="1">
      <alignment horizontal="right"/>
    </xf>
    <xf numFmtId="0" fontId="2" fillId="0" borderId="1" xfId="0" applyFont="1" applyBorder="1" applyAlignment="1">
      <alignment horizontal="center" vertical="center"/>
    </xf>
    <xf numFmtId="0" fontId="7" fillId="0" borderId="1" xfId="0" applyFont="1" applyBorder="1" applyAlignment="1">
      <alignment horizontal="center" vertical="center"/>
    </xf>
    <xf numFmtId="167" fontId="2" fillId="0" borderId="18" xfId="0" applyNumberFormat="1" applyFont="1" applyBorder="1" applyAlignment="1">
      <alignment horizontal="right"/>
    </xf>
    <xf numFmtId="167" fontId="2" fillId="0" borderId="19" xfId="0" applyNumberFormat="1" applyFont="1" applyBorder="1" applyAlignment="1">
      <alignment horizontal="right"/>
    </xf>
    <xf numFmtId="167" fontId="2" fillId="0" borderId="1" xfId="0" applyNumberFormat="1" applyFont="1" applyBorder="1" applyAlignment="1">
      <alignment horizontal="right"/>
    </xf>
    <xf numFmtId="0" fontId="29" fillId="0" borderId="1" xfId="0" applyFont="1" applyBorder="1" applyAlignment="1">
      <alignment horizontal="center"/>
    </xf>
    <xf numFmtId="2" fontId="2" fillId="0" borderId="20" xfId="0" applyNumberFormat="1" applyFont="1" applyBorder="1" applyAlignment="1">
      <alignment horizontal="right"/>
    </xf>
    <xf numFmtId="167" fontId="2" fillId="0" borderId="20" xfId="0" applyNumberFormat="1" applyFont="1" applyBorder="1" applyAlignment="1">
      <alignment horizontal="right"/>
    </xf>
    <xf numFmtId="0" fontId="3" fillId="14" borderId="1" xfId="12" applyFont="1" applyBorder="1" applyAlignment="1">
      <alignment horizontal="left"/>
    </xf>
    <xf numFmtId="0" fontId="12" fillId="0" borderId="1" xfId="13" applyFont="1" applyBorder="1" applyAlignment="1">
      <alignment horizontal="center"/>
    </xf>
    <xf numFmtId="0" fontId="12" fillId="0" borderId="2" xfId="13" applyFont="1" applyBorder="1" applyAlignment="1">
      <alignment horizontal="center"/>
    </xf>
    <xf numFmtId="0" fontId="12" fillId="0" borderId="6" xfId="13" applyFont="1" applyBorder="1" applyAlignment="1">
      <alignment horizontal="center"/>
    </xf>
    <xf numFmtId="0" fontId="12" fillId="0" borderId="10" xfId="13" applyFont="1" applyBorder="1" applyAlignment="1">
      <alignment horizontal="center"/>
    </xf>
    <xf numFmtId="0" fontId="2" fillId="13" borderId="18" xfId="11" applyFont="1" applyBorder="1" applyAlignment="1">
      <alignment horizontal="left"/>
    </xf>
    <xf numFmtId="0" fontId="2" fillId="13" borderId="19" xfId="11" applyFont="1" applyBorder="1" applyAlignment="1">
      <alignment horizontal="left"/>
    </xf>
    <xf numFmtId="0" fontId="11" fillId="0" borderId="23" xfId="13" applyBorder="1" applyAlignment="1">
      <alignment horizontal="center"/>
    </xf>
    <xf numFmtId="0" fontId="11" fillId="0" borderId="24" xfId="13" applyBorder="1" applyAlignment="1">
      <alignment horizontal="center"/>
    </xf>
    <xf numFmtId="0" fontId="12" fillId="0" borderId="0" xfId="13" applyFont="1" applyAlignment="1">
      <alignment horizontal="center"/>
    </xf>
    <xf numFmtId="0" fontId="12" fillId="0" borderId="23" xfId="13" applyFont="1" applyBorder="1" applyAlignment="1">
      <alignment horizontal="center"/>
    </xf>
    <xf numFmtId="0" fontId="11" fillId="0" borderId="0" xfId="13" applyAlignment="1">
      <alignment horizontal="center"/>
    </xf>
    <xf numFmtId="44" fontId="2" fillId="0" borderId="1" xfId="16" applyFont="1" applyBorder="1" applyAlignment="1">
      <alignment horizontal="right"/>
    </xf>
    <xf numFmtId="44" fontId="6" fillId="0" borderId="1" xfId="16" applyFont="1" applyBorder="1" applyAlignment="1">
      <alignment vertical="center" wrapText="1"/>
    </xf>
    <xf numFmtId="44" fontId="6" fillId="0" borderId="18" xfId="16" applyFont="1" applyBorder="1" applyAlignment="1">
      <alignment horizontal="right" vertical="center" wrapText="1"/>
    </xf>
    <xf numFmtId="44" fontId="6" fillId="0" borderId="19" xfId="16" applyFont="1" applyBorder="1" applyAlignment="1">
      <alignment horizontal="right" vertical="center" wrapText="1"/>
    </xf>
    <xf numFmtId="44" fontId="2" fillId="0" borderId="1" xfId="16" applyFont="1" applyBorder="1"/>
    <xf numFmtId="44" fontId="2" fillId="0" borderId="18" xfId="16" applyFont="1" applyBorder="1" applyAlignment="1">
      <alignment horizontal="right" wrapText="1"/>
    </xf>
    <xf numFmtId="44" fontId="2" fillId="0" borderId="19" xfId="16" applyFont="1" applyBorder="1" applyAlignment="1">
      <alignment horizontal="right" wrapText="1"/>
    </xf>
    <xf numFmtId="44" fontId="2" fillId="0" borderId="18" xfId="16" applyFont="1" applyBorder="1" applyAlignment="1">
      <alignment horizontal="right"/>
    </xf>
    <xf numFmtId="44" fontId="2" fillId="0" borderId="19" xfId="16" applyFont="1" applyBorder="1" applyAlignment="1">
      <alignment horizontal="right"/>
    </xf>
  </cellXfs>
  <cellStyles count="17">
    <cellStyle name="20% - Accent1" xfId="11" builtinId="30"/>
    <cellStyle name="20% - Accent2" xfId="3" builtinId="34"/>
    <cellStyle name="20% - Accent3" xfId="4" builtinId="38"/>
    <cellStyle name="20% - Accent4" xfId="6" builtinId="42"/>
    <cellStyle name="20% - Accent5" xfId="7" builtinId="46"/>
    <cellStyle name="40% - Accent1" xfId="2" builtinId="31"/>
    <cellStyle name="40% - Accent3" xfId="5" builtinId="39"/>
    <cellStyle name="40% - Accent4" xfId="9" builtinId="43"/>
    <cellStyle name="60% - Accent1" xfId="12" builtinId="32"/>
    <cellStyle name="60% - Accent2" xfId="10" builtinId="36"/>
    <cellStyle name="Check Cell" xfId="1" builtinId="23"/>
    <cellStyle name="Comma" xfId="14" builtinId="3"/>
    <cellStyle name="Currency" xfId="16" builtinId="4"/>
    <cellStyle name="Good" xfId="8" builtinId="26"/>
    <cellStyle name="Normal" xfId="0" builtinId="0"/>
    <cellStyle name="Normal 2" xfId="13" xr:uid="{00000000-0005-0000-0000-00000E000000}"/>
    <cellStyle name="Percent" xfId="15" builtinId="5"/>
  </cellStyles>
  <dxfs count="0"/>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Profit</c:v>
          </c:tx>
          <c:marker>
            <c:symbol val="none"/>
          </c:marker>
          <c:val>
            <c:numRef>
              <c:f>'Cost Benefit  Analysis'!$F$28:$F$32</c:f>
              <c:numCache>
                <c:formatCode>_-[$$-409]* #,##0.00_ ;_-[$$-409]* \-#,##0.00\ ;_-[$$-409]* "-"??_ ;_-@_ </c:formatCode>
                <c:ptCount val="5"/>
                <c:pt idx="0">
                  <c:v>19368225</c:v>
                </c:pt>
                <c:pt idx="1">
                  <c:v>38736450</c:v>
                </c:pt>
                <c:pt idx="2">
                  <c:v>58104675</c:v>
                </c:pt>
                <c:pt idx="3">
                  <c:v>77472900</c:v>
                </c:pt>
                <c:pt idx="4">
                  <c:v>96841125</c:v>
                </c:pt>
              </c:numCache>
            </c:numRef>
          </c:val>
          <c:smooth val="0"/>
          <c:extLst>
            <c:ext xmlns:c16="http://schemas.microsoft.com/office/drawing/2014/chart" uri="{C3380CC4-5D6E-409C-BE32-E72D297353CC}">
              <c16:uniqueId val="{00000000-4176-E243-81B3-AF67BB18CA2E}"/>
            </c:ext>
          </c:extLst>
        </c:ser>
        <c:ser>
          <c:idx val="1"/>
          <c:order val="1"/>
          <c:tx>
            <c:v>Investment</c:v>
          </c:tx>
          <c:marker>
            <c:symbol val="none"/>
          </c:marker>
          <c:val>
            <c:numRef>
              <c:f>'Cost Benefit  Analysis'!$G$28:$G$32</c:f>
              <c:numCache>
                <c:formatCode>_-[$$-409]* #,##0.00_ ;_-[$$-409]* \-#,##0.00\ ;_-[$$-409]* "-"??_ ;_-@_ </c:formatCode>
                <c:ptCount val="5"/>
                <c:pt idx="0">
                  <c:v>28399124.266666666</c:v>
                </c:pt>
                <c:pt idx="1">
                  <c:v>43893704.266666666</c:v>
                </c:pt>
                <c:pt idx="2">
                  <c:v>59388284.266666666</c:v>
                </c:pt>
                <c:pt idx="3">
                  <c:v>74882864.266666666</c:v>
                </c:pt>
                <c:pt idx="4">
                  <c:v>90377444.266666666</c:v>
                </c:pt>
              </c:numCache>
            </c:numRef>
          </c:val>
          <c:smooth val="0"/>
          <c:extLst>
            <c:ext xmlns:c16="http://schemas.microsoft.com/office/drawing/2014/chart" uri="{C3380CC4-5D6E-409C-BE32-E72D297353CC}">
              <c16:uniqueId val="{00000001-4176-E243-81B3-AF67BB18CA2E}"/>
            </c:ext>
          </c:extLst>
        </c:ser>
        <c:dLbls>
          <c:showLegendKey val="0"/>
          <c:showVal val="0"/>
          <c:showCatName val="0"/>
          <c:showSerName val="0"/>
          <c:showPercent val="0"/>
          <c:showBubbleSize val="0"/>
        </c:dLbls>
        <c:smooth val="0"/>
        <c:axId val="200417792"/>
        <c:axId val="199906368"/>
      </c:lineChart>
      <c:catAx>
        <c:axId val="200417792"/>
        <c:scaling>
          <c:orientation val="minMax"/>
        </c:scaling>
        <c:delete val="0"/>
        <c:axPos val="b"/>
        <c:majorTickMark val="out"/>
        <c:minorTickMark val="none"/>
        <c:tickLblPos val="nextTo"/>
        <c:crossAx val="199906368"/>
        <c:crosses val="autoZero"/>
        <c:auto val="1"/>
        <c:lblAlgn val="ctr"/>
        <c:lblOffset val="100"/>
        <c:noMultiLvlLbl val="0"/>
      </c:catAx>
      <c:valAx>
        <c:axId val="199906368"/>
        <c:scaling>
          <c:orientation val="minMax"/>
        </c:scaling>
        <c:delete val="0"/>
        <c:axPos val="l"/>
        <c:majorGridlines/>
        <c:numFmt formatCode="_-[$$-409]* #,##0.00_ ;_-[$$-409]* \-#,##0.00\ ;_-[$$-409]* &quot;-&quot;??_ ;_-@_ " sourceLinked="1"/>
        <c:majorTickMark val="out"/>
        <c:minorTickMark val="none"/>
        <c:tickLblPos val="nextTo"/>
        <c:crossAx val="200417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Cumulative Revenu</c:v>
          </c:tx>
          <c:marker>
            <c:symbol val="none"/>
          </c:marker>
          <c:val>
            <c:numRef>
              <c:f>'Cost Benefit  Analysis (2)'!$F$28:$F$32</c:f>
              <c:numCache>
                <c:formatCode>_-[$$-409]* #,##0.00_ ;_-[$$-409]* \-#,##0.00\ ;_-[$$-409]* "-"??_ ;_-@_ </c:formatCode>
                <c:ptCount val="5"/>
                <c:pt idx="0">
                  <c:v>276688.92857142858</c:v>
                </c:pt>
                <c:pt idx="1">
                  <c:v>553377.85714285716</c:v>
                </c:pt>
                <c:pt idx="2">
                  <c:v>830066.78571428568</c:v>
                </c:pt>
                <c:pt idx="3">
                  <c:v>1106755.7142857143</c:v>
                </c:pt>
                <c:pt idx="4">
                  <c:v>1383444.642857143</c:v>
                </c:pt>
              </c:numCache>
            </c:numRef>
          </c:val>
          <c:smooth val="0"/>
          <c:extLst>
            <c:ext xmlns:c16="http://schemas.microsoft.com/office/drawing/2014/chart" uri="{C3380CC4-5D6E-409C-BE32-E72D297353CC}">
              <c16:uniqueId val="{00000000-EA03-5647-9E7A-005326B71736}"/>
            </c:ext>
          </c:extLst>
        </c:ser>
        <c:ser>
          <c:idx val="1"/>
          <c:order val="1"/>
          <c:tx>
            <c:v>Cumulative Investment</c:v>
          </c:tx>
          <c:marker>
            <c:symbol val="none"/>
          </c:marker>
          <c:val>
            <c:numRef>
              <c:f>'Cost Benefit  Analysis (2)'!$G$28:$G$32</c:f>
              <c:numCache>
                <c:formatCode>_-[$$-409]* #,##0.00_ ;_-[$$-409]* \-#,##0.00\ ;_-[$$-409]* "-"??_ ;_-@_ </c:formatCode>
                <c:ptCount val="5"/>
                <c:pt idx="0">
                  <c:v>405701.7752380952</c:v>
                </c:pt>
                <c:pt idx="1">
                  <c:v>627052.91809523804</c:v>
                </c:pt>
                <c:pt idx="2">
                  <c:v>848404.06095238088</c:v>
                </c:pt>
                <c:pt idx="3">
                  <c:v>1069755.2038095237</c:v>
                </c:pt>
                <c:pt idx="4">
                  <c:v>1291106.3466666667</c:v>
                </c:pt>
              </c:numCache>
            </c:numRef>
          </c:val>
          <c:smooth val="0"/>
          <c:extLst>
            <c:ext xmlns:c16="http://schemas.microsoft.com/office/drawing/2014/chart" uri="{C3380CC4-5D6E-409C-BE32-E72D297353CC}">
              <c16:uniqueId val="{00000001-EA03-5647-9E7A-005326B71736}"/>
            </c:ext>
          </c:extLst>
        </c:ser>
        <c:dLbls>
          <c:showLegendKey val="0"/>
          <c:showVal val="0"/>
          <c:showCatName val="0"/>
          <c:showSerName val="0"/>
          <c:showPercent val="0"/>
          <c:showBubbleSize val="0"/>
        </c:dLbls>
        <c:smooth val="0"/>
        <c:axId val="201303552"/>
        <c:axId val="199908096"/>
      </c:lineChart>
      <c:catAx>
        <c:axId val="201303552"/>
        <c:scaling>
          <c:orientation val="minMax"/>
        </c:scaling>
        <c:delete val="0"/>
        <c:axPos val="b"/>
        <c:majorTickMark val="out"/>
        <c:minorTickMark val="none"/>
        <c:tickLblPos val="nextTo"/>
        <c:crossAx val="199908096"/>
        <c:crosses val="autoZero"/>
        <c:auto val="1"/>
        <c:lblAlgn val="ctr"/>
        <c:lblOffset val="100"/>
        <c:noMultiLvlLbl val="0"/>
      </c:catAx>
      <c:valAx>
        <c:axId val="199908096"/>
        <c:scaling>
          <c:orientation val="minMax"/>
        </c:scaling>
        <c:delete val="0"/>
        <c:axPos val="l"/>
        <c:majorGridlines/>
        <c:numFmt formatCode="_-[$$-409]* #,##0.00_ ;_-[$$-409]* \-#,##0.00\ ;_-[$$-409]* &quot;-&quot;??_ ;_-@_ " sourceLinked="1"/>
        <c:majorTickMark val="out"/>
        <c:minorTickMark val="none"/>
        <c:tickLblPos val="nextTo"/>
        <c:crossAx val="201303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image" Target="../media/image10.png"/><Relationship Id="rId26" Type="http://schemas.openxmlformats.org/officeDocument/2006/relationships/image" Target="file:///D:\Busdev\StratWeb\WEB7\vsm3.h17.gif" TargetMode="External"/><Relationship Id="rId39" Type="http://schemas.openxmlformats.org/officeDocument/2006/relationships/image" Target="../media/image24.png"/><Relationship Id="rId21" Type="http://schemas.openxmlformats.org/officeDocument/2006/relationships/image" Target="../media/image12.wmf"/><Relationship Id="rId34" Type="http://schemas.openxmlformats.org/officeDocument/2006/relationships/image" Target="../media/image20.png"/><Relationship Id="rId42" Type="http://schemas.openxmlformats.org/officeDocument/2006/relationships/image" Target="../media/image27.png"/><Relationship Id="rId47" Type="http://schemas.openxmlformats.org/officeDocument/2006/relationships/image" Target="../media/image31.png"/><Relationship Id="rId7" Type="http://schemas.openxmlformats.org/officeDocument/2006/relationships/image" Target="../media/image4.png"/><Relationship Id="rId2" Type="http://schemas.openxmlformats.org/officeDocument/2006/relationships/image" Target="file:///D:\Busdev\StratWeb\WEB7\vsm3.h21.gif" TargetMode="External"/><Relationship Id="rId16" Type="http://schemas.openxmlformats.org/officeDocument/2006/relationships/image" Target="../media/image9.png"/><Relationship Id="rId29"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file:///D:\Busdev\StratWeb\WEB7\vsm3.h28.gif" TargetMode="External"/><Relationship Id="rId11" Type="http://schemas.openxmlformats.org/officeDocument/2006/relationships/image" Target="../media/image6.png"/><Relationship Id="rId24" Type="http://schemas.openxmlformats.org/officeDocument/2006/relationships/image" Target="../media/image14.wmf"/><Relationship Id="rId32" Type="http://schemas.openxmlformats.org/officeDocument/2006/relationships/image" Target="../media/image19.png"/><Relationship Id="rId37" Type="http://schemas.openxmlformats.org/officeDocument/2006/relationships/image" Target="../media/image22.png"/><Relationship Id="rId40" Type="http://schemas.openxmlformats.org/officeDocument/2006/relationships/image" Target="../media/image25.png"/><Relationship Id="rId45" Type="http://schemas.openxmlformats.org/officeDocument/2006/relationships/image" Target="file:///D:\Busdev\StratWeb\WEB7\vsm3.h31.gif" TargetMode="External"/><Relationship Id="rId5" Type="http://schemas.openxmlformats.org/officeDocument/2006/relationships/image" Target="../media/image3.png"/><Relationship Id="rId15" Type="http://schemas.openxmlformats.org/officeDocument/2006/relationships/image" Target="file:///D:\Busdev\StratWeb\WEB7\vsm3.h16.gif" TargetMode="External"/><Relationship Id="rId23" Type="http://schemas.openxmlformats.org/officeDocument/2006/relationships/image" Target="file:///D:\Busdev\StratWeb\WEB7\vsm3.h26.gif" TargetMode="External"/><Relationship Id="rId28" Type="http://schemas.openxmlformats.org/officeDocument/2006/relationships/image" Target="file:///D:\Busdev\StratWeb\WEB7\vsm3.h32.gif" TargetMode="External"/><Relationship Id="rId36" Type="http://schemas.openxmlformats.org/officeDocument/2006/relationships/image" Target="../media/image21.png"/><Relationship Id="rId10" Type="http://schemas.openxmlformats.org/officeDocument/2006/relationships/image" Target="file:///D:\Busdev\StratWeb\WEB7\vsm3.h30.gif" TargetMode="External"/><Relationship Id="rId19" Type="http://schemas.openxmlformats.org/officeDocument/2006/relationships/image" Target="file:///D:\Busdev\StratWeb\WEB7\vsm3.h19.gif" TargetMode="External"/><Relationship Id="rId31" Type="http://schemas.openxmlformats.org/officeDocument/2006/relationships/image" Target="../media/image18.wmf"/><Relationship Id="rId44" Type="http://schemas.openxmlformats.org/officeDocument/2006/relationships/image" Target="../media/image29.png"/><Relationship Id="rId4" Type="http://schemas.openxmlformats.org/officeDocument/2006/relationships/image" Target="file:///D:\Busdev\StratWeb\WEB7\vsm3.h22.gif" TargetMode="External"/><Relationship Id="rId9" Type="http://schemas.openxmlformats.org/officeDocument/2006/relationships/image" Target="../media/image5.png"/><Relationship Id="rId14" Type="http://schemas.openxmlformats.org/officeDocument/2006/relationships/image" Target="../media/image8.png"/><Relationship Id="rId22" Type="http://schemas.openxmlformats.org/officeDocument/2006/relationships/image" Target="../media/image13.png"/><Relationship Id="rId27" Type="http://schemas.openxmlformats.org/officeDocument/2006/relationships/image" Target="../media/image16.png"/><Relationship Id="rId30" Type="http://schemas.openxmlformats.org/officeDocument/2006/relationships/image" Target="file:///D:\Busdev\StratWeb\WEB7\vsm3.h12.gif" TargetMode="External"/><Relationship Id="rId35" Type="http://schemas.openxmlformats.org/officeDocument/2006/relationships/image" Target="file:///D:\Busdev\StratWeb\WEB7\vsm3.h11.gif" TargetMode="External"/><Relationship Id="rId43" Type="http://schemas.openxmlformats.org/officeDocument/2006/relationships/image" Target="../media/image28.png"/><Relationship Id="rId8" Type="http://schemas.openxmlformats.org/officeDocument/2006/relationships/image" Target="file:///D:\Busdev\StratWeb\WEB7\vsm3.h23.gif" TargetMode="External"/><Relationship Id="rId3" Type="http://schemas.openxmlformats.org/officeDocument/2006/relationships/image" Target="../media/image2.png"/><Relationship Id="rId12" Type="http://schemas.openxmlformats.org/officeDocument/2006/relationships/image" Target="file:///D:\Busdev\StratWeb\WEB7\vsm3.h14.gif" TargetMode="External"/><Relationship Id="rId17" Type="http://schemas.openxmlformats.org/officeDocument/2006/relationships/image" Target="file:///D:\Busdev\StratWeb\WEB7\vsm3.h20.gif" TargetMode="External"/><Relationship Id="rId25" Type="http://schemas.openxmlformats.org/officeDocument/2006/relationships/image" Target="../media/image15.png"/><Relationship Id="rId33" Type="http://schemas.openxmlformats.org/officeDocument/2006/relationships/image" Target="file:///D:\Busdev\StratWeb\WEB7\vsm3.h5.gif" TargetMode="External"/><Relationship Id="rId38" Type="http://schemas.openxmlformats.org/officeDocument/2006/relationships/image" Target="../media/image23.png"/><Relationship Id="rId46" Type="http://schemas.openxmlformats.org/officeDocument/2006/relationships/image" Target="../media/image30.png"/><Relationship Id="rId20" Type="http://schemas.openxmlformats.org/officeDocument/2006/relationships/image" Target="../media/image11.png"/><Relationship Id="rId4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oneCellAnchor>
    <xdr:from>
      <xdr:col>6</xdr:col>
      <xdr:colOff>320571</xdr:colOff>
      <xdr:row>3</xdr:row>
      <xdr:rowOff>0</xdr:rowOff>
    </xdr:from>
    <xdr:ext cx="184730" cy="374141"/>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874271" y="822960"/>
          <a:ext cx="18473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endParaRPr lang="en-IN" sz="1800" b="1">
            <a:solidFill>
              <a:schemeClr val="accent1">
                <a:lumMod val="75000"/>
              </a:schemeClr>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320571</xdr:colOff>
      <xdr:row>3</xdr:row>
      <xdr:rowOff>0</xdr:rowOff>
    </xdr:from>
    <xdr:ext cx="184730" cy="374141"/>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685551" y="601980"/>
          <a:ext cx="18473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endParaRPr lang="en-IN" sz="1800" b="1">
            <a:solidFill>
              <a:schemeClr val="accent1">
                <a:lumMod val="75000"/>
              </a:schemeClr>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160020</xdr:colOff>
      <xdr:row>0</xdr:row>
      <xdr:rowOff>91440</xdr:rowOff>
    </xdr:from>
    <xdr:ext cx="4376967" cy="405432"/>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023360" y="91440"/>
          <a:ext cx="437696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accent1">
                  <a:lumMod val="75000"/>
                </a:schemeClr>
              </a:solidFill>
            </a:rPr>
            <a:t>MACHINE</a:t>
          </a:r>
          <a:r>
            <a:rPr lang="en-IN" sz="2000" b="1" baseline="0">
              <a:solidFill>
                <a:schemeClr val="accent1">
                  <a:lumMod val="75000"/>
                </a:schemeClr>
              </a:solidFill>
            </a:rPr>
            <a:t> HOUR RATING CALCULATION</a:t>
          </a:r>
          <a:endParaRPr lang="en-IN" sz="2000" b="1">
            <a:solidFill>
              <a:schemeClr val="accent1">
                <a:lumMod val="75000"/>
              </a:schemeClr>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160020</xdr:colOff>
      <xdr:row>0</xdr:row>
      <xdr:rowOff>91440</xdr:rowOff>
    </xdr:from>
    <xdr:ext cx="4376967" cy="405432"/>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263640" y="91440"/>
          <a:ext cx="437696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b="1">
              <a:solidFill>
                <a:schemeClr val="accent1">
                  <a:lumMod val="75000"/>
                </a:schemeClr>
              </a:solidFill>
            </a:rPr>
            <a:t>MACHINE</a:t>
          </a:r>
          <a:r>
            <a:rPr lang="en-IN" sz="2000" b="1" baseline="0">
              <a:solidFill>
                <a:schemeClr val="accent1">
                  <a:lumMod val="75000"/>
                </a:schemeClr>
              </a:solidFill>
            </a:rPr>
            <a:t> HOUR RATING CALCULATION</a:t>
          </a:r>
          <a:endParaRPr lang="en-IN" sz="2000" b="1">
            <a:solidFill>
              <a:schemeClr val="accent1">
                <a:lumMod val="75000"/>
              </a:schemeClr>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8</xdr:col>
      <xdr:colOff>403411</xdr:colOff>
      <xdr:row>20</xdr:row>
      <xdr:rowOff>67236</xdr:rowOff>
    </xdr:from>
    <xdr:to>
      <xdr:col>15</xdr:col>
      <xdr:colOff>466165</xdr:colOff>
      <xdr:row>40</xdr:row>
      <xdr:rowOff>44823</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206187</xdr:colOff>
      <xdr:row>21</xdr:row>
      <xdr:rowOff>147917</xdr:rowOff>
    </xdr:from>
    <xdr:to>
      <xdr:col>15</xdr:col>
      <xdr:colOff>636495</xdr:colOff>
      <xdr:row>43</xdr:row>
      <xdr:rowOff>17930</xdr:rowOff>
    </xdr:to>
    <xdr:graphicFrame macro="">
      <xdr:nvGraphicFramePr>
        <xdr:cNvPr id="4" name="Chart 3" title="Break Even Graph">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42</xdr:col>
      <xdr:colOff>45720</xdr:colOff>
      <xdr:row>4</xdr:row>
      <xdr:rowOff>38100</xdr:rowOff>
    </xdr:from>
    <xdr:to>
      <xdr:col>42</xdr:col>
      <xdr:colOff>533400</xdr:colOff>
      <xdr:row>5</xdr:row>
      <xdr:rowOff>99060</xdr:rowOff>
    </xdr:to>
    <xdr:pic>
      <xdr:nvPicPr>
        <xdr:cNvPr id="2" name="Picture 5" descr="D:\Busdev\StratWeb\WEB7\vsm3.h21.gif">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5648920" y="708660"/>
          <a:ext cx="48768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38100</xdr:colOff>
      <xdr:row>4</xdr:row>
      <xdr:rowOff>0</xdr:rowOff>
    </xdr:from>
    <xdr:to>
      <xdr:col>43</xdr:col>
      <xdr:colOff>617220</xdr:colOff>
      <xdr:row>5</xdr:row>
      <xdr:rowOff>144780</xdr:rowOff>
    </xdr:to>
    <xdr:pic>
      <xdr:nvPicPr>
        <xdr:cNvPr id="3" name="Picture 6" descr="D:\Busdev\StratWeb\WEB7\vsm3.h22.gif">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26250900" y="670560"/>
          <a:ext cx="57150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45720</xdr:colOff>
      <xdr:row>20</xdr:row>
      <xdr:rowOff>38100</xdr:rowOff>
    </xdr:from>
    <xdr:to>
      <xdr:col>42</xdr:col>
      <xdr:colOff>579120</xdr:colOff>
      <xdr:row>21</xdr:row>
      <xdr:rowOff>99060</xdr:rowOff>
    </xdr:to>
    <xdr:pic>
      <xdr:nvPicPr>
        <xdr:cNvPr id="4" name="Picture 7" descr="D:\Busdev\StratWeb\WEB7\vsm3.h28.gif">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25648920" y="3390900"/>
          <a:ext cx="533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45720</xdr:colOff>
      <xdr:row>13</xdr:row>
      <xdr:rowOff>0</xdr:rowOff>
    </xdr:from>
    <xdr:to>
      <xdr:col>42</xdr:col>
      <xdr:colOff>563880</xdr:colOff>
      <xdr:row>13</xdr:row>
      <xdr:rowOff>129540</xdr:rowOff>
    </xdr:to>
    <xdr:grpSp>
      <xdr:nvGrpSpPr>
        <xdr:cNvPr id="5" name="Group 8">
          <a:extLst>
            <a:ext uri="{FF2B5EF4-FFF2-40B4-BE49-F238E27FC236}">
              <a16:creationId xmlns:a16="http://schemas.microsoft.com/office/drawing/2014/main" id="{00000000-0008-0000-0900-000005000000}"/>
            </a:ext>
          </a:extLst>
        </xdr:cNvPr>
        <xdr:cNvGrpSpPr>
          <a:grpSpLocks/>
        </xdr:cNvGrpSpPr>
      </xdr:nvGrpSpPr>
      <xdr:grpSpPr bwMode="auto">
        <a:xfrm>
          <a:off x="11820434" y="2358571"/>
          <a:ext cx="518160" cy="129540"/>
          <a:chOff x="749" y="422"/>
          <a:chExt cx="163" cy="29"/>
        </a:xfrm>
      </xdr:grpSpPr>
      <xdr:sp macro="" textlink="">
        <xdr:nvSpPr>
          <xdr:cNvPr id="6" name="Line 9">
            <a:extLst>
              <a:ext uri="{FF2B5EF4-FFF2-40B4-BE49-F238E27FC236}">
                <a16:creationId xmlns:a16="http://schemas.microsoft.com/office/drawing/2014/main" id="{00000000-0008-0000-0900-000006000000}"/>
              </a:ext>
            </a:extLst>
          </xdr:cNvPr>
          <xdr:cNvSpPr>
            <a:spLocks noChangeShapeType="1"/>
          </xdr:cNvSpPr>
        </xdr:nvSpPr>
        <xdr:spPr bwMode="auto">
          <a:xfrm rot="-433784">
            <a:off x="771" y="424"/>
            <a:ext cx="40" cy="27"/>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sp macro="" textlink="">
        <xdr:nvSpPr>
          <xdr:cNvPr id="7" name="Line 10">
            <a:extLst>
              <a:ext uri="{FF2B5EF4-FFF2-40B4-BE49-F238E27FC236}">
                <a16:creationId xmlns:a16="http://schemas.microsoft.com/office/drawing/2014/main" id="{00000000-0008-0000-0900-000007000000}"/>
              </a:ext>
            </a:extLst>
          </xdr:cNvPr>
          <xdr:cNvSpPr>
            <a:spLocks noChangeShapeType="1"/>
          </xdr:cNvSpPr>
        </xdr:nvSpPr>
        <xdr:spPr bwMode="auto">
          <a:xfrm rot="-285157">
            <a:off x="749" y="447"/>
            <a:ext cx="68" cy="4"/>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sp macro="" textlink="">
        <xdr:nvSpPr>
          <xdr:cNvPr id="8" name="Line 11">
            <a:extLst>
              <a:ext uri="{FF2B5EF4-FFF2-40B4-BE49-F238E27FC236}">
                <a16:creationId xmlns:a16="http://schemas.microsoft.com/office/drawing/2014/main" id="{00000000-0008-0000-0900-000008000000}"/>
              </a:ext>
            </a:extLst>
          </xdr:cNvPr>
          <xdr:cNvSpPr>
            <a:spLocks noChangeShapeType="1"/>
          </xdr:cNvSpPr>
        </xdr:nvSpPr>
        <xdr:spPr bwMode="auto">
          <a:xfrm rot="10556127" flipH="1" flipV="1">
            <a:off x="771" y="422"/>
            <a:ext cx="141" cy="11"/>
          </a:xfrm>
          <a:prstGeom prst="line">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43</xdr:col>
      <xdr:colOff>45720</xdr:colOff>
      <xdr:row>13</xdr:row>
      <xdr:rowOff>68580</xdr:rowOff>
    </xdr:from>
    <xdr:to>
      <xdr:col>43</xdr:col>
      <xdr:colOff>548640</xdr:colOff>
      <xdr:row>13</xdr:row>
      <xdr:rowOff>68580</xdr:rowOff>
    </xdr:to>
    <xdr:cxnSp macro="">
      <xdr:nvCxnSpPr>
        <xdr:cNvPr id="9" name="AutoShape 12">
          <a:extLst>
            <a:ext uri="{FF2B5EF4-FFF2-40B4-BE49-F238E27FC236}">
              <a16:creationId xmlns:a16="http://schemas.microsoft.com/office/drawing/2014/main" id="{00000000-0008-0000-0900-000009000000}"/>
            </a:ext>
          </a:extLst>
        </xdr:cNvPr>
        <xdr:cNvCxnSpPr>
          <a:cxnSpLocks noChangeShapeType="1"/>
        </xdr:cNvCxnSpPr>
      </xdr:nvCxnSpPr>
      <xdr:spPr bwMode="auto">
        <a:xfrm>
          <a:off x="26258520" y="2247900"/>
          <a:ext cx="502920" cy="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43</xdr:col>
      <xdr:colOff>114300</xdr:colOff>
      <xdr:row>6</xdr:row>
      <xdr:rowOff>167640</xdr:rowOff>
    </xdr:from>
    <xdr:to>
      <xdr:col>43</xdr:col>
      <xdr:colOff>510540</xdr:colOff>
      <xdr:row>8</xdr:row>
      <xdr:rowOff>144780</xdr:rowOff>
    </xdr:to>
    <xdr:pic>
      <xdr:nvPicPr>
        <xdr:cNvPr id="10" name="Picture 13" descr="D:\Busdev\StratWeb\WEB7\vsm3.h23.gif">
          <a:extLst>
            <a:ext uri="{FF2B5EF4-FFF2-40B4-BE49-F238E27FC236}">
              <a16:creationId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26327100" y="1173480"/>
          <a:ext cx="396240" cy="312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160020</xdr:colOff>
      <xdr:row>20</xdr:row>
      <xdr:rowOff>167640</xdr:rowOff>
    </xdr:from>
    <xdr:to>
      <xdr:col>43</xdr:col>
      <xdr:colOff>472440</xdr:colOff>
      <xdr:row>21</xdr:row>
      <xdr:rowOff>167640</xdr:rowOff>
    </xdr:to>
    <xdr:pic>
      <xdr:nvPicPr>
        <xdr:cNvPr id="11" name="Picture 14" descr="D:\Busdev\StratWeb\WEB7\vsm3.h30.gif">
          <a:extLst>
            <a:ext uri="{FF2B5EF4-FFF2-40B4-BE49-F238E27FC236}">
              <a16:creationId xmlns:a16="http://schemas.microsoft.com/office/drawing/2014/main" id="{00000000-0008-0000-0900-00000B000000}"/>
            </a:ext>
          </a:extLst>
        </xdr:cNvPr>
        <xdr:cNvPicPr>
          <a:picLocks noChangeAspect="1" noChangeArrowheads="1"/>
        </xdr:cNvPicPr>
      </xdr:nvPicPr>
      <xdr:blipFill>
        <a:blip xmlns:r="http://schemas.openxmlformats.org/officeDocument/2006/relationships" r:embed="rId9" r:link="rId10" cstate="print">
          <a:extLst>
            <a:ext uri="{28A0092B-C50C-407E-A947-70E740481C1C}">
              <a14:useLocalDpi xmlns:a14="http://schemas.microsoft.com/office/drawing/2010/main" val="0"/>
            </a:ext>
          </a:extLst>
        </a:blip>
        <a:srcRect/>
        <a:stretch>
          <a:fillRect/>
        </a:stretch>
      </xdr:blipFill>
      <xdr:spPr bwMode="auto">
        <a:xfrm>
          <a:off x="26372820" y="3520440"/>
          <a:ext cx="312420" cy="16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28575</xdr:colOff>
      <xdr:row>32</xdr:row>
      <xdr:rowOff>47625</xdr:rowOff>
    </xdr:from>
    <xdr:to>
      <xdr:col>42</xdr:col>
      <xdr:colOff>539115</xdr:colOff>
      <xdr:row>33</xdr:row>
      <xdr:rowOff>38100</xdr:rowOff>
    </xdr:to>
    <xdr:sp macro="" textlink="">
      <xdr:nvSpPr>
        <xdr:cNvPr id="12" name="Rectangle 15">
          <a:extLst>
            <a:ext uri="{FF2B5EF4-FFF2-40B4-BE49-F238E27FC236}">
              <a16:creationId xmlns:a16="http://schemas.microsoft.com/office/drawing/2014/main" id="{00000000-0008-0000-0900-00000C000000}"/>
            </a:ext>
          </a:extLst>
        </xdr:cNvPr>
        <xdr:cNvSpPr>
          <a:spLocks noChangeArrowheads="1"/>
        </xdr:cNvSpPr>
      </xdr:nvSpPr>
      <xdr:spPr bwMode="auto">
        <a:xfrm>
          <a:off x="25631775" y="5412105"/>
          <a:ext cx="510540" cy="158115"/>
        </a:xfrm>
        <a:prstGeom prst="rect">
          <a:avLst/>
        </a:prstGeom>
        <a:solidFill>
          <a:srgbClr val="FFFF99"/>
        </a:solidFill>
        <a:ln w="9525">
          <a:solidFill>
            <a:srgbClr val="000000"/>
          </a:solidFill>
          <a:miter lim="800000"/>
          <a:headEnd/>
          <a:tailEnd/>
        </a:ln>
        <a:effectLst/>
      </xdr:spPr>
      <xdr:txBody>
        <a:bodyPr vertOverflow="clip" wrap="square" lIns="27432" tIns="22860" rIns="27432" bIns="0" anchor="t" upright="1"/>
        <a:lstStyle/>
        <a:p>
          <a:pPr algn="ctr" rtl="0">
            <a:defRPr sz="1000"/>
          </a:pPr>
          <a:r>
            <a:rPr lang="en-US" sz="800" b="1" i="0" u="none" strike="noStrike" baseline="0">
              <a:solidFill>
                <a:srgbClr val="000000"/>
              </a:solidFill>
              <a:latin typeface="Arial"/>
              <a:cs typeface="Arial"/>
            </a:rPr>
            <a:t>0 X  0 X</a:t>
          </a:r>
        </a:p>
      </xdr:txBody>
    </xdr:sp>
    <xdr:clientData/>
  </xdr:twoCellAnchor>
  <xdr:twoCellAnchor>
    <xdr:from>
      <xdr:col>44</xdr:col>
      <xdr:colOff>45720</xdr:colOff>
      <xdr:row>24</xdr:row>
      <xdr:rowOff>7620</xdr:rowOff>
    </xdr:from>
    <xdr:to>
      <xdr:col>44</xdr:col>
      <xdr:colOff>525780</xdr:colOff>
      <xdr:row>25</xdr:row>
      <xdr:rowOff>129540</xdr:rowOff>
    </xdr:to>
    <xdr:pic>
      <xdr:nvPicPr>
        <xdr:cNvPr id="13" name="Picture 17" descr="D:\Busdev\StratWeb\WEB7\vsm3.h14.gif">
          <a:extLst>
            <a:ext uri="{FF2B5EF4-FFF2-40B4-BE49-F238E27FC236}">
              <a16:creationId xmlns:a16="http://schemas.microsoft.com/office/drawing/2014/main" id="{00000000-0008-0000-0900-00000D000000}"/>
            </a:ext>
          </a:extLst>
        </xdr:cNvPr>
        <xdr:cNvPicPr>
          <a:picLocks noChangeAspect="1" noChangeArrowheads="1"/>
        </xdr:cNvPicPr>
      </xdr:nvPicPr>
      <xdr:blipFill>
        <a:blip xmlns:r="http://schemas.openxmlformats.org/officeDocument/2006/relationships" r:embed="rId11" r:link="rId12" cstate="print">
          <a:extLst>
            <a:ext uri="{28A0092B-C50C-407E-A947-70E740481C1C}">
              <a14:useLocalDpi xmlns:a14="http://schemas.microsoft.com/office/drawing/2010/main" val="0"/>
            </a:ext>
          </a:extLst>
        </a:blip>
        <a:srcRect/>
        <a:stretch>
          <a:fillRect/>
        </a:stretch>
      </xdr:blipFill>
      <xdr:spPr bwMode="auto">
        <a:xfrm>
          <a:off x="26868120" y="4030980"/>
          <a:ext cx="48006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60960</xdr:colOff>
      <xdr:row>28</xdr:row>
      <xdr:rowOff>0</xdr:rowOff>
    </xdr:from>
    <xdr:to>
      <xdr:col>42</xdr:col>
      <xdr:colOff>533400</xdr:colOff>
      <xdr:row>29</xdr:row>
      <xdr:rowOff>121920</xdr:rowOff>
    </xdr:to>
    <xdr:sp macro="" textlink="">
      <xdr:nvSpPr>
        <xdr:cNvPr id="14" name="AutoShape 18" descr="Wide upward diagonal">
          <a:extLst>
            <a:ext uri="{FF2B5EF4-FFF2-40B4-BE49-F238E27FC236}">
              <a16:creationId xmlns:a16="http://schemas.microsoft.com/office/drawing/2014/main" id="{00000000-0008-0000-0900-00000E000000}"/>
            </a:ext>
          </a:extLst>
        </xdr:cNvPr>
        <xdr:cNvSpPr>
          <a:spLocks noChangeArrowheads="1"/>
        </xdr:cNvSpPr>
      </xdr:nvSpPr>
      <xdr:spPr bwMode="auto">
        <a:xfrm flipV="1">
          <a:off x="25664160" y="4693920"/>
          <a:ext cx="472440" cy="289560"/>
        </a:xfrm>
        <a:prstGeom prst="foldedCorner">
          <a:avLst>
            <a:gd name="adj" fmla="val 33338"/>
          </a:avLst>
        </a:prstGeom>
        <a:blipFill dpi="0" rotWithShape="0">
          <a:blip xmlns:r="http://schemas.openxmlformats.org/officeDocument/2006/relationships" r:embed="rId13"/>
          <a:srcRect/>
          <a:tile tx="0" ty="0" sx="100000" sy="100000" flip="none" algn="tl"/>
        </a:blipFill>
        <a:ln w="19050">
          <a:solidFill>
            <a:srgbClr val="000000"/>
          </a:solidFill>
          <a:round/>
          <a:headEnd/>
          <a:tailEnd/>
        </a:ln>
      </xdr:spPr>
    </xdr:sp>
    <xdr:clientData/>
  </xdr:twoCellAnchor>
  <xdr:twoCellAnchor>
    <xdr:from>
      <xdr:col>43</xdr:col>
      <xdr:colOff>38100</xdr:colOff>
      <xdr:row>23</xdr:row>
      <xdr:rowOff>144780</xdr:rowOff>
    </xdr:from>
    <xdr:to>
      <xdr:col>43</xdr:col>
      <xdr:colOff>594360</xdr:colOff>
      <xdr:row>25</xdr:row>
      <xdr:rowOff>129540</xdr:rowOff>
    </xdr:to>
    <xdr:pic>
      <xdr:nvPicPr>
        <xdr:cNvPr id="15" name="Picture 19" descr="D:\Busdev\StratWeb\WEB7\vsm3.h16.gif">
          <a:extLst>
            <a:ext uri="{FF2B5EF4-FFF2-40B4-BE49-F238E27FC236}">
              <a16:creationId xmlns:a16="http://schemas.microsoft.com/office/drawing/2014/main" id="{00000000-0008-0000-0900-00000F000000}"/>
            </a:ext>
          </a:extLst>
        </xdr:cNvPr>
        <xdr:cNvPicPr>
          <a:picLocks noChangeAspect="1" noChangeArrowheads="1"/>
        </xdr:cNvPicPr>
      </xdr:nvPicPr>
      <xdr:blipFill>
        <a:blip xmlns:r="http://schemas.openxmlformats.org/officeDocument/2006/relationships" r:embed="rId14" r:link="rId15" cstate="print">
          <a:extLst>
            <a:ext uri="{28A0092B-C50C-407E-A947-70E740481C1C}">
              <a14:useLocalDpi xmlns:a14="http://schemas.microsoft.com/office/drawing/2010/main" val="0"/>
            </a:ext>
          </a:extLst>
        </a:blip>
        <a:srcRect/>
        <a:stretch>
          <a:fillRect/>
        </a:stretch>
      </xdr:blipFill>
      <xdr:spPr bwMode="auto">
        <a:xfrm>
          <a:off x="26250900" y="4000500"/>
          <a:ext cx="5562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129540</xdr:colOff>
      <xdr:row>23</xdr:row>
      <xdr:rowOff>144780</xdr:rowOff>
    </xdr:from>
    <xdr:to>
      <xdr:col>42</xdr:col>
      <xdr:colOff>350520</xdr:colOff>
      <xdr:row>25</xdr:row>
      <xdr:rowOff>129540</xdr:rowOff>
    </xdr:to>
    <xdr:grpSp>
      <xdr:nvGrpSpPr>
        <xdr:cNvPr id="16" name="Group 20">
          <a:extLst>
            <a:ext uri="{FF2B5EF4-FFF2-40B4-BE49-F238E27FC236}">
              <a16:creationId xmlns:a16="http://schemas.microsoft.com/office/drawing/2014/main" id="{00000000-0008-0000-0900-000010000000}"/>
            </a:ext>
          </a:extLst>
        </xdr:cNvPr>
        <xdr:cNvGrpSpPr>
          <a:grpSpLocks/>
        </xdr:cNvGrpSpPr>
      </xdr:nvGrpSpPr>
      <xdr:grpSpPr bwMode="auto">
        <a:xfrm>
          <a:off x="11904254" y="4154351"/>
          <a:ext cx="220980" cy="311332"/>
          <a:chOff x="1813" y="267"/>
          <a:chExt cx="106" cy="147"/>
        </a:xfrm>
      </xdr:grpSpPr>
      <xdr:sp macro="" textlink="">
        <xdr:nvSpPr>
          <xdr:cNvPr id="17" name="Line 21">
            <a:extLst>
              <a:ext uri="{FF2B5EF4-FFF2-40B4-BE49-F238E27FC236}">
                <a16:creationId xmlns:a16="http://schemas.microsoft.com/office/drawing/2014/main" id="{00000000-0008-0000-0900-000011000000}"/>
              </a:ext>
            </a:extLst>
          </xdr:cNvPr>
          <xdr:cNvSpPr>
            <a:spLocks noChangeShapeType="1"/>
          </xdr:cNvSpPr>
        </xdr:nvSpPr>
        <xdr:spPr bwMode="auto">
          <a:xfrm>
            <a:off x="1813" y="269"/>
            <a:ext cx="15" cy="63"/>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 name="Line 22">
            <a:extLst>
              <a:ext uri="{FF2B5EF4-FFF2-40B4-BE49-F238E27FC236}">
                <a16:creationId xmlns:a16="http://schemas.microsoft.com/office/drawing/2014/main" id="{00000000-0008-0000-0900-000012000000}"/>
              </a:ext>
            </a:extLst>
          </xdr:cNvPr>
          <xdr:cNvSpPr>
            <a:spLocks noChangeShapeType="1"/>
          </xdr:cNvSpPr>
        </xdr:nvSpPr>
        <xdr:spPr bwMode="auto">
          <a:xfrm>
            <a:off x="1829" y="332"/>
            <a:ext cx="75"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 name="Line 23">
            <a:extLst>
              <a:ext uri="{FF2B5EF4-FFF2-40B4-BE49-F238E27FC236}">
                <a16:creationId xmlns:a16="http://schemas.microsoft.com/office/drawing/2014/main" id="{00000000-0008-0000-0900-000013000000}"/>
              </a:ext>
            </a:extLst>
          </xdr:cNvPr>
          <xdr:cNvSpPr>
            <a:spLocks noChangeShapeType="1"/>
          </xdr:cNvSpPr>
        </xdr:nvSpPr>
        <xdr:spPr bwMode="auto">
          <a:xfrm flipV="1">
            <a:off x="1904" y="267"/>
            <a:ext cx="15" cy="67"/>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 name="Line 24">
            <a:extLst>
              <a:ext uri="{FF2B5EF4-FFF2-40B4-BE49-F238E27FC236}">
                <a16:creationId xmlns:a16="http://schemas.microsoft.com/office/drawing/2014/main" id="{00000000-0008-0000-0900-000014000000}"/>
              </a:ext>
            </a:extLst>
          </xdr:cNvPr>
          <xdr:cNvSpPr>
            <a:spLocks noChangeShapeType="1"/>
          </xdr:cNvSpPr>
        </xdr:nvSpPr>
        <xdr:spPr bwMode="auto">
          <a:xfrm>
            <a:off x="1867" y="332"/>
            <a:ext cx="0" cy="82"/>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 name="Line 25">
            <a:extLst>
              <a:ext uri="{FF2B5EF4-FFF2-40B4-BE49-F238E27FC236}">
                <a16:creationId xmlns:a16="http://schemas.microsoft.com/office/drawing/2014/main" id="{00000000-0008-0000-0900-000015000000}"/>
              </a:ext>
            </a:extLst>
          </xdr:cNvPr>
          <xdr:cNvSpPr>
            <a:spLocks noChangeShapeType="1"/>
          </xdr:cNvSpPr>
        </xdr:nvSpPr>
        <xdr:spPr bwMode="auto">
          <a:xfrm>
            <a:off x="1844" y="414"/>
            <a:ext cx="51"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42</xdr:col>
      <xdr:colOff>68580</xdr:colOff>
      <xdr:row>15</xdr:row>
      <xdr:rowOff>160020</xdr:rowOff>
    </xdr:from>
    <xdr:to>
      <xdr:col>42</xdr:col>
      <xdr:colOff>510540</xdr:colOff>
      <xdr:row>17</xdr:row>
      <xdr:rowOff>114300</xdr:rowOff>
    </xdr:to>
    <xdr:grpSp>
      <xdr:nvGrpSpPr>
        <xdr:cNvPr id="22" name="Group 26">
          <a:extLst>
            <a:ext uri="{FF2B5EF4-FFF2-40B4-BE49-F238E27FC236}">
              <a16:creationId xmlns:a16="http://schemas.microsoft.com/office/drawing/2014/main" id="{00000000-0008-0000-0900-000016000000}"/>
            </a:ext>
          </a:extLst>
        </xdr:cNvPr>
        <xdr:cNvGrpSpPr>
          <a:grpSpLocks/>
        </xdr:cNvGrpSpPr>
      </xdr:nvGrpSpPr>
      <xdr:grpSpPr bwMode="auto">
        <a:xfrm>
          <a:off x="11843294" y="2845163"/>
          <a:ext cx="441960" cy="280851"/>
          <a:chOff x="267" y="335"/>
          <a:chExt cx="150" cy="88"/>
        </a:xfrm>
      </xdr:grpSpPr>
      <xdr:sp macro="" textlink="">
        <xdr:nvSpPr>
          <xdr:cNvPr id="23" name="Rectangle 27">
            <a:extLst>
              <a:ext uri="{FF2B5EF4-FFF2-40B4-BE49-F238E27FC236}">
                <a16:creationId xmlns:a16="http://schemas.microsoft.com/office/drawing/2014/main" id="{00000000-0008-0000-0900-000017000000}"/>
              </a:ext>
            </a:extLst>
          </xdr:cNvPr>
          <xdr:cNvSpPr>
            <a:spLocks noChangeArrowheads="1"/>
          </xdr:cNvSpPr>
        </xdr:nvSpPr>
        <xdr:spPr bwMode="auto">
          <a:xfrm>
            <a:off x="268" y="351"/>
            <a:ext cx="149" cy="72"/>
          </a:xfrm>
          <a:prstGeom prst="rect">
            <a:avLst/>
          </a:prstGeom>
          <a:solidFill>
            <a:srgbClr val="CCFFFF"/>
          </a:solidFill>
          <a:ln w="9525">
            <a:solidFill>
              <a:srgbClr val="000000"/>
            </a:solidFill>
            <a:miter lim="800000"/>
            <a:headEnd/>
            <a:tailEnd/>
          </a:ln>
        </xdr:spPr>
      </xdr:sp>
      <xdr:sp macro="" textlink="">
        <xdr:nvSpPr>
          <xdr:cNvPr id="24" name="AutoShape 28">
            <a:extLst>
              <a:ext uri="{FF2B5EF4-FFF2-40B4-BE49-F238E27FC236}">
                <a16:creationId xmlns:a16="http://schemas.microsoft.com/office/drawing/2014/main" id="{00000000-0008-0000-0900-000018000000}"/>
              </a:ext>
            </a:extLst>
          </xdr:cNvPr>
          <xdr:cNvSpPr>
            <a:spLocks noChangeArrowheads="1"/>
          </xdr:cNvSpPr>
        </xdr:nvSpPr>
        <xdr:spPr bwMode="auto">
          <a:xfrm flipH="1">
            <a:off x="385" y="335"/>
            <a:ext cx="32" cy="16"/>
          </a:xfrm>
          <a:prstGeom prst="rtTriangle">
            <a:avLst/>
          </a:prstGeom>
          <a:solidFill>
            <a:srgbClr val="CCFFFF"/>
          </a:solidFill>
          <a:ln w="9525">
            <a:solidFill>
              <a:srgbClr val="000000"/>
            </a:solidFill>
            <a:miter lim="800000"/>
            <a:headEnd/>
            <a:tailEnd/>
          </a:ln>
        </xdr:spPr>
      </xdr:sp>
      <xdr:sp macro="" textlink="">
        <xdr:nvSpPr>
          <xdr:cNvPr id="25" name="AutoShape 29">
            <a:extLst>
              <a:ext uri="{FF2B5EF4-FFF2-40B4-BE49-F238E27FC236}">
                <a16:creationId xmlns:a16="http://schemas.microsoft.com/office/drawing/2014/main" id="{00000000-0008-0000-0900-000019000000}"/>
              </a:ext>
            </a:extLst>
          </xdr:cNvPr>
          <xdr:cNvSpPr>
            <a:spLocks noChangeArrowheads="1"/>
          </xdr:cNvSpPr>
        </xdr:nvSpPr>
        <xdr:spPr bwMode="auto">
          <a:xfrm flipH="1">
            <a:off x="361" y="335"/>
            <a:ext cx="32" cy="16"/>
          </a:xfrm>
          <a:prstGeom prst="rtTriangle">
            <a:avLst/>
          </a:prstGeom>
          <a:solidFill>
            <a:srgbClr val="CCFFFF"/>
          </a:solidFill>
          <a:ln w="9525">
            <a:solidFill>
              <a:srgbClr val="000000"/>
            </a:solidFill>
            <a:miter lim="800000"/>
            <a:headEnd/>
            <a:tailEnd/>
          </a:ln>
        </xdr:spPr>
      </xdr:sp>
      <xdr:sp macro="" textlink="">
        <xdr:nvSpPr>
          <xdr:cNvPr id="26" name="AutoShape 30">
            <a:extLst>
              <a:ext uri="{FF2B5EF4-FFF2-40B4-BE49-F238E27FC236}">
                <a16:creationId xmlns:a16="http://schemas.microsoft.com/office/drawing/2014/main" id="{00000000-0008-0000-0900-00001A000000}"/>
              </a:ext>
            </a:extLst>
          </xdr:cNvPr>
          <xdr:cNvSpPr>
            <a:spLocks noChangeArrowheads="1"/>
          </xdr:cNvSpPr>
        </xdr:nvSpPr>
        <xdr:spPr bwMode="auto">
          <a:xfrm flipH="1">
            <a:off x="338" y="335"/>
            <a:ext cx="32" cy="16"/>
          </a:xfrm>
          <a:prstGeom prst="rtTriangle">
            <a:avLst/>
          </a:prstGeom>
          <a:solidFill>
            <a:srgbClr val="CCFFFF"/>
          </a:solidFill>
          <a:ln w="9525">
            <a:solidFill>
              <a:srgbClr val="000000"/>
            </a:solidFill>
            <a:miter lim="800000"/>
            <a:headEnd/>
            <a:tailEnd/>
          </a:ln>
        </xdr:spPr>
      </xdr:sp>
      <xdr:sp macro="" textlink="">
        <xdr:nvSpPr>
          <xdr:cNvPr id="27" name="AutoShape 31">
            <a:extLst>
              <a:ext uri="{FF2B5EF4-FFF2-40B4-BE49-F238E27FC236}">
                <a16:creationId xmlns:a16="http://schemas.microsoft.com/office/drawing/2014/main" id="{00000000-0008-0000-0900-00001B000000}"/>
              </a:ext>
            </a:extLst>
          </xdr:cNvPr>
          <xdr:cNvSpPr>
            <a:spLocks noChangeArrowheads="1"/>
          </xdr:cNvSpPr>
        </xdr:nvSpPr>
        <xdr:spPr bwMode="auto">
          <a:xfrm flipH="1">
            <a:off x="313" y="335"/>
            <a:ext cx="32" cy="16"/>
          </a:xfrm>
          <a:prstGeom prst="rtTriangle">
            <a:avLst/>
          </a:prstGeom>
          <a:solidFill>
            <a:srgbClr val="CCFFFF"/>
          </a:solidFill>
          <a:ln w="9525">
            <a:solidFill>
              <a:srgbClr val="000000"/>
            </a:solidFill>
            <a:miter lim="800000"/>
            <a:headEnd/>
            <a:tailEnd/>
          </a:ln>
        </xdr:spPr>
      </xdr:sp>
      <xdr:sp macro="" textlink="">
        <xdr:nvSpPr>
          <xdr:cNvPr id="28" name="AutoShape 32">
            <a:extLst>
              <a:ext uri="{FF2B5EF4-FFF2-40B4-BE49-F238E27FC236}">
                <a16:creationId xmlns:a16="http://schemas.microsoft.com/office/drawing/2014/main" id="{00000000-0008-0000-0900-00001C000000}"/>
              </a:ext>
            </a:extLst>
          </xdr:cNvPr>
          <xdr:cNvSpPr>
            <a:spLocks noChangeArrowheads="1"/>
          </xdr:cNvSpPr>
        </xdr:nvSpPr>
        <xdr:spPr bwMode="auto">
          <a:xfrm flipH="1">
            <a:off x="291" y="335"/>
            <a:ext cx="32" cy="16"/>
          </a:xfrm>
          <a:prstGeom prst="rtTriangle">
            <a:avLst/>
          </a:prstGeom>
          <a:solidFill>
            <a:srgbClr val="CCFFFF"/>
          </a:solidFill>
          <a:ln w="9525">
            <a:solidFill>
              <a:srgbClr val="000000"/>
            </a:solidFill>
            <a:miter lim="800000"/>
            <a:headEnd/>
            <a:tailEnd/>
          </a:ln>
        </xdr:spPr>
      </xdr:sp>
      <xdr:sp macro="" textlink="">
        <xdr:nvSpPr>
          <xdr:cNvPr id="29" name="AutoShape 33">
            <a:extLst>
              <a:ext uri="{FF2B5EF4-FFF2-40B4-BE49-F238E27FC236}">
                <a16:creationId xmlns:a16="http://schemas.microsoft.com/office/drawing/2014/main" id="{00000000-0008-0000-0900-00001D000000}"/>
              </a:ext>
            </a:extLst>
          </xdr:cNvPr>
          <xdr:cNvSpPr>
            <a:spLocks noChangeArrowheads="1"/>
          </xdr:cNvSpPr>
        </xdr:nvSpPr>
        <xdr:spPr bwMode="auto">
          <a:xfrm flipH="1">
            <a:off x="267" y="335"/>
            <a:ext cx="32" cy="16"/>
          </a:xfrm>
          <a:prstGeom prst="rtTriangle">
            <a:avLst/>
          </a:prstGeom>
          <a:solidFill>
            <a:srgbClr val="CCFFFF"/>
          </a:solidFill>
          <a:ln w="9525">
            <a:solidFill>
              <a:srgbClr val="000000"/>
            </a:solidFill>
            <a:miter lim="800000"/>
            <a:headEnd/>
            <a:tailEnd/>
          </a:ln>
        </xdr:spPr>
      </xdr:sp>
    </xdr:grpSp>
    <xdr:clientData/>
  </xdr:twoCellAnchor>
  <xdr:twoCellAnchor>
    <xdr:from>
      <xdr:col>43</xdr:col>
      <xdr:colOff>30480</xdr:colOff>
      <xdr:row>28</xdr:row>
      <xdr:rowOff>22860</xdr:rowOff>
    </xdr:from>
    <xdr:to>
      <xdr:col>43</xdr:col>
      <xdr:colOff>571500</xdr:colOff>
      <xdr:row>29</xdr:row>
      <xdr:rowOff>160020</xdr:rowOff>
    </xdr:to>
    <xdr:pic>
      <xdr:nvPicPr>
        <xdr:cNvPr id="30" name="Picture 34" descr="D:\Busdev\StratWeb\WEB7\vsm3.h20.gif">
          <a:extLst>
            <a:ext uri="{FF2B5EF4-FFF2-40B4-BE49-F238E27FC236}">
              <a16:creationId xmlns:a16="http://schemas.microsoft.com/office/drawing/2014/main" id="{00000000-0008-0000-0900-00001E000000}"/>
            </a:ext>
          </a:extLst>
        </xdr:cNvPr>
        <xdr:cNvPicPr>
          <a:picLocks noChangeAspect="1" noChangeArrowheads="1"/>
        </xdr:cNvPicPr>
      </xdr:nvPicPr>
      <xdr:blipFill>
        <a:blip xmlns:r="http://schemas.openxmlformats.org/officeDocument/2006/relationships" r:embed="rId16" r:link="rId17" cstate="print">
          <a:extLst>
            <a:ext uri="{28A0092B-C50C-407E-A947-70E740481C1C}">
              <a14:useLocalDpi xmlns:a14="http://schemas.microsoft.com/office/drawing/2010/main" val="0"/>
            </a:ext>
          </a:extLst>
        </a:blip>
        <a:srcRect/>
        <a:stretch>
          <a:fillRect/>
        </a:stretch>
      </xdr:blipFill>
      <xdr:spPr bwMode="auto">
        <a:xfrm>
          <a:off x="26243280" y="4716780"/>
          <a:ext cx="54102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160020</xdr:colOff>
      <xdr:row>16</xdr:row>
      <xdr:rowOff>38100</xdr:rowOff>
    </xdr:from>
    <xdr:to>
      <xdr:col>44</xdr:col>
      <xdr:colOff>342900</xdr:colOff>
      <xdr:row>17</xdr:row>
      <xdr:rowOff>76200</xdr:rowOff>
    </xdr:to>
    <xdr:sp macro="" textlink="">
      <xdr:nvSpPr>
        <xdr:cNvPr id="31" name="AutoShape 35">
          <a:extLst>
            <a:ext uri="{FF2B5EF4-FFF2-40B4-BE49-F238E27FC236}">
              <a16:creationId xmlns:a16="http://schemas.microsoft.com/office/drawing/2014/main" id="{00000000-0008-0000-0900-00001F000000}"/>
            </a:ext>
          </a:extLst>
        </xdr:cNvPr>
        <xdr:cNvSpPr>
          <a:spLocks noChangeArrowheads="1"/>
        </xdr:cNvSpPr>
      </xdr:nvSpPr>
      <xdr:spPr bwMode="auto">
        <a:xfrm flipH="1">
          <a:off x="26982420" y="2720340"/>
          <a:ext cx="182880" cy="205740"/>
        </a:xfrm>
        <a:custGeom>
          <a:avLst/>
          <a:gdLst>
            <a:gd name="T0" fmla="*/ 1526582 w 21600"/>
            <a:gd name="T1" fmla="*/ 1119035 h 21600"/>
            <a:gd name="T2" fmla="*/ 100305 w 21600"/>
            <a:gd name="T3" fmla="*/ 504254 h 21600"/>
            <a:gd name="T4" fmla="*/ 1526582 w 21600"/>
            <a:gd name="T5" fmla="*/ 1119035 h 21600"/>
            <a:gd name="T6" fmla="*/ -155778 w 21600"/>
            <a:gd name="T7" fmla="*/ 1335815 h 21600"/>
            <a:gd name="T8" fmla="*/ -23266 w 21600"/>
            <a:gd name="T9" fmla="*/ 1028109 h 21600"/>
            <a:gd name="T10" fmla="*/ 212954 w 21600"/>
            <a:gd name="T11" fmla="*/ 1200722 h 21600"/>
            <a:gd name="T12" fmla="*/ 0 60000 65536"/>
            <a:gd name="T13" fmla="*/ 0 60000 65536"/>
            <a:gd name="T14" fmla="*/ 0 60000 65536"/>
            <a:gd name="T15" fmla="*/ 0 60000 65536"/>
            <a:gd name="T16" fmla="*/ 0 60000 65536"/>
            <a:gd name="T17" fmla="*/ 0 60000 65536"/>
            <a:gd name="T18" fmla="*/ 3163 w 21600"/>
            <a:gd name="T19" fmla="*/ 3163 h 21600"/>
            <a:gd name="T20" fmla="*/ 18437 w 21600"/>
            <a:gd name="T21" fmla="*/ 18437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403" y="13725"/>
              </a:moveTo>
              <a:cubicBezTo>
                <a:pt x="1714" y="18382"/>
                <a:pt x="5961" y="21600"/>
                <a:pt x="10800" y="21600"/>
              </a:cubicBezTo>
              <a:cubicBezTo>
                <a:pt x="16764" y="21600"/>
                <a:pt x="21600" y="16764"/>
                <a:pt x="21600" y="10800"/>
              </a:cubicBezTo>
              <a:cubicBezTo>
                <a:pt x="21600" y="4835"/>
                <a:pt x="16764" y="0"/>
                <a:pt x="10800" y="0"/>
              </a:cubicBezTo>
              <a:cubicBezTo>
                <a:pt x="6918" y="-1"/>
                <a:pt x="3334" y="2083"/>
                <a:pt x="1414" y="5457"/>
              </a:cubicBezTo>
              <a:cubicBezTo>
                <a:pt x="3334" y="2083"/>
                <a:pt x="6918" y="-1"/>
                <a:pt x="10800" y="0"/>
              </a:cubicBezTo>
              <a:cubicBezTo>
                <a:pt x="16764" y="0"/>
                <a:pt x="21600" y="4835"/>
                <a:pt x="21600" y="10800"/>
              </a:cubicBezTo>
              <a:cubicBezTo>
                <a:pt x="21600" y="16764"/>
                <a:pt x="16764" y="21600"/>
                <a:pt x="10800" y="21600"/>
              </a:cubicBezTo>
              <a:cubicBezTo>
                <a:pt x="5961" y="21600"/>
                <a:pt x="1714" y="18382"/>
                <a:pt x="403" y="13725"/>
              </a:cubicBezTo>
              <a:lnTo>
                <a:pt x="-2196" y="14456"/>
              </a:lnTo>
              <a:lnTo>
                <a:pt x="-328" y="11126"/>
              </a:lnTo>
              <a:lnTo>
                <a:pt x="3002" y="12994"/>
              </a:lnTo>
              <a:lnTo>
                <a:pt x="403" y="13725"/>
              </a:lnTo>
              <a:close/>
            </a:path>
          </a:pathLst>
        </a:custGeom>
        <a:solidFill>
          <a:srgbClr val="FFFFFF"/>
        </a:solidFill>
        <a:ln w="38100">
          <a:solidFill>
            <a:srgbClr val="000000"/>
          </a:solidFill>
          <a:miter lim="800000"/>
          <a:headEnd/>
          <a:tailEnd/>
        </a:ln>
      </xdr:spPr>
    </xdr:sp>
    <xdr:clientData/>
  </xdr:twoCellAnchor>
  <xdr:twoCellAnchor>
    <xdr:from>
      <xdr:col>44</xdr:col>
      <xdr:colOff>335280</xdr:colOff>
      <xdr:row>31</xdr:row>
      <xdr:rowOff>0</xdr:rowOff>
    </xdr:from>
    <xdr:to>
      <xdr:col>44</xdr:col>
      <xdr:colOff>586740</xdr:colOff>
      <xdr:row>33</xdr:row>
      <xdr:rowOff>38100</xdr:rowOff>
    </xdr:to>
    <xdr:pic>
      <xdr:nvPicPr>
        <xdr:cNvPr id="32" name="Picture 36" descr="D:\Busdev\StratWeb\WEB7\vsm3.h19.gif">
          <a:extLst>
            <a:ext uri="{FF2B5EF4-FFF2-40B4-BE49-F238E27FC236}">
              <a16:creationId xmlns:a16="http://schemas.microsoft.com/office/drawing/2014/main" id="{00000000-0008-0000-0900-000020000000}"/>
            </a:ext>
          </a:extLst>
        </xdr:cNvPr>
        <xdr:cNvPicPr>
          <a:picLocks noChangeAspect="1" noChangeArrowheads="1"/>
        </xdr:cNvPicPr>
      </xdr:nvPicPr>
      <xdr:blipFill>
        <a:blip xmlns:r="http://schemas.openxmlformats.org/officeDocument/2006/relationships" r:embed="rId18" r:link="rId19" cstate="print">
          <a:extLst>
            <a:ext uri="{28A0092B-C50C-407E-A947-70E740481C1C}">
              <a14:useLocalDpi xmlns:a14="http://schemas.microsoft.com/office/drawing/2010/main" val="0"/>
            </a:ext>
          </a:extLst>
        </a:blip>
        <a:srcRect/>
        <a:stretch>
          <a:fillRect/>
        </a:stretch>
      </xdr:blipFill>
      <xdr:spPr bwMode="auto">
        <a:xfrm>
          <a:off x="27157680" y="5196840"/>
          <a:ext cx="2514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243840</xdr:colOff>
      <xdr:row>31</xdr:row>
      <xdr:rowOff>30480</xdr:rowOff>
    </xdr:from>
    <xdr:to>
      <xdr:col>43</xdr:col>
      <xdr:colOff>381000</xdr:colOff>
      <xdr:row>33</xdr:row>
      <xdr:rowOff>22860</xdr:rowOff>
    </xdr:to>
    <xdr:grpSp>
      <xdr:nvGrpSpPr>
        <xdr:cNvPr id="33" name="Group 37">
          <a:extLst>
            <a:ext uri="{FF2B5EF4-FFF2-40B4-BE49-F238E27FC236}">
              <a16:creationId xmlns:a16="http://schemas.microsoft.com/office/drawing/2014/main" id="{00000000-0008-0000-0900-000021000000}"/>
            </a:ext>
          </a:extLst>
        </xdr:cNvPr>
        <xdr:cNvGrpSpPr>
          <a:grpSpLocks/>
        </xdr:cNvGrpSpPr>
      </xdr:nvGrpSpPr>
      <xdr:grpSpPr bwMode="auto">
        <a:xfrm>
          <a:off x="12671697" y="5346337"/>
          <a:ext cx="137160" cy="318952"/>
          <a:chOff x="572" y="516"/>
          <a:chExt cx="44" cy="130"/>
        </a:xfrm>
      </xdr:grpSpPr>
      <xdr:cxnSp macro="">
        <xdr:nvCxnSpPr>
          <xdr:cNvPr id="34" name="AutoShape 38">
            <a:extLst>
              <a:ext uri="{FF2B5EF4-FFF2-40B4-BE49-F238E27FC236}">
                <a16:creationId xmlns:a16="http://schemas.microsoft.com/office/drawing/2014/main" id="{00000000-0008-0000-0900-000022000000}"/>
              </a:ext>
            </a:extLst>
          </xdr:cNvPr>
          <xdr:cNvCxnSpPr>
            <a:cxnSpLocks noChangeShapeType="1"/>
          </xdr:cNvCxnSpPr>
        </xdr:nvCxnSpPr>
        <xdr:spPr bwMode="auto">
          <a:xfrm flipH="1">
            <a:off x="614" y="517"/>
            <a:ext cx="1" cy="129"/>
          </a:xfrm>
          <a:prstGeom prst="straightConnector1">
            <a:avLst/>
          </a:prstGeom>
          <a:noFill/>
          <a:ln w="28575">
            <a:solidFill>
              <a:srgbClr val="000000"/>
            </a:solidFill>
            <a:round/>
            <a:headEnd/>
            <a:tailEnd/>
          </a:ln>
          <a:extLst>
            <a:ext uri="{909E8E84-426E-40DD-AFC4-6F175D3DCCD1}">
              <a14:hiddenFill xmlns:a14="http://schemas.microsoft.com/office/drawing/2010/main">
                <a:noFill/>
              </a14:hiddenFill>
            </a:ext>
          </a:extLst>
        </xdr:spPr>
      </xdr:cxnSp>
      <xdr:cxnSp macro="">
        <xdr:nvCxnSpPr>
          <xdr:cNvPr id="35" name="AutoShape 39">
            <a:extLst>
              <a:ext uri="{FF2B5EF4-FFF2-40B4-BE49-F238E27FC236}">
                <a16:creationId xmlns:a16="http://schemas.microsoft.com/office/drawing/2014/main" id="{00000000-0008-0000-0900-000023000000}"/>
              </a:ext>
            </a:extLst>
          </xdr:cNvPr>
          <xdr:cNvCxnSpPr>
            <a:cxnSpLocks noChangeShapeType="1"/>
          </xdr:cNvCxnSpPr>
        </xdr:nvCxnSpPr>
        <xdr:spPr bwMode="auto">
          <a:xfrm flipH="1">
            <a:off x="572" y="516"/>
            <a:ext cx="43" cy="0"/>
          </a:xfrm>
          <a:prstGeom prst="straightConnector1">
            <a:avLst/>
          </a:prstGeom>
          <a:noFill/>
          <a:ln w="28575">
            <a:solidFill>
              <a:srgbClr val="000000"/>
            </a:solidFill>
            <a:round/>
            <a:headEnd/>
            <a:tailEnd/>
          </a:ln>
          <a:extLst>
            <a:ext uri="{909E8E84-426E-40DD-AFC4-6F175D3DCCD1}">
              <a14:hiddenFill xmlns:a14="http://schemas.microsoft.com/office/drawing/2010/main">
                <a:noFill/>
              </a14:hiddenFill>
            </a:ext>
          </a:extLst>
        </xdr:spPr>
      </xdr:cxnSp>
      <xdr:cxnSp macro="">
        <xdr:nvCxnSpPr>
          <xdr:cNvPr id="36" name="AutoShape 40">
            <a:extLst>
              <a:ext uri="{FF2B5EF4-FFF2-40B4-BE49-F238E27FC236}">
                <a16:creationId xmlns:a16="http://schemas.microsoft.com/office/drawing/2014/main" id="{00000000-0008-0000-0900-000024000000}"/>
              </a:ext>
            </a:extLst>
          </xdr:cNvPr>
          <xdr:cNvCxnSpPr>
            <a:cxnSpLocks noChangeShapeType="1"/>
          </xdr:cNvCxnSpPr>
        </xdr:nvCxnSpPr>
        <xdr:spPr bwMode="auto">
          <a:xfrm flipH="1">
            <a:off x="572" y="516"/>
            <a:ext cx="43" cy="0"/>
          </a:xfrm>
          <a:prstGeom prst="straightConnector1">
            <a:avLst/>
          </a:prstGeom>
          <a:noFill/>
          <a:ln w="28575">
            <a:solidFill>
              <a:srgbClr val="000000"/>
            </a:solidFill>
            <a:round/>
            <a:headEnd/>
            <a:tailEnd/>
          </a:ln>
          <a:extLst>
            <a:ext uri="{909E8E84-426E-40DD-AFC4-6F175D3DCCD1}">
              <a14:hiddenFill xmlns:a14="http://schemas.microsoft.com/office/drawing/2010/main">
                <a:noFill/>
              </a14:hiddenFill>
            </a:ext>
          </a:extLst>
        </xdr:spPr>
      </xdr:cxnSp>
      <xdr:cxnSp macro="">
        <xdr:nvCxnSpPr>
          <xdr:cNvPr id="37" name="AutoShape 41">
            <a:extLst>
              <a:ext uri="{FF2B5EF4-FFF2-40B4-BE49-F238E27FC236}">
                <a16:creationId xmlns:a16="http://schemas.microsoft.com/office/drawing/2014/main" id="{00000000-0008-0000-0900-000025000000}"/>
              </a:ext>
            </a:extLst>
          </xdr:cNvPr>
          <xdr:cNvCxnSpPr>
            <a:cxnSpLocks noChangeShapeType="1"/>
          </xdr:cNvCxnSpPr>
        </xdr:nvCxnSpPr>
        <xdr:spPr bwMode="auto">
          <a:xfrm flipH="1">
            <a:off x="572" y="558"/>
            <a:ext cx="43" cy="0"/>
          </a:xfrm>
          <a:prstGeom prst="straightConnector1">
            <a:avLst/>
          </a:prstGeom>
          <a:noFill/>
          <a:ln w="28575">
            <a:solidFill>
              <a:srgbClr val="000000"/>
            </a:solidFill>
            <a:round/>
            <a:headEnd/>
            <a:tailEnd/>
          </a:ln>
          <a:extLst>
            <a:ext uri="{909E8E84-426E-40DD-AFC4-6F175D3DCCD1}">
              <a14:hiddenFill xmlns:a14="http://schemas.microsoft.com/office/drawing/2010/main">
                <a:noFill/>
              </a14:hiddenFill>
            </a:ext>
          </a:extLst>
        </xdr:spPr>
      </xdr:cxnSp>
      <xdr:cxnSp macro="">
        <xdr:nvCxnSpPr>
          <xdr:cNvPr id="38" name="AutoShape 42">
            <a:extLst>
              <a:ext uri="{FF2B5EF4-FFF2-40B4-BE49-F238E27FC236}">
                <a16:creationId xmlns:a16="http://schemas.microsoft.com/office/drawing/2014/main" id="{00000000-0008-0000-0900-000026000000}"/>
              </a:ext>
            </a:extLst>
          </xdr:cNvPr>
          <xdr:cNvCxnSpPr>
            <a:cxnSpLocks noChangeShapeType="1"/>
          </xdr:cNvCxnSpPr>
        </xdr:nvCxnSpPr>
        <xdr:spPr bwMode="auto">
          <a:xfrm flipH="1">
            <a:off x="572" y="602"/>
            <a:ext cx="43" cy="0"/>
          </a:xfrm>
          <a:prstGeom prst="straightConnector1">
            <a:avLst/>
          </a:prstGeom>
          <a:noFill/>
          <a:ln w="28575">
            <a:solidFill>
              <a:srgbClr val="000000"/>
            </a:solidFill>
            <a:round/>
            <a:headEnd/>
            <a:tailEnd/>
          </a:ln>
          <a:extLst>
            <a:ext uri="{909E8E84-426E-40DD-AFC4-6F175D3DCCD1}">
              <a14:hiddenFill xmlns:a14="http://schemas.microsoft.com/office/drawing/2010/main">
                <a:noFill/>
              </a14:hiddenFill>
            </a:ext>
          </a:extLst>
        </xdr:spPr>
      </xdr:cxnSp>
      <xdr:cxnSp macro="">
        <xdr:nvCxnSpPr>
          <xdr:cNvPr id="39" name="AutoShape 43">
            <a:extLst>
              <a:ext uri="{FF2B5EF4-FFF2-40B4-BE49-F238E27FC236}">
                <a16:creationId xmlns:a16="http://schemas.microsoft.com/office/drawing/2014/main" id="{00000000-0008-0000-0900-000027000000}"/>
              </a:ext>
            </a:extLst>
          </xdr:cNvPr>
          <xdr:cNvCxnSpPr>
            <a:cxnSpLocks noChangeShapeType="1"/>
          </xdr:cNvCxnSpPr>
        </xdr:nvCxnSpPr>
        <xdr:spPr bwMode="auto">
          <a:xfrm flipH="1">
            <a:off x="573" y="644"/>
            <a:ext cx="43" cy="0"/>
          </a:xfrm>
          <a:prstGeom prst="straightConnector1">
            <a:avLst/>
          </a:prstGeom>
          <a:noFill/>
          <a:ln w="28575">
            <a:solidFill>
              <a:srgbClr val="000000"/>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43</xdr:col>
      <xdr:colOff>38100</xdr:colOff>
      <xdr:row>35</xdr:row>
      <xdr:rowOff>68580</xdr:rowOff>
    </xdr:from>
    <xdr:to>
      <xdr:col>44</xdr:col>
      <xdr:colOff>0</xdr:colOff>
      <xdr:row>36</xdr:row>
      <xdr:rowOff>106680</xdr:rowOff>
    </xdr:to>
    <xdr:grpSp>
      <xdr:nvGrpSpPr>
        <xdr:cNvPr id="40" name="Group 44">
          <a:extLst>
            <a:ext uri="{FF2B5EF4-FFF2-40B4-BE49-F238E27FC236}">
              <a16:creationId xmlns:a16="http://schemas.microsoft.com/office/drawing/2014/main" id="{00000000-0008-0000-0900-000028000000}"/>
            </a:ext>
          </a:extLst>
        </xdr:cNvPr>
        <xdr:cNvGrpSpPr>
          <a:grpSpLocks/>
        </xdr:cNvGrpSpPr>
      </xdr:nvGrpSpPr>
      <xdr:grpSpPr bwMode="auto">
        <a:xfrm>
          <a:off x="12465957" y="6110151"/>
          <a:ext cx="651329" cy="237672"/>
          <a:chOff x="1791" y="271"/>
          <a:chExt cx="114" cy="37"/>
        </a:xfrm>
      </xdr:grpSpPr>
      <xdr:sp macro="" textlink="">
        <xdr:nvSpPr>
          <xdr:cNvPr id="41" name="Line 45">
            <a:extLst>
              <a:ext uri="{FF2B5EF4-FFF2-40B4-BE49-F238E27FC236}">
                <a16:creationId xmlns:a16="http://schemas.microsoft.com/office/drawing/2014/main" id="{00000000-0008-0000-0900-000029000000}"/>
              </a:ext>
            </a:extLst>
          </xdr:cNvPr>
          <xdr:cNvSpPr>
            <a:spLocks noChangeShapeType="1"/>
          </xdr:cNvSpPr>
        </xdr:nvSpPr>
        <xdr:spPr bwMode="auto">
          <a:xfrm>
            <a:off x="1792" y="289"/>
            <a:ext cx="113" cy="0"/>
          </a:xfrm>
          <a:prstGeom prst="line">
            <a:avLst/>
          </a:prstGeom>
          <a:noFill/>
          <a:ln w="2857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2" name="Text Box 46">
            <a:extLst>
              <a:ext uri="{FF2B5EF4-FFF2-40B4-BE49-F238E27FC236}">
                <a16:creationId xmlns:a16="http://schemas.microsoft.com/office/drawing/2014/main" id="{00000000-0008-0000-0900-00002A000000}"/>
              </a:ext>
            </a:extLst>
          </xdr:cNvPr>
          <xdr:cNvSpPr txBox="1">
            <a:spLocks noChangeArrowheads="1"/>
          </xdr:cNvSpPr>
        </xdr:nvSpPr>
        <xdr:spPr bwMode="auto">
          <a:xfrm>
            <a:off x="1809" y="271"/>
            <a:ext cx="68" cy="30"/>
          </a:xfrm>
          <a:prstGeom prst="rect">
            <a:avLst/>
          </a:prstGeom>
          <a:solidFill>
            <a:srgbClr val="FFFFFF"/>
          </a:solidFill>
          <a:ln w="28575">
            <a:no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FIFO</a:t>
            </a:r>
          </a:p>
        </xdr:txBody>
      </xdr:sp>
      <xdr:sp macro="" textlink="">
        <xdr:nvSpPr>
          <xdr:cNvPr id="43" name="Line 47">
            <a:extLst>
              <a:ext uri="{FF2B5EF4-FFF2-40B4-BE49-F238E27FC236}">
                <a16:creationId xmlns:a16="http://schemas.microsoft.com/office/drawing/2014/main" id="{00000000-0008-0000-0900-00002B000000}"/>
              </a:ext>
            </a:extLst>
          </xdr:cNvPr>
          <xdr:cNvSpPr>
            <a:spLocks noChangeShapeType="1"/>
          </xdr:cNvSpPr>
        </xdr:nvSpPr>
        <xdr:spPr bwMode="auto">
          <a:xfrm>
            <a:off x="1791" y="271"/>
            <a:ext cx="108"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4" name="Line 48">
            <a:extLst>
              <a:ext uri="{FF2B5EF4-FFF2-40B4-BE49-F238E27FC236}">
                <a16:creationId xmlns:a16="http://schemas.microsoft.com/office/drawing/2014/main" id="{00000000-0008-0000-0900-00002C000000}"/>
              </a:ext>
            </a:extLst>
          </xdr:cNvPr>
          <xdr:cNvSpPr>
            <a:spLocks noChangeShapeType="1"/>
          </xdr:cNvSpPr>
        </xdr:nvSpPr>
        <xdr:spPr bwMode="auto">
          <a:xfrm>
            <a:off x="1793" y="308"/>
            <a:ext cx="108"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42</xdr:col>
      <xdr:colOff>91440</xdr:colOff>
      <xdr:row>35</xdr:row>
      <xdr:rowOff>0</xdr:rowOff>
    </xdr:from>
    <xdr:to>
      <xdr:col>42</xdr:col>
      <xdr:colOff>464820</xdr:colOff>
      <xdr:row>36</xdr:row>
      <xdr:rowOff>91440</xdr:rowOff>
    </xdr:to>
    <xdr:grpSp>
      <xdr:nvGrpSpPr>
        <xdr:cNvPr id="45" name="Group 49">
          <a:extLst>
            <a:ext uri="{FF2B5EF4-FFF2-40B4-BE49-F238E27FC236}">
              <a16:creationId xmlns:a16="http://schemas.microsoft.com/office/drawing/2014/main" id="{00000000-0008-0000-0900-00002D000000}"/>
            </a:ext>
          </a:extLst>
        </xdr:cNvPr>
        <xdr:cNvGrpSpPr>
          <a:grpSpLocks/>
        </xdr:cNvGrpSpPr>
      </xdr:nvGrpSpPr>
      <xdr:grpSpPr bwMode="auto">
        <a:xfrm>
          <a:off x="11866154" y="6041571"/>
          <a:ext cx="373380" cy="291012"/>
          <a:chOff x="1860" y="222"/>
          <a:chExt cx="159" cy="139"/>
        </a:xfrm>
      </xdr:grpSpPr>
      <xdr:sp macro="" textlink="">
        <xdr:nvSpPr>
          <xdr:cNvPr id="46" name="AutoShape 50">
            <a:extLst>
              <a:ext uri="{FF2B5EF4-FFF2-40B4-BE49-F238E27FC236}">
                <a16:creationId xmlns:a16="http://schemas.microsoft.com/office/drawing/2014/main" id="{00000000-0008-0000-0900-00002E000000}"/>
              </a:ext>
            </a:extLst>
          </xdr:cNvPr>
          <xdr:cNvSpPr>
            <a:spLocks noChangeArrowheads="1"/>
          </xdr:cNvSpPr>
        </xdr:nvSpPr>
        <xdr:spPr bwMode="auto">
          <a:xfrm>
            <a:off x="1860" y="222"/>
            <a:ext cx="159" cy="139"/>
          </a:xfrm>
          <a:prstGeom prst="flowChartExtract">
            <a:avLst/>
          </a:prstGeom>
          <a:solidFill>
            <a:srgbClr val="FFFF99"/>
          </a:solidFill>
          <a:ln w="28575">
            <a:solidFill>
              <a:srgbClr val="000000"/>
            </a:solidFill>
            <a:miter lim="800000"/>
            <a:headEnd/>
            <a:tailEnd/>
          </a:ln>
        </xdr:spPr>
      </xdr:sp>
      <xdr:sp macro="" textlink="">
        <xdr:nvSpPr>
          <xdr:cNvPr id="47" name="Line 51">
            <a:extLst>
              <a:ext uri="{FF2B5EF4-FFF2-40B4-BE49-F238E27FC236}">
                <a16:creationId xmlns:a16="http://schemas.microsoft.com/office/drawing/2014/main" id="{00000000-0008-0000-0900-00002F000000}"/>
              </a:ext>
            </a:extLst>
          </xdr:cNvPr>
          <xdr:cNvSpPr>
            <a:spLocks noChangeShapeType="1"/>
          </xdr:cNvSpPr>
        </xdr:nvSpPr>
        <xdr:spPr bwMode="auto">
          <a:xfrm>
            <a:off x="1940" y="279"/>
            <a:ext cx="0" cy="63"/>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 name="Line 52">
            <a:extLst>
              <a:ext uri="{FF2B5EF4-FFF2-40B4-BE49-F238E27FC236}">
                <a16:creationId xmlns:a16="http://schemas.microsoft.com/office/drawing/2014/main" id="{00000000-0008-0000-0900-000030000000}"/>
              </a:ext>
            </a:extLst>
          </xdr:cNvPr>
          <xdr:cNvSpPr>
            <a:spLocks noChangeShapeType="1"/>
          </xdr:cNvSpPr>
        </xdr:nvSpPr>
        <xdr:spPr bwMode="auto">
          <a:xfrm>
            <a:off x="1920" y="279"/>
            <a:ext cx="41"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 name="Line 53">
            <a:extLst>
              <a:ext uri="{FF2B5EF4-FFF2-40B4-BE49-F238E27FC236}">
                <a16:creationId xmlns:a16="http://schemas.microsoft.com/office/drawing/2014/main" id="{00000000-0008-0000-0900-000031000000}"/>
              </a:ext>
            </a:extLst>
          </xdr:cNvPr>
          <xdr:cNvSpPr>
            <a:spLocks noChangeShapeType="1"/>
          </xdr:cNvSpPr>
        </xdr:nvSpPr>
        <xdr:spPr bwMode="auto">
          <a:xfrm>
            <a:off x="1920" y="342"/>
            <a:ext cx="41"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43</xdr:col>
      <xdr:colOff>76200</xdr:colOff>
      <xdr:row>38</xdr:row>
      <xdr:rowOff>137160</xdr:rowOff>
    </xdr:from>
    <xdr:to>
      <xdr:col>43</xdr:col>
      <xdr:colOff>571500</xdr:colOff>
      <xdr:row>40</xdr:row>
      <xdr:rowOff>45720</xdr:rowOff>
    </xdr:to>
    <xdr:sp macro="" textlink="">
      <xdr:nvSpPr>
        <xdr:cNvPr id="50" name="AutoShape 54">
          <a:extLst>
            <a:ext uri="{FF2B5EF4-FFF2-40B4-BE49-F238E27FC236}">
              <a16:creationId xmlns:a16="http://schemas.microsoft.com/office/drawing/2014/main" id="{00000000-0008-0000-0900-000032000000}"/>
            </a:ext>
          </a:extLst>
        </xdr:cNvPr>
        <xdr:cNvSpPr>
          <a:spLocks noChangeArrowheads="1"/>
        </xdr:cNvSpPr>
      </xdr:nvSpPr>
      <xdr:spPr bwMode="auto">
        <a:xfrm>
          <a:off x="26289000" y="6507480"/>
          <a:ext cx="495300" cy="243840"/>
        </a:xfrm>
        <a:prstGeom prst="rightArrow">
          <a:avLst>
            <a:gd name="adj1" fmla="val 39398"/>
            <a:gd name="adj2" fmla="val 44688"/>
          </a:avLst>
        </a:prstGeom>
        <a:solidFill>
          <a:srgbClr val="FFFFFF"/>
        </a:solidFill>
        <a:ln w="9525">
          <a:solidFill>
            <a:srgbClr val="000000"/>
          </a:solidFill>
          <a:miter lim="800000"/>
          <a:headEnd/>
          <a:tailEnd/>
        </a:ln>
      </xdr:spPr>
    </xdr:sp>
    <xdr:clientData/>
  </xdr:twoCellAnchor>
  <xdr:twoCellAnchor>
    <xdr:from>
      <xdr:col>42</xdr:col>
      <xdr:colOff>76200</xdr:colOff>
      <xdr:row>39</xdr:row>
      <xdr:rowOff>0</xdr:rowOff>
    </xdr:from>
    <xdr:to>
      <xdr:col>42</xdr:col>
      <xdr:colOff>548640</xdr:colOff>
      <xdr:row>40</xdr:row>
      <xdr:rowOff>68580</xdr:rowOff>
    </xdr:to>
    <xdr:sp macro="" textlink="">
      <xdr:nvSpPr>
        <xdr:cNvPr id="51" name="AutoShape 55" descr="Light vertical">
          <a:extLst>
            <a:ext uri="{FF2B5EF4-FFF2-40B4-BE49-F238E27FC236}">
              <a16:creationId xmlns:a16="http://schemas.microsoft.com/office/drawing/2014/main" id="{00000000-0008-0000-0900-000033000000}"/>
            </a:ext>
          </a:extLst>
        </xdr:cNvPr>
        <xdr:cNvSpPr>
          <a:spLocks noChangeArrowheads="1"/>
        </xdr:cNvSpPr>
      </xdr:nvSpPr>
      <xdr:spPr bwMode="auto">
        <a:xfrm>
          <a:off x="25679400" y="6537960"/>
          <a:ext cx="472440" cy="236220"/>
        </a:xfrm>
        <a:prstGeom prst="rightArrow">
          <a:avLst>
            <a:gd name="adj1" fmla="val 50000"/>
            <a:gd name="adj2" fmla="val 50000"/>
          </a:avLst>
        </a:prstGeom>
        <a:blipFill dpi="0" rotWithShape="0">
          <a:blip xmlns:r="http://schemas.openxmlformats.org/officeDocument/2006/relationships" r:embed="rId20"/>
          <a:srcRect/>
          <a:tile tx="0" ty="0" sx="100000" sy="100000" flip="none" algn="tl"/>
        </a:blipFill>
        <a:ln w="28575">
          <a:solidFill>
            <a:srgbClr val="0000FF"/>
          </a:solidFill>
          <a:miter lim="800000"/>
          <a:headEnd/>
          <a:tailEnd/>
        </a:ln>
      </xdr:spPr>
    </xdr:sp>
    <xdr:clientData/>
  </xdr:twoCellAnchor>
  <xdr:twoCellAnchor>
    <xdr:from>
      <xdr:col>44</xdr:col>
      <xdr:colOff>365760</xdr:colOff>
      <xdr:row>1</xdr:row>
      <xdr:rowOff>106680</xdr:rowOff>
    </xdr:from>
    <xdr:to>
      <xdr:col>44</xdr:col>
      <xdr:colOff>624840</xdr:colOff>
      <xdr:row>2</xdr:row>
      <xdr:rowOff>160020</xdr:rowOff>
    </xdr:to>
    <xdr:grpSp>
      <xdr:nvGrpSpPr>
        <xdr:cNvPr id="52" name="Group 56">
          <a:extLst>
            <a:ext uri="{FF2B5EF4-FFF2-40B4-BE49-F238E27FC236}">
              <a16:creationId xmlns:a16="http://schemas.microsoft.com/office/drawing/2014/main" id="{00000000-0008-0000-0900-000034000000}"/>
            </a:ext>
          </a:extLst>
        </xdr:cNvPr>
        <xdr:cNvGrpSpPr>
          <a:grpSpLocks/>
        </xdr:cNvGrpSpPr>
      </xdr:nvGrpSpPr>
      <xdr:grpSpPr bwMode="auto">
        <a:xfrm>
          <a:off x="13483046" y="505823"/>
          <a:ext cx="259080" cy="216626"/>
          <a:chOff x="304" y="241"/>
          <a:chExt cx="29" cy="29"/>
        </a:xfrm>
      </xdr:grpSpPr>
      <xdr:sp macro="" textlink="">
        <xdr:nvSpPr>
          <xdr:cNvPr id="53" name="Oval 57">
            <a:extLst>
              <a:ext uri="{FF2B5EF4-FFF2-40B4-BE49-F238E27FC236}">
                <a16:creationId xmlns:a16="http://schemas.microsoft.com/office/drawing/2014/main" id="{00000000-0008-0000-0900-000035000000}"/>
              </a:ext>
            </a:extLst>
          </xdr:cNvPr>
          <xdr:cNvSpPr>
            <a:spLocks noChangeArrowheads="1"/>
          </xdr:cNvSpPr>
        </xdr:nvSpPr>
        <xdr:spPr bwMode="auto">
          <a:xfrm>
            <a:off x="308" y="241"/>
            <a:ext cx="22" cy="22"/>
          </a:xfrm>
          <a:prstGeom prst="ellipse">
            <a:avLst/>
          </a:prstGeom>
          <a:solidFill>
            <a:srgbClr val="FFFF00"/>
          </a:solidFill>
          <a:ln w="9525">
            <a:solidFill>
              <a:srgbClr val="000000"/>
            </a:solidFill>
            <a:round/>
            <a:headEnd/>
            <a:tailEnd/>
          </a:ln>
        </xdr:spPr>
      </xdr:sp>
      <xdr:sp macro="" textlink="">
        <xdr:nvSpPr>
          <xdr:cNvPr id="54" name="AutoShape 58">
            <a:extLst>
              <a:ext uri="{FF2B5EF4-FFF2-40B4-BE49-F238E27FC236}">
                <a16:creationId xmlns:a16="http://schemas.microsoft.com/office/drawing/2014/main" id="{00000000-0008-0000-0900-000036000000}"/>
              </a:ext>
            </a:extLst>
          </xdr:cNvPr>
          <xdr:cNvSpPr>
            <a:spLocks noChangeArrowheads="1"/>
          </xdr:cNvSpPr>
        </xdr:nvSpPr>
        <xdr:spPr bwMode="auto">
          <a:xfrm flipV="1">
            <a:off x="304" y="251"/>
            <a:ext cx="29" cy="1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11368 h 21600"/>
            </a:gdLst>
            <a:ahLst/>
            <a:cxnLst>
              <a:cxn ang="T8">
                <a:pos x="T0" y="T1"/>
              </a:cxn>
              <a:cxn ang="T9">
                <a:pos x="T2" y="T3"/>
              </a:cxn>
              <a:cxn ang="T10">
                <a:pos x="T4" y="T5"/>
              </a:cxn>
              <a:cxn ang="T11">
                <a:pos x="T6" y="T7"/>
              </a:cxn>
            </a:cxnLst>
            <a:rect l="T12" t="T13" r="T14" b="T15"/>
            <a:pathLst>
              <a:path w="21600" h="21600">
                <a:moveTo>
                  <a:pt x="2979" y="9094"/>
                </a:moveTo>
                <a:cubicBezTo>
                  <a:pt x="3781" y="5417"/>
                  <a:pt x="7036" y="2795"/>
                  <a:pt x="10800" y="2796"/>
                </a:cubicBezTo>
                <a:cubicBezTo>
                  <a:pt x="14563" y="2796"/>
                  <a:pt x="17818" y="5417"/>
                  <a:pt x="18620" y="9094"/>
                </a:cubicBezTo>
                <a:lnTo>
                  <a:pt x="21351" y="8498"/>
                </a:lnTo>
                <a:cubicBezTo>
                  <a:pt x="20269" y="3537"/>
                  <a:pt x="15877" y="-1"/>
                  <a:pt x="10799" y="0"/>
                </a:cubicBezTo>
                <a:cubicBezTo>
                  <a:pt x="5722" y="0"/>
                  <a:pt x="1330" y="3537"/>
                  <a:pt x="248" y="8498"/>
                </a:cubicBezTo>
                <a:lnTo>
                  <a:pt x="2979" y="9094"/>
                </a:lnTo>
                <a:close/>
              </a:path>
            </a:pathLst>
          </a:custGeom>
          <a:solidFill>
            <a:srgbClr val="FFFF00"/>
          </a:solidFill>
          <a:ln w="9525">
            <a:solidFill>
              <a:srgbClr val="000000"/>
            </a:solidFill>
            <a:miter lim="800000"/>
            <a:headEnd/>
            <a:tailEnd/>
          </a:ln>
        </xdr:spPr>
      </xdr:sp>
    </xdr:grpSp>
    <xdr:clientData/>
  </xdr:twoCellAnchor>
  <xdr:twoCellAnchor>
    <xdr:from>
      <xdr:col>44</xdr:col>
      <xdr:colOff>304800</xdr:colOff>
      <xdr:row>38</xdr:row>
      <xdr:rowOff>7620</xdr:rowOff>
    </xdr:from>
    <xdr:to>
      <xdr:col>44</xdr:col>
      <xdr:colOff>441960</xdr:colOff>
      <xdr:row>38</xdr:row>
      <xdr:rowOff>129540</xdr:rowOff>
    </xdr:to>
    <xdr:sp macro="" textlink="">
      <xdr:nvSpPr>
        <xdr:cNvPr id="55" name="AutoShape 60">
          <a:extLst>
            <a:ext uri="{FF2B5EF4-FFF2-40B4-BE49-F238E27FC236}">
              <a16:creationId xmlns:a16="http://schemas.microsoft.com/office/drawing/2014/main" id="{00000000-0008-0000-0900-000037000000}"/>
            </a:ext>
          </a:extLst>
        </xdr:cNvPr>
        <xdr:cNvSpPr>
          <a:spLocks noChangeArrowheads="1"/>
        </xdr:cNvSpPr>
      </xdr:nvSpPr>
      <xdr:spPr bwMode="auto">
        <a:xfrm>
          <a:off x="27127200" y="6377940"/>
          <a:ext cx="137160" cy="121920"/>
        </a:xfrm>
        <a:custGeom>
          <a:avLst/>
          <a:gdLst>
            <a:gd name="T0" fmla="*/ 423386 w 21600"/>
            <a:gd name="T1" fmla="*/ 0 h 21600"/>
            <a:gd name="T2" fmla="*/ 123996 w 21600"/>
            <a:gd name="T3" fmla="*/ 94477 h 21600"/>
            <a:gd name="T4" fmla="*/ 0 w 21600"/>
            <a:gd name="T5" fmla="*/ 322580 h 21600"/>
            <a:gd name="T6" fmla="*/ 123996 w 21600"/>
            <a:gd name="T7" fmla="*/ 550683 h 21600"/>
            <a:gd name="T8" fmla="*/ 423386 w 21600"/>
            <a:gd name="T9" fmla="*/ 645160 h 21600"/>
            <a:gd name="T10" fmla="*/ 722776 w 21600"/>
            <a:gd name="T11" fmla="*/ 550683 h 21600"/>
            <a:gd name="T12" fmla="*/ 846773 w 21600"/>
            <a:gd name="T13" fmla="*/ 322580 h 21600"/>
            <a:gd name="T14" fmla="*/ 722776 w 21600"/>
            <a:gd name="T15" fmla="*/ 94477 h 21600"/>
            <a:gd name="T16" fmla="*/ 0 60000 65536"/>
            <a:gd name="T17" fmla="*/ 0 60000 65536"/>
            <a:gd name="T18" fmla="*/ 0 60000 65536"/>
            <a:gd name="T19" fmla="*/ 0 60000 65536"/>
            <a:gd name="T20" fmla="*/ 0 60000 65536"/>
            <a:gd name="T21" fmla="*/ 0 60000 65536"/>
            <a:gd name="T22" fmla="*/ 0 60000 65536"/>
            <a:gd name="T23" fmla="*/ 0 60000 65536"/>
            <a:gd name="T24" fmla="*/ 3163 w 21600"/>
            <a:gd name="T25" fmla="*/ 3163 h 21600"/>
            <a:gd name="T26" fmla="*/ 18437 w 21600"/>
            <a:gd name="T27" fmla="*/ 18437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7855" y="10800"/>
              </a:moveTo>
              <a:cubicBezTo>
                <a:pt x="7855" y="12426"/>
                <a:pt x="9174" y="13745"/>
                <a:pt x="10800" y="13745"/>
              </a:cubicBezTo>
              <a:cubicBezTo>
                <a:pt x="12426" y="13745"/>
                <a:pt x="13745" y="12426"/>
                <a:pt x="13745" y="10800"/>
              </a:cubicBezTo>
              <a:cubicBezTo>
                <a:pt x="13745" y="9174"/>
                <a:pt x="12426" y="7855"/>
                <a:pt x="10800" y="7855"/>
              </a:cubicBezTo>
              <a:cubicBezTo>
                <a:pt x="9174" y="7855"/>
                <a:pt x="7855" y="9174"/>
                <a:pt x="7855" y="10800"/>
              </a:cubicBezTo>
              <a:close/>
            </a:path>
          </a:pathLst>
        </a:custGeom>
        <a:solidFill>
          <a:srgbClr val="FFFFFF"/>
        </a:solidFill>
        <a:ln w="28575">
          <a:solidFill>
            <a:srgbClr val="000000"/>
          </a:solidFill>
          <a:round/>
          <a:headEnd/>
          <a:tailEnd/>
        </a:ln>
      </xdr:spPr>
    </xdr:sp>
    <xdr:clientData/>
  </xdr:twoCellAnchor>
  <xdr:twoCellAnchor>
    <xdr:from>
      <xdr:col>44</xdr:col>
      <xdr:colOff>136071</xdr:colOff>
      <xdr:row>27</xdr:row>
      <xdr:rowOff>58783</xdr:rowOff>
    </xdr:from>
    <xdr:to>
      <xdr:col>44</xdr:col>
      <xdr:colOff>494211</xdr:colOff>
      <xdr:row>28</xdr:row>
      <xdr:rowOff>153488</xdr:rowOff>
    </xdr:to>
    <xdr:sp macro="" textlink="">
      <xdr:nvSpPr>
        <xdr:cNvPr id="56" name="AutoShape 61">
          <a:extLst>
            <a:ext uri="{FF2B5EF4-FFF2-40B4-BE49-F238E27FC236}">
              <a16:creationId xmlns:a16="http://schemas.microsoft.com/office/drawing/2014/main" id="{00000000-0008-0000-0900-000038000000}"/>
            </a:ext>
          </a:extLst>
        </xdr:cNvPr>
        <xdr:cNvSpPr>
          <a:spLocks noChangeArrowheads="1"/>
        </xdr:cNvSpPr>
      </xdr:nvSpPr>
      <xdr:spPr bwMode="auto">
        <a:xfrm>
          <a:off x="12055928" y="4706983"/>
          <a:ext cx="358140" cy="257991"/>
        </a:xfrm>
        <a:prstGeom prst="flowChartExtract">
          <a:avLst/>
        </a:prstGeom>
        <a:solidFill>
          <a:srgbClr val="FFFF99"/>
        </a:solidFill>
        <a:ln w="28575">
          <a:solidFill>
            <a:srgbClr val="000000"/>
          </a:solidFill>
          <a:miter lim="800000"/>
          <a:headEnd/>
          <a:tailEnd/>
        </a:ln>
      </xdr:spPr>
    </xdr:sp>
    <xdr:clientData/>
  </xdr:twoCellAnchor>
  <xdr:twoCellAnchor editAs="oneCell">
    <xdr:from>
      <xdr:col>43</xdr:col>
      <xdr:colOff>175260</xdr:colOff>
      <xdr:row>10</xdr:row>
      <xdr:rowOff>7620</xdr:rowOff>
    </xdr:from>
    <xdr:to>
      <xdr:col>43</xdr:col>
      <xdr:colOff>480060</xdr:colOff>
      <xdr:row>11</xdr:row>
      <xdr:rowOff>137160</xdr:rowOff>
    </xdr:to>
    <xdr:pic>
      <xdr:nvPicPr>
        <xdr:cNvPr id="57" name="Picture 62" descr="bd04918_">
          <a:extLst>
            <a:ext uri="{FF2B5EF4-FFF2-40B4-BE49-F238E27FC236}">
              <a16:creationId xmlns:a16="http://schemas.microsoft.com/office/drawing/2014/main" id="{00000000-0008-0000-0900-000039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6388060" y="1684020"/>
          <a:ext cx="30480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22860</xdr:colOff>
      <xdr:row>41</xdr:row>
      <xdr:rowOff>160020</xdr:rowOff>
    </xdr:from>
    <xdr:to>
      <xdr:col>42</xdr:col>
      <xdr:colOff>304800</xdr:colOff>
      <xdr:row>43</xdr:row>
      <xdr:rowOff>22860</xdr:rowOff>
    </xdr:to>
    <xdr:grpSp>
      <xdr:nvGrpSpPr>
        <xdr:cNvPr id="58" name="Group 63">
          <a:extLst>
            <a:ext uri="{FF2B5EF4-FFF2-40B4-BE49-F238E27FC236}">
              <a16:creationId xmlns:a16="http://schemas.microsoft.com/office/drawing/2014/main" id="{00000000-0008-0000-0900-00003A000000}"/>
            </a:ext>
          </a:extLst>
        </xdr:cNvPr>
        <xdr:cNvGrpSpPr>
          <a:grpSpLocks/>
        </xdr:cNvGrpSpPr>
      </xdr:nvGrpSpPr>
      <xdr:grpSpPr bwMode="auto">
        <a:xfrm>
          <a:off x="11797574" y="7290163"/>
          <a:ext cx="281940" cy="189411"/>
          <a:chOff x="216" y="418"/>
          <a:chExt cx="71" cy="51"/>
        </a:xfrm>
      </xdr:grpSpPr>
      <xdr:sp macro="" textlink="">
        <xdr:nvSpPr>
          <xdr:cNvPr id="59" name="Rectangle 64">
            <a:extLst>
              <a:ext uri="{FF2B5EF4-FFF2-40B4-BE49-F238E27FC236}">
                <a16:creationId xmlns:a16="http://schemas.microsoft.com/office/drawing/2014/main" id="{00000000-0008-0000-0900-00003B000000}"/>
              </a:ext>
            </a:extLst>
          </xdr:cNvPr>
          <xdr:cNvSpPr>
            <a:spLocks noChangeArrowheads="1"/>
          </xdr:cNvSpPr>
        </xdr:nvSpPr>
        <xdr:spPr bwMode="auto">
          <a:xfrm>
            <a:off x="261" y="418"/>
            <a:ext cx="26" cy="41"/>
          </a:xfrm>
          <a:prstGeom prst="rect">
            <a:avLst/>
          </a:prstGeom>
          <a:solidFill>
            <a:srgbClr val="FFCC99"/>
          </a:solidFill>
          <a:ln w="9525">
            <a:solidFill>
              <a:srgbClr val="000000"/>
            </a:solidFill>
            <a:miter lim="800000"/>
            <a:headEnd/>
            <a:tailEnd/>
          </a:ln>
        </xdr:spPr>
      </xdr:sp>
      <xdr:sp macro="" textlink="">
        <xdr:nvSpPr>
          <xdr:cNvPr id="60" name="Rectangle 65">
            <a:extLst>
              <a:ext uri="{FF2B5EF4-FFF2-40B4-BE49-F238E27FC236}">
                <a16:creationId xmlns:a16="http://schemas.microsoft.com/office/drawing/2014/main" id="{00000000-0008-0000-0900-00003C000000}"/>
              </a:ext>
            </a:extLst>
          </xdr:cNvPr>
          <xdr:cNvSpPr>
            <a:spLocks noChangeArrowheads="1"/>
          </xdr:cNvSpPr>
        </xdr:nvSpPr>
        <xdr:spPr bwMode="auto">
          <a:xfrm>
            <a:off x="216" y="448"/>
            <a:ext cx="45" cy="11"/>
          </a:xfrm>
          <a:prstGeom prst="rect">
            <a:avLst/>
          </a:prstGeom>
          <a:solidFill>
            <a:srgbClr val="FFCC99"/>
          </a:solidFill>
          <a:ln w="9525">
            <a:solidFill>
              <a:srgbClr val="000000"/>
            </a:solidFill>
            <a:miter lim="800000"/>
            <a:headEnd/>
            <a:tailEnd/>
          </a:ln>
        </xdr:spPr>
      </xdr:sp>
      <xdr:sp macro="" textlink="">
        <xdr:nvSpPr>
          <xdr:cNvPr id="61" name="AutoShape 66">
            <a:extLst>
              <a:ext uri="{FF2B5EF4-FFF2-40B4-BE49-F238E27FC236}">
                <a16:creationId xmlns:a16="http://schemas.microsoft.com/office/drawing/2014/main" id="{00000000-0008-0000-0900-00003D000000}"/>
              </a:ext>
            </a:extLst>
          </xdr:cNvPr>
          <xdr:cNvSpPr>
            <a:spLocks noChangeArrowheads="1"/>
          </xdr:cNvSpPr>
        </xdr:nvSpPr>
        <xdr:spPr bwMode="auto">
          <a:xfrm>
            <a:off x="220"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62" name="AutoShape 67">
            <a:extLst>
              <a:ext uri="{FF2B5EF4-FFF2-40B4-BE49-F238E27FC236}">
                <a16:creationId xmlns:a16="http://schemas.microsoft.com/office/drawing/2014/main" id="{00000000-0008-0000-0900-00003E000000}"/>
              </a:ext>
            </a:extLst>
          </xdr:cNvPr>
          <xdr:cNvSpPr>
            <a:spLocks noChangeArrowheads="1"/>
          </xdr:cNvSpPr>
        </xdr:nvSpPr>
        <xdr:spPr bwMode="auto">
          <a:xfrm>
            <a:off x="225" y="441"/>
            <a:ext cx="28" cy="6"/>
          </a:xfrm>
          <a:prstGeom prst="bevel">
            <a:avLst>
              <a:gd name="adj" fmla="val 12500"/>
            </a:avLst>
          </a:prstGeom>
          <a:solidFill>
            <a:srgbClr val="FFFFFF"/>
          </a:solidFill>
          <a:ln w="9525">
            <a:solidFill>
              <a:srgbClr val="000000"/>
            </a:solidFill>
            <a:miter lim="800000"/>
            <a:headEnd/>
            <a:tailEnd/>
          </a:ln>
        </xdr:spPr>
      </xdr:sp>
      <xdr:sp macro="" textlink="">
        <xdr:nvSpPr>
          <xdr:cNvPr id="63" name="AutoShape 68">
            <a:extLst>
              <a:ext uri="{FF2B5EF4-FFF2-40B4-BE49-F238E27FC236}">
                <a16:creationId xmlns:a16="http://schemas.microsoft.com/office/drawing/2014/main" id="{00000000-0008-0000-0900-00003F000000}"/>
              </a:ext>
            </a:extLst>
          </xdr:cNvPr>
          <xdr:cNvSpPr>
            <a:spLocks noChangeArrowheads="1"/>
          </xdr:cNvSpPr>
        </xdr:nvSpPr>
        <xdr:spPr bwMode="auto">
          <a:xfrm>
            <a:off x="225" y="434"/>
            <a:ext cx="28" cy="7"/>
          </a:xfrm>
          <a:prstGeom prst="bevel">
            <a:avLst>
              <a:gd name="adj" fmla="val 12500"/>
            </a:avLst>
          </a:prstGeom>
          <a:solidFill>
            <a:srgbClr val="FFFFFF"/>
          </a:solidFill>
          <a:ln w="9525">
            <a:solidFill>
              <a:srgbClr val="000000"/>
            </a:solidFill>
            <a:miter lim="800000"/>
            <a:headEnd/>
            <a:tailEnd/>
          </a:ln>
        </xdr:spPr>
      </xdr:sp>
      <xdr:sp macro="" textlink="">
        <xdr:nvSpPr>
          <xdr:cNvPr id="64" name="AutoShape 69">
            <a:extLst>
              <a:ext uri="{FF2B5EF4-FFF2-40B4-BE49-F238E27FC236}">
                <a16:creationId xmlns:a16="http://schemas.microsoft.com/office/drawing/2014/main" id="{00000000-0008-0000-0900-000040000000}"/>
              </a:ext>
            </a:extLst>
          </xdr:cNvPr>
          <xdr:cNvSpPr>
            <a:spLocks noChangeArrowheads="1"/>
          </xdr:cNvSpPr>
        </xdr:nvSpPr>
        <xdr:spPr bwMode="auto">
          <a:xfrm>
            <a:off x="241"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65" name="AutoShape 70">
            <a:extLst>
              <a:ext uri="{FF2B5EF4-FFF2-40B4-BE49-F238E27FC236}">
                <a16:creationId xmlns:a16="http://schemas.microsoft.com/office/drawing/2014/main" id="{00000000-0008-0000-0900-000041000000}"/>
              </a:ext>
            </a:extLst>
          </xdr:cNvPr>
          <xdr:cNvSpPr>
            <a:spLocks noChangeArrowheads="1"/>
          </xdr:cNvSpPr>
        </xdr:nvSpPr>
        <xdr:spPr bwMode="auto">
          <a:xfrm>
            <a:off x="265"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grpSp>
    <xdr:clientData/>
  </xdr:twoCellAnchor>
  <xdr:twoCellAnchor>
    <xdr:from>
      <xdr:col>42</xdr:col>
      <xdr:colOff>114300</xdr:colOff>
      <xdr:row>10</xdr:row>
      <xdr:rowOff>91440</xdr:rowOff>
    </xdr:from>
    <xdr:to>
      <xdr:col>42</xdr:col>
      <xdr:colOff>487680</xdr:colOff>
      <xdr:row>11</xdr:row>
      <xdr:rowOff>68580</xdr:rowOff>
    </xdr:to>
    <xdr:grpSp>
      <xdr:nvGrpSpPr>
        <xdr:cNvPr id="66" name="Group 71">
          <a:extLst>
            <a:ext uri="{FF2B5EF4-FFF2-40B4-BE49-F238E27FC236}">
              <a16:creationId xmlns:a16="http://schemas.microsoft.com/office/drawing/2014/main" id="{00000000-0008-0000-0900-000042000000}"/>
            </a:ext>
          </a:extLst>
        </xdr:cNvPr>
        <xdr:cNvGrpSpPr>
          <a:grpSpLocks/>
        </xdr:cNvGrpSpPr>
      </xdr:nvGrpSpPr>
      <xdr:grpSpPr bwMode="auto">
        <a:xfrm>
          <a:off x="11889014" y="1960154"/>
          <a:ext cx="373380" cy="140426"/>
          <a:chOff x="1435" y="1677"/>
          <a:chExt cx="43" cy="32"/>
        </a:xfrm>
      </xdr:grpSpPr>
      <xdr:sp macro="" textlink="">
        <xdr:nvSpPr>
          <xdr:cNvPr id="67" name="AutoShape 72">
            <a:extLst>
              <a:ext uri="{FF2B5EF4-FFF2-40B4-BE49-F238E27FC236}">
                <a16:creationId xmlns:a16="http://schemas.microsoft.com/office/drawing/2014/main" id="{00000000-0008-0000-0900-000043000000}"/>
              </a:ext>
            </a:extLst>
          </xdr:cNvPr>
          <xdr:cNvSpPr>
            <a:spLocks noChangeArrowheads="1"/>
          </xdr:cNvSpPr>
        </xdr:nvSpPr>
        <xdr:spPr bwMode="auto">
          <a:xfrm>
            <a:off x="1446" y="1689"/>
            <a:ext cx="7" cy="13"/>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9969 h 21600"/>
            </a:gdLst>
            <a:ahLst/>
            <a:cxnLst>
              <a:cxn ang="T8">
                <a:pos x="T0" y="T1"/>
              </a:cxn>
              <a:cxn ang="T9">
                <a:pos x="T2" y="T3"/>
              </a:cxn>
              <a:cxn ang="T10">
                <a:pos x="T4" y="T5"/>
              </a:cxn>
              <a:cxn ang="T11">
                <a:pos x="T6" y="T7"/>
              </a:cxn>
            </a:cxnLst>
            <a:rect l="T12" t="T13" r="T14" b="T15"/>
            <a:pathLst>
              <a:path w="21600" h="21600">
                <a:moveTo>
                  <a:pt x="390" y="7921"/>
                </a:moveTo>
                <a:cubicBezTo>
                  <a:pt x="1685" y="3240"/>
                  <a:pt x="5944" y="-1"/>
                  <a:pt x="10800" y="0"/>
                </a:cubicBezTo>
                <a:cubicBezTo>
                  <a:pt x="15655" y="0"/>
                  <a:pt x="19914" y="3240"/>
                  <a:pt x="21209" y="7921"/>
                </a:cubicBezTo>
                <a:cubicBezTo>
                  <a:pt x="19914" y="3240"/>
                  <a:pt x="15655" y="-1"/>
                  <a:pt x="10799" y="0"/>
                </a:cubicBezTo>
                <a:cubicBezTo>
                  <a:pt x="5944" y="0"/>
                  <a:pt x="1685" y="3240"/>
                  <a:pt x="390" y="7921"/>
                </a:cubicBezTo>
                <a:close/>
              </a:path>
            </a:pathLst>
          </a:custGeom>
          <a:solidFill>
            <a:srgbClr val="FFFFFF"/>
          </a:solidFill>
          <a:ln w="38100">
            <a:solidFill>
              <a:srgbClr val="FF0000"/>
            </a:solidFill>
            <a:miter lim="800000"/>
            <a:headEnd/>
            <a:tailEnd/>
          </a:ln>
        </xdr:spPr>
      </xdr:sp>
      <xdr:sp macro="" textlink="">
        <xdr:nvSpPr>
          <xdr:cNvPr id="68" name="Oval 73">
            <a:extLst>
              <a:ext uri="{FF2B5EF4-FFF2-40B4-BE49-F238E27FC236}">
                <a16:creationId xmlns:a16="http://schemas.microsoft.com/office/drawing/2014/main" id="{00000000-0008-0000-0900-000044000000}"/>
              </a:ext>
            </a:extLst>
          </xdr:cNvPr>
          <xdr:cNvSpPr>
            <a:spLocks noChangeArrowheads="1"/>
          </xdr:cNvSpPr>
        </xdr:nvSpPr>
        <xdr:spPr bwMode="auto">
          <a:xfrm>
            <a:off x="1435" y="1692"/>
            <a:ext cx="12" cy="17"/>
          </a:xfrm>
          <a:prstGeom prst="ellipse">
            <a:avLst/>
          </a:prstGeom>
          <a:solidFill>
            <a:srgbClr val="C0C0C0">
              <a:alpha val="50195"/>
            </a:srgbClr>
          </a:solidFill>
          <a:ln w="38100">
            <a:solidFill>
              <a:srgbClr val="FF0000"/>
            </a:solidFill>
            <a:round/>
            <a:headEnd/>
            <a:tailEnd/>
          </a:ln>
        </xdr:spPr>
      </xdr:sp>
      <xdr:sp macro="" textlink="">
        <xdr:nvSpPr>
          <xdr:cNvPr id="69" name="Line 74">
            <a:extLst>
              <a:ext uri="{FF2B5EF4-FFF2-40B4-BE49-F238E27FC236}">
                <a16:creationId xmlns:a16="http://schemas.microsoft.com/office/drawing/2014/main" id="{00000000-0008-0000-0900-000045000000}"/>
              </a:ext>
            </a:extLst>
          </xdr:cNvPr>
          <xdr:cNvSpPr>
            <a:spLocks noChangeShapeType="1"/>
          </xdr:cNvSpPr>
        </xdr:nvSpPr>
        <xdr:spPr bwMode="auto">
          <a:xfrm flipV="1">
            <a:off x="1435" y="1680"/>
            <a:ext cx="10" cy="18"/>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sp macro="" textlink="">
        <xdr:nvSpPr>
          <xdr:cNvPr id="70" name="AutoShape 75">
            <a:extLst>
              <a:ext uri="{FF2B5EF4-FFF2-40B4-BE49-F238E27FC236}">
                <a16:creationId xmlns:a16="http://schemas.microsoft.com/office/drawing/2014/main" id="{00000000-0008-0000-0900-000046000000}"/>
              </a:ext>
            </a:extLst>
          </xdr:cNvPr>
          <xdr:cNvSpPr>
            <a:spLocks noChangeArrowheads="1"/>
          </xdr:cNvSpPr>
        </xdr:nvSpPr>
        <xdr:spPr bwMode="auto">
          <a:xfrm>
            <a:off x="1444" y="1677"/>
            <a:ext cx="7" cy="13"/>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9969 h 21600"/>
            </a:gdLst>
            <a:ahLst/>
            <a:cxnLst>
              <a:cxn ang="T8">
                <a:pos x="T0" y="T1"/>
              </a:cxn>
              <a:cxn ang="T9">
                <a:pos x="T2" y="T3"/>
              </a:cxn>
              <a:cxn ang="T10">
                <a:pos x="T4" y="T5"/>
              </a:cxn>
              <a:cxn ang="T11">
                <a:pos x="T6" y="T7"/>
              </a:cxn>
            </a:cxnLst>
            <a:rect l="T12" t="T13" r="T14" b="T15"/>
            <a:pathLst>
              <a:path w="21600" h="21600">
                <a:moveTo>
                  <a:pt x="390" y="7921"/>
                </a:moveTo>
                <a:cubicBezTo>
                  <a:pt x="1685" y="3240"/>
                  <a:pt x="5944" y="-1"/>
                  <a:pt x="10800" y="0"/>
                </a:cubicBezTo>
                <a:cubicBezTo>
                  <a:pt x="15655" y="0"/>
                  <a:pt x="19914" y="3240"/>
                  <a:pt x="21209" y="7921"/>
                </a:cubicBezTo>
                <a:cubicBezTo>
                  <a:pt x="19914" y="3240"/>
                  <a:pt x="15655" y="-1"/>
                  <a:pt x="10799" y="0"/>
                </a:cubicBezTo>
                <a:cubicBezTo>
                  <a:pt x="5944" y="0"/>
                  <a:pt x="1685" y="3240"/>
                  <a:pt x="390" y="7921"/>
                </a:cubicBezTo>
                <a:close/>
              </a:path>
            </a:pathLst>
          </a:custGeom>
          <a:solidFill>
            <a:srgbClr val="FFFFFF"/>
          </a:solidFill>
          <a:ln w="38100">
            <a:solidFill>
              <a:srgbClr val="FF0000"/>
            </a:solidFill>
            <a:miter lim="800000"/>
            <a:headEnd/>
            <a:tailEnd/>
          </a:ln>
        </xdr:spPr>
      </xdr:sp>
      <xdr:sp macro="" textlink="">
        <xdr:nvSpPr>
          <xdr:cNvPr id="71" name="Oval 76">
            <a:extLst>
              <a:ext uri="{FF2B5EF4-FFF2-40B4-BE49-F238E27FC236}">
                <a16:creationId xmlns:a16="http://schemas.microsoft.com/office/drawing/2014/main" id="{00000000-0008-0000-0900-000047000000}"/>
              </a:ext>
            </a:extLst>
          </xdr:cNvPr>
          <xdr:cNvSpPr>
            <a:spLocks noChangeArrowheads="1"/>
          </xdr:cNvSpPr>
        </xdr:nvSpPr>
        <xdr:spPr bwMode="auto">
          <a:xfrm>
            <a:off x="1451" y="1692"/>
            <a:ext cx="12" cy="17"/>
          </a:xfrm>
          <a:prstGeom prst="ellipse">
            <a:avLst/>
          </a:prstGeom>
          <a:solidFill>
            <a:srgbClr val="C0C0C0">
              <a:alpha val="50195"/>
            </a:srgbClr>
          </a:solidFill>
          <a:ln w="38100">
            <a:solidFill>
              <a:srgbClr val="FF0000"/>
            </a:solidFill>
            <a:round/>
            <a:headEnd/>
            <a:tailEnd/>
          </a:ln>
        </xdr:spPr>
      </xdr:sp>
      <xdr:sp macro="" textlink="">
        <xdr:nvSpPr>
          <xdr:cNvPr id="72" name="Line 77">
            <a:extLst>
              <a:ext uri="{FF2B5EF4-FFF2-40B4-BE49-F238E27FC236}">
                <a16:creationId xmlns:a16="http://schemas.microsoft.com/office/drawing/2014/main" id="{00000000-0008-0000-0900-000048000000}"/>
              </a:ext>
            </a:extLst>
          </xdr:cNvPr>
          <xdr:cNvSpPr>
            <a:spLocks noChangeShapeType="1"/>
          </xdr:cNvSpPr>
        </xdr:nvSpPr>
        <xdr:spPr bwMode="auto">
          <a:xfrm flipV="1">
            <a:off x="1462" y="1680"/>
            <a:ext cx="10" cy="18"/>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sp macro="" textlink="">
        <xdr:nvSpPr>
          <xdr:cNvPr id="73" name="AutoShape 78">
            <a:extLst>
              <a:ext uri="{FF2B5EF4-FFF2-40B4-BE49-F238E27FC236}">
                <a16:creationId xmlns:a16="http://schemas.microsoft.com/office/drawing/2014/main" id="{00000000-0008-0000-0900-000049000000}"/>
              </a:ext>
            </a:extLst>
          </xdr:cNvPr>
          <xdr:cNvSpPr>
            <a:spLocks noChangeArrowheads="1"/>
          </xdr:cNvSpPr>
        </xdr:nvSpPr>
        <xdr:spPr bwMode="auto">
          <a:xfrm>
            <a:off x="1471" y="1677"/>
            <a:ext cx="7" cy="13"/>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9969 h 21600"/>
            </a:gdLst>
            <a:ahLst/>
            <a:cxnLst>
              <a:cxn ang="T8">
                <a:pos x="T0" y="T1"/>
              </a:cxn>
              <a:cxn ang="T9">
                <a:pos x="T2" y="T3"/>
              </a:cxn>
              <a:cxn ang="T10">
                <a:pos x="T4" y="T5"/>
              </a:cxn>
              <a:cxn ang="T11">
                <a:pos x="T6" y="T7"/>
              </a:cxn>
            </a:cxnLst>
            <a:rect l="T12" t="T13" r="T14" b="T15"/>
            <a:pathLst>
              <a:path w="21600" h="21600">
                <a:moveTo>
                  <a:pt x="390" y="7921"/>
                </a:moveTo>
                <a:cubicBezTo>
                  <a:pt x="1685" y="3240"/>
                  <a:pt x="5944" y="-1"/>
                  <a:pt x="10800" y="0"/>
                </a:cubicBezTo>
                <a:cubicBezTo>
                  <a:pt x="15655" y="0"/>
                  <a:pt x="19914" y="3240"/>
                  <a:pt x="21209" y="7921"/>
                </a:cubicBezTo>
                <a:cubicBezTo>
                  <a:pt x="19914" y="3240"/>
                  <a:pt x="15655" y="-1"/>
                  <a:pt x="10799" y="0"/>
                </a:cubicBezTo>
                <a:cubicBezTo>
                  <a:pt x="5944" y="0"/>
                  <a:pt x="1685" y="3240"/>
                  <a:pt x="390" y="7921"/>
                </a:cubicBezTo>
                <a:close/>
              </a:path>
            </a:pathLst>
          </a:custGeom>
          <a:solidFill>
            <a:srgbClr val="FFFFFF"/>
          </a:solidFill>
          <a:ln w="38100">
            <a:solidFill>
              <a:srgbClr val="FF0000"/>
            </a:solidFill>
            <a:miter lim="800000"/>
            <a:headEnd/>
            <a:tailEnd/>
          </a:ln>
        </xdr:spPr>
      </xdr:sp>
    </xdr:grpSp>
    <xdr:clientData/>
  </xdr:twoCellAnchor>
  <xdr:twoCellAnchor>
    <xdr:from>
      <xdr:col>43</xdr:col>
      <xdr:colOff>129540</xdr:colOff>
      <xdr:row>18</xdr:row>
      <xdr:rowOff>22860</xdr:rowOff>
    </xdr:from>
    <xdr:to>
      <xdr:col>43</xdr:col>
      <xdr:colOff>342900</xdr:colOff>
      <xdr:row>19</xdr:row>
      <xdr:rowOff>129540</xdr:rowOff>
    </xdr:to>
    <xdr:pic>
      <xdr:nvPicPr>
        <xdr:cNvPr id="74" name="Picture 79" descr="D:\Busdev\StratWeb\WEB7\vsm3.h26.gif">
          <a:extLst>
            <a:ext uri="{FF2B5EF4-FFF2-40B4-BE49-F238E27FC236}">
              <a16:creationId xmlns:a16="http://schemas.microsoft.com/office/drawing/2014/main" id="{00000000-0008-0000-0900-00004A000000}"/>
            </a:ext>
          </a:extLst>
        </xdr:cNvPr>
        <xdr:cNvPicPr>
          <a:picLocks noChangeAspect="1" noChangeArrowheads="1"/>
        </xdr:cNvPicPr>
      </xdr:nvPicPr>
      <xdr:blipFill>
        <a:blip xmlns:r="http://schemas.openxmlformats.org/officeDocument/2006/relationships" r:embed="rId22" r:link="rId23" cstate="print">
          <a:extLst>
            <a:ext uri="{28A0092B-C50C-407E-A947-70E740481C1C}">
              <a14:useLocalDpi xmlns:a14="http://schemas.microsoft.com/office/drawing/2010/main" val="0"/>
            </a:ext>
          </a:extLst>
        </a:blip>
        <a:srcRect/>
        <a:stretch>
          <a:fillRect/>
        </a:stretch>
      </xdr:blipFill>
      <xdr:spPr bwMode="auto">
        <a:xfrm>
          <a:off x="26342340" y="3040380"/>
          <a:ext cx="213360" cy="274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45720</xdr:colOff>
      <xdr:row>50</xdr:row>
      <xdr:rowOff>160020</xdr:rowOff>
    </xdr:from>
    <xdr:to>
      <xdr:col>42</xdr:col>
      <xdr:colOff>480060</xdr:colOff>
      <xdr:row>52</xdr:row>
      <xdr:rowOff>149711</xdr:rowOff>
    </xdr:to>
    <xdr:pic>
      <xdr:nvPicPr>
        <xdr:cNvPr id="75" name="Picture 80" descr="HH00916_">
          <a:extLst>
            <a:ext uri="{FF2B5EF4-FFF2-40B4-BE49-F238E27FC236}">
              <a16:creationId xmlns:a16="http://schemas.microsoft.com/office/drawing/2014/main" id="{00000000-0008-0000-0900-00004B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5648920" y="8542020"/>
          <a:ext cx="43434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45720</xdr:colOff>
      <xdr:row>43</xdr:row>
      <xdr:rowOff>99060</xdr:rowOff>
    </xdr:from>
    <xdr:to>
      <xdr:col>42</xdr:col>
      <xdr:colOff>365760</xdr:colOff>
      <xdr:row>44</xdr:row>
      <xdr:rowOff>137160</xdr:rowOff>
    </xdr:to>
    <xdr:grpSp>
      <xdr:nvGrpSpPr>
        <xdr:cNvPr id="76" name="Group 88">
          <a:extLst>
            <a:ext uri="{FF2B5EF4-FFF2-40B4-BE49-F238E27FC236}">
              <a16:creationId xmlns:a16="http://schemas.microsoft.com/office/drawing/2014/main" id="{00000000-0008-0000-0900-00004C000000}"/>
            </a:ext>
          </a:extLst>
        </xdr:cNvPr>
        <xdr:cNvGrpSpPr>
          <a:grpSpLocks/>
        </xdr:cNvGrpSpPr>
      </xdr:nvGrpSpPr>
      <xdr:grpSpPr bwMode="auto">
        <a:xfrm>
          <a:off x="11820434" y="7555774"/>
          <a:ext cx="320040" cy="201386"/>
          <a:chOff x="320" y="533"/>
          <a:chExt cx="52" cy="52"/>
        </a:xfrm>
      </xdr:grpSpPr>
      <xdr:sp macro="" textlink="">
        <xdr:nvSpPr>
          <xdr:cNvPr id="77" name="Rectangle 89">
            <a:extLst>
              <a:ext uri="{FF2B5EF4-FFF2-40B4-BE49-F238E27FC236}">
                <a16:creationId xmlns:a16="http://schemas.microsoft.com/office/drawing/2014/main" id="{00000000-0008-0000-0900-00004D000000}"/>
              </a:ext>
            </a:extLst>
          </xdr:cNvPr>
          <xdr:cNvSpPr>
            <a:spLocks noChangeArrowheads="1"/>
          </xdr:cNvSpPr>
        </xdr:nvSpPr>
        <xdr:spPr bwMode="auto">
          <a:xfrm>
            <a:off x="320" y="568"/>
            <a:ext cx="52" cy="7"/>
          </a:xfrm>
          <a:prstGeom prst="rect">
            <a:avLst/>
          </a:prstGeom>
          <a:solidFill>
            <a:srgbClr val="FFFF99"/>
          </a:solidFill>
          <a:ln w="9525">
            <a:solidFill>
              <a:srgbClr val="000000"/>
            </a:solidFill>
            <a:miter lim="800000"/>
            <a:headEnd/>
            <a:tailEnd/>
          </a:ln>
        </xdr:spPr>
      </xdr:sp>
      <xdr:sp macro="" textlink="">
        <xdr:nvSpPr>
          <xdr:cNvPr id="78" name="Rectangle 90">
            <a:extLst>
              <a:ext uri="{FF2B5EF4-FFF2-40B4-BE49-F238E27FC236}">
                <a16:creationId xmlns:a16="http://schemas.microsoft.com/office/drawing/2014/main" id="{00000000-0008-0000-0900-00004E000000}"/>
              </a:ext>
            </a:extLst>
          </xdr:cNvPr>
          <xdr:cNvSpPr>
            <a:spLocks noChangeArrowheads="1"/>
          </xdr:cNvSpPr>
        </xdr:nvSpPr>
        <xdr:spPr bwMode="auto">
          <a:xfrm>
            <a:off x="320" y="533"/>
            <a:ext cx="8" cy="35"/>
          </a:xfrm>
          <a:prstGeom prst="rect">
            <a:avLst/>
          </a:prstGeom>
          <a:solidFill>
            <a:srgbClr val="FFFF99"/>
          </a:solidFill>
          <a:ln w="9525">
            <a:solidFill>
              <a:srgbClr val="000000"/>
            </a:solidFill>
            <a:miter lim="800000"/>
            <a:headEnd/>
            <a:tailEnd/>
          </a:ln>
        </xdr:spPr>
      </xdr:sp>
      <xdr:sp macro="" textlink="">
        <xdr:nvSpPr>
          <xdr:cNvPr id="79" name="AutoShape 91">
            <a:extLst>
              <a:ext uri="{FF2B5EF4-FFF2-40B4-BE49-F238E27FC236}">
                <a16:creationId xmlns:a16="http://schemas.microsoft.com/office/drawing/2014/main" id="{00000000-0008-0000-0900-00004F000000}"/>
              </a:ext>
            </a:extLst>
          </xdr:cNvPr>
          <xdr:cNvSpPr>
            <a:spLocks noChangeArrowheads="1"/>
          </xdr:cNvSpPr>
        </xdr:nvSpPr>
        <xdr:spPr bwMode="auto">
          <a:xfrm>
            <a:off x="324" y="571"/>
            <a:ext cx="16" cy="14"/>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700 w 21600"/>
              <a:gd name="T25" fmla="*/ 3086 h 21600"/>
              <a:gd name="T26" fmla="*/ 18900 w 21600"/>
              <a:gd name="T27" fmla="*/ 18514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80" name="AutoShape 92">
            <a:extLst>
              <a:ext uri="{FF2B5EF4-FFF2-40B4-BE49-F238E27FC236}">
                <a16:creationId xmlns:a16="http://schemas.microsoft.com/office/drawing/2014/main" id="{00000000-0008-0000-0900-000050000000}"/>
              </a:ext>
            </a:extLst>
          </xdr:cNvPr>
          <xdr:cNvSpPr>
            <a:spLocks noChangeArrowheads="1"/>
          </xdr:cNvSpPr>
        </xdr:nvSpPr>
        <xdr:spPr bwMode="auto">
          <a:xfrm>
            <a:off x="350" y="571"/>
            <a:ext cx="16" cy="14"/>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700 w 21600"/>
              <a:gd name="T25" fmla="*/ 3086 h 21600"/>
              <a:gd name="T26" fmla="*/ 18900 w 21600"/>
              <a:gd name="T27" fmla="*/ 18514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81" name="AutoShape 93">
            <a:extLst>
              <a:ext uri="{FF2B5EF4-FFF2-40B4-BE49-F238E27FC236}">
                <a16:creationId xmlns:a16="http://schemas.microsoft.com/office/drawing/2014/main" id="{00000000-0008-0000-0900-000051000000}"/>
              </a:ext>
            </a:extLst>
          </xdr:cNvPr>
          <xdr:cNvSpPr>
            <a:spLocks noChangeArrowheads="1"/>
          </xdr:cNvSpPr>
        </xdr:nvSpPr>
        <xdr:spPr bwMode="auto">
          <a:xfrm>
            <a:off x="333" y="559"/>
            <a:ext cx="35" cy="8"/>
          </a:xfrm>
          <a:prstGeom prst="bevel">
            <a:avLst>
              <a:gd name="adj" fmla="val 12500"/>
            </a:avLst>
          </a:prstGeom>
          <a:solidFill>
            <a:srgbClr val="FFFFFF"/>
          </a:solidFill>
          <a:ln w="9525">
            <a:solidFill>
              <a:srgbClr val="000000"/>
            </a:solidFill>
            <a:miter lim="800000"/>
            <a:headEnd/>
            <a:tailEnd/>
          </a:ln>
        </xdr:spPr>
      </xdr:sp>
      <xdr:sp macro="" textlink="">
        <xdr:nvSpPr>
          <xdr:cNvPr id="82" name="AutoShape 94">
            <a:extLst>
              <a:ext uri="{FF2B5EF4-FFF2-40B4-BE49-F238E27FC236}">
                <a16:creationId xmlns:a16="http://schemas.microsoft.com/office/drawing/2014/main" id="{00000000-0008-0000-0900-000052000000}"/>
              </a:ext>
            </a:extLst>
          </xdr:cNvPr>
          <xdr:cNvSpPr>
            <a:spLocks noChangeArrowheads="1"/>
          </xdr:cNvSpPr>
        </xdr:nvSpPr>
        <xdr:spPr bwMode="auto">
          <a:xfrm>
            <a:off x="333" y="552"/>
            <a:ext cx="35" cy="8"/>
          </a:xfrm>
          <a:prstGeom prst="bevel">
            <a:avLst>
              <a:gd name="adj" fmla="val 12500"/>
            </a:avLst>
          </a:prstGeom>
          <a:solidFill>
            <a:srgbClr val="FFFFFF"/>
          </a:solidFill>
          <a:ln w="9525">
            <a:solidFill>
              <a:srgbClr val="000000"/>
            </a:solidFill>
            <a:miter lim="800000"/>
            <a:headEnd/>
            <a:tailEnd/>
          </a:ln>
        </xdr:spPr>
      </xdr:sp>
    </xdr:grpSp>
    <xdr:clientData/>
  </xdr:twoCellAnchor>
  <xdr:twoCellAnchor>
    <xdr:from>
      <xdr:col>0</xdr:col>
      <xdr:colOff>0</xdr:colOff>
      <xdr:row>0</xdr:row>
      <xdr:rowOff>0</xdr:rowOff>
    </xdr:from>
    <xdr:to>
      <xdr:col>14</xdr:col>
      <xdr:colOff>0</xdr:colOff>
      <xdr:row>1</xdr:row>
      <xdr:rowOff>0</xdr:rowOff>
    </xdr:to>
    <xdr:sp macro="" textlink="">
      <xdr:nvSpPr>
        <xdr:cNvPr id="83" name="Rectangle 99">
          <a:extLst>
            <a:ext uri="{FF2B5EF4-FFF2-40B4-BE49-F238E27FC236}">
              <a16:creationId xmlns:a16="http://schemas.microsoft.com/office/drawing/2014/main" id="{00000000-0008-0000-0900-000053000000}"/>
            </a:ext>
          </a:extLst>
        </xdr:cNvPr>
        <xdr:cNvSpPr>
          <a:spLocks noChangeArrowheads="1"/>
        </xdr:cNvSpPr>
      </xdr:nvSpPr>
      <xdr:spPr bwMode="auto">
        <a:xfrm>
          <a:off x="0" y="0"/>
          <a:ext cx="8534400" cy="167640"/>
        </a:xfrm>
        <a:prstGeom prst="rect">
          <a:avLst/>
        </a:prstGeom>
        <a:noFill/>
        <a:ln w="9525">
          <a:solidFill>
            <a:srgbClr val="000000"/>
          </a:solidFill>
          <a:miter lim="800000"/>
          <a:headEnd/>
          <a:tailEnd/>
        </a:ln>
        <a:effectLst>
          <a:outerShdw dist="35921" dir="2700000" algn="ctr" rotWithShape="0">
            <a:srgbClr val="808080"/>
          </a:outerShdw>
        </a:effectLst>
        <a:extLst>
          <a:ext uri="{909E8E84-426E-40DD-AFC4-6F175D3DCCD1}">
            <a14:hiddenFill xmlns:a14="http://schemas.microsoft.com/office/drawing/2010/main">
              <a:solidFill>
                <a:srgbClr val="FFFFFF"/>
              </a:solidFill>
            </a14:hiddenFill>
          </a:ext>
        </a:extLst>
      </xdr:spPr>
    </xdr:sp>
    <xdr:clientData/>
  </xdr:twoCellAnchor>
  <xdr:twoCellAnchor>
    <xdr:from>
      <xdr:col>43</xdr:col>
      <xdr:colOff>914400</xdr:colOff>
      <xdr:row>12</xdr:row>
      <xdr:rowOff>190500</xdr:rowOff>
    </xdr:from>
    <xdr:to>
      <xdr:col>43</xdr:col>
      <xdr:colOff>617220</xdr:colOff>
      <xdr:row>12</xdr:row>
      <xdr:rowOff>190500</xdr:rowOff>
    </xdr:to>
    <xdr:cxnSp macro="">
      <xdr:nvCxnSpPr>
        <xdr:cNvPr id="84" name="AutoShape 111">
          <a:extLst>
            <a:ext uri="{FF2B5EF4-FFF2-40B4-BE49-F238E27FC236}">
              <a16:creationId xmlns:a16="http://schemas.microsoft.com/office/drawing/2014/main" id="{00000000-0008-0000-0900-000054000000}"/>
            </a:ext>
          </a:extLst>
        </xdr:cNvPr>
        <xdr:cNvCxnSpPr>
          <a:cxnSpLocks noChangeShapeType="1"/>
        </xdr:cNvCxnSpPr>
      </xdr:nvCxnSpPr>
      <xdr:spPr bwMode="auto">
        <a:xfrm>
          <a:off x="26822400" y="2179320"/>
          <a:ext cx="0" cy="0"/>
        </a:xfrm>
        <a:prstGeom prst="straightConnector1">
          <a:avLst/>
        </a:prstGeom>
        <a:noFill/>
        <a:ln w="28575">
          <a:solidFill>
            <a:srgbClr val="0000FF"/>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44</xdr:col>
      <xdr:colOff>274320</xdr:colOff>
      <xdr:row>39</xdr:row>
      <xdr:rowOff>30480</xdr:rowOff>
    </xdr:from>
    <xdr:to>
      <xdr:col>44</xdr:col>
      <xdr:colOff>472440</xdr:colOff>
      <xdr:row>40</xdr:row>
      <xdr:rowOff>60960</xdr:rowOff>
    </xdr:to>
    <xdr:pic>
      <xdr:nvPicPr>
        <xdr:cNvPr id="85" name="Picture 137" descr="D:\Busdev\StratWeb\WEB7\vsm3.h17.gif">
          <a:extLst>
            <a:ext uri="{FF2B5EF4-FFF2-40B4-BE49-F238E27FC236}">
              <a16:creationId xmlns:a16="http://schemas.microsoft.com/office/drawing/2014/main" id="{00000000-0008-0000-0900-000055000000}"/>
            </a:ext>
          </a:extLst>
        </xdr:cNvPr>
        <xdr:cNvPicPr>
          <a:picLocks noChangeAspect="1" noChangeArrowheads="1"/>
        </xdr:cNvPicPr>
      </xdr:nvPicPr>
      <xdr:blipFill>
        <a:blip xmlns:r="http://schemas.openxmlformats.org/officeDocument/2006/relationships" r:embed="rId25" r:link="rId26" cstate="print">
          <a:extLst>
            <a:ext uri="{28A0092B-C50C-407E-A947-70E740481C1C}">
              <a14:useLocalDpi xmlns:a14="http://schemas.microsoft.com/office/drawing/2010/main" val="0"/>
            </a:ext>
          </a:extLst>
        </a:blip>
        <a:srcRect/>
        <a:stretch>
          <a:fillRect/>
        </a:stretch>
      </xdr:blipFill>
      <xdr:spPr bwMode="auto">
        <a:xfrm>
          <a:off x="27096720" y="6568440"/>
          <a:ext cx="198120" cy="198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42</xdr:col>
      <xdr:colOff>175260</xdr:colOff>
      <xdr:row>7</xdr:row>
      <xdr:rowOff>22860</xdr:rowOff>
    </xdr:from>
    <xdr:to>
      <xdr:col>42</xdr:col>
      <xdr:colOff>381000</xdr:colOff>
      <xdr:row>8</xdr:row>
      <xdr:rowOff>129540</xdr:rowOff>
    </xdr:to>
    <xdr:pic>
      <xdr:nvPicPr>
        <xdr:cNvPr id="86" name="Picture 155" descr="D:\Busdev\StratWeb\WEB7\vsm3.h32.gif">
          <a:extLst>
            <a:ext uri="{FF2B5EF4-FFF2-40B4-BE49-F238E27FC236}">
              <a16:creationId xmlns:a16="http://schemas.microsoft.com/office/drawing/2014/main" id="{00000000-0008-0000-0900-000056000000}"/>
            </a:ext>
          </a:extLst>
        </xdr:cNvPr>
        <xdr:cNvPicPr>
          <a:picLocks noChangeAspect="1" noChangeArrowheads="1"/>
        </xdr:cNvPicPr>
      </xdr:nvPicPr>
      <xdr:blipFill>
        <a:blip xmlns:r="http://schemas.openxmlformats.org/officeDocument/2006/relationships" r:embed="rId27" r:link="rId28" cstate="print">
          <a:extLst>
            <a:ext uri="{28A0092B-C50C-407E-A947-70E740481C1C}">
              <a14:useLocalDpi xmlns:a14="http://schemas.microsoft.com/office/drawing/2010/main" val="0"/>
            </a:ext>
          </a:extLst>
        </a:blip>
        <a:srcRect/>
        <a:stretch>
          <a:fillRect/>
        </a:stretch>
      </xdr:blipFill>
      <xdr:spPr bwMode="auto">
        <a:xfrm>
          <a:off x="25778460" y="1196340"/>
          <a:ext cx="205740" cy="2743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43</xdr:col>
      <xdr:colOff>38100</xdr:colOff>
      <xdr:row>15</xdr:row>
      <xdr:rowOff>144780</xdr:rowOff>
    </xdr:from>
    <xdr:to>
      <xdr:col>43</xdr:col>
      <xdr:colOff>586740</xdr:colOff>
      <xdr:row>17</xdr:row>
      <xdr:rowOff>99060</xdr:rowOff>
    </xdr:to>
    <xdr:pic>
      <xdr:nvPicPr>
        <xdr:cNvPr id="87" name="Picture 157" descr="D:\Busdev\StratWeb\WEB7\vsm3.h12.gif">
          <a:extLst>
            <a:ext uri="{FF2B5EF4-FFF2-40B4-BE49-F238E27FC236}">
              <a16:creationId xmlns:a16="http://schemas.microsoft.com/office/drawing/2014/main" id="{00000000-0008-0000-0900-000057000000}"/>
            </a:ext>
          </a:extLst>
        </xdr:cNvPr>
        <xdr:cNvPicPr>
          <a:picLocks noChangeAspect="1" noChangeArrowheads="1"/>
        </xdr:cNvPicPr>
      </xdr:nvPicPr>
      <xdr:blipFill>
        <a:blip xmlns:r="http://schemas.openxmlformats.org/officeDocument/2006/relationships" r:embed="rId29" r:link="rId30" cstate="print">
          <a:extLst>
            <a:ext uri="{28A0092B-C50C-407E-A947-70E740481C1C}">
              <a14:useLocalDpi xmlns:a14="http://schemas.microsoft.com/office/drawing/2010/main" val="0"/>
            </a:ext>
          </a:extLst>
        </a:blip>
        <a:srcRect/>
        <a:stretch>
          <a:fillRect/>
        </a:stretch>
      </xdr:blipFill>
      <xdr:spPr bwMode="auto">
        <a:xfrm>
          <a:off x="26250900" y="2659380"/>
          <a:ext cx="54864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320040</xdr:colOff>
      <xdr:row>26</xdr:row>
      <xdr:rowOff>76200</xdr:rowOff>
    </xdr:from>
    <xdr:to>
      <xdr:col>44</xdr:col>
      <xdr:colOff>1</xdr:colOff>
      <xdr:row>27</xdr:row>
      <xdr:rowOff>160020</xdr:rowOff>
    </xdr:to>
    <xdr:pic>
      <xdr:nvPicPr>
        <xdr:cNvPr id="88" name="Picture 159" descr="bd06518_">
          <a:extLst>
            <a:ext uri="{FF2B5EF4-FFF2-40B4-BE49-F238E27FC236}">
              <a16:creationId xmlns:a16="http://schemas.microsoft.com/office/drawing/2014/main" id="{00000000-0008-0000-0900-00005800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6532840" y="4434840"/>
          <a:ext cx="289560" cy="251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42</xdr:col>
      <xdr:colOff>68580</xdr:colOff>
      <xdr:row>47</xdr:row>
      <xdr:rowOff>38100</xdr:rowOff>
    </xdr:from>
    <xdr:to>
      <xdr:col>42</xdr:col>
      <xdr:colOff>556260</xdr:colOff>
      <xdr:row>48</xdr:row>
      <xdr:rowOff>144780</xdr:rowOff>
    </xdr:to>
    <xdr:pic>
      <xdr:nvPicPr>
        <xdr:cNvPr id="89" name="Picture 160" descr="D:\Busdev\StratWeb\WEB7\vsm3.h5.gif">
          <a:extLst>
            <a:ext uri="{FF2B5EF4-FFF2-40B4-BE49-F238E27FC236}">
              <a16:creationId xmlns:a16="http://schemas.microsoft.com/office/drawing/2014/main" id="{00000000-0008-0000-0900-000059000000}"/>
            </a:ext>
          </a:extLst>
        </xdr:cNvPr>
        <xdr:cNvPicPr>
          <a:picLocks noChangeAspect="1" noChangeArrowheads="1"/>
        </xdr:cNvPicPr>
      </xdr:nvPicPr>
      <xdr:blipFill>
        <a:blip xmlns:r="http://schemas.openxmlformats.org/officeDocument/2006/relationships" r:embed="rId32" r:link="rId33" cstate="print">
          <a:extLst>
            <a:ext uri="{28A0092B-C50C-407E-A947-70E740481C1C}">
              <a14:useLocalDpi xmlns:a14="http://schemas.microsoft.com/office/drawing/2010/main" val="0"/>
            </a:ext>
          </a:extLst>
        </a:blip>
        <a:srcRect/>
        <a:stretch>
          <a:fillRect/>
        </a:stretch>
      </xdr:blipFill>
      <xdr:spPr bwMode="auto">
        <a:xfrm>
          <a:off x="25671780" y="7917180"/>
          <a:ext cx="487680" cy="274320"/>
        </a:xfrm>
        <a:prstGeom prst="rect">
          <a:avLst/>
        </a:prstGeom>
        <a:solidFill>
          <a:srgbClr val="CCFFCC"/>
        </a:solidFill>
        <a:ln w="19050" algn="ctr">
          <a:solidFill>
            <a:srgbClr val="000000"/>
          </a:solidFill>
          <a:miter lim="800000"/>
          <a:headEnd/>
          <a:tailEnd/>
        </a:ln>
      </xdr:spPr>
    </xdr:pic>
    <xdr:clientData fLocksWithSheet="0"/>
  </xdr:twoCellAnchor>
  <xdr:twoCellAnchor>
    <xdr:from>
      <xdr:col>44</xdr:col>
      <xdr:colOff>38100</xdr:colOff>
      <xdr:row>35</xdr:row>
      <xdr:rowOff>45720</xdr:rowOff>
    </xdr:from>
    <xdr:to>
      <xdr:col>44</xdr:col>
      <xdr:colOff>655320</xdr:colOff>
      <xdr:row>36</xdr:row>
      <xdr:rowOff>99060</xdr:rowOff>
    </xdr:to>
    <xdr:pic>
      <xdr:nvPicPr>
        <xdr:cNvPr id="90" name="Picture 162" descr="D:\Busdev\StratWeb\WEB7\vsm3.h11.gif">
          <a:extLst>
            <a:ext uri="{FF2B5EF4-FFF2-40B4-BE49-F238E27FC236}">
              <a16:creationId xmlns:a16="http://schemas.microsoft.com/office/drawing/2014/main" id="{00000000-0008-0000-0900-00005A000000}"/>
            </a:ext>
          </a:extLst>
        </xdr:cNvPr>
        <xdr:cNvPicPr>
          <a:picLocks noChangeAspect="1" noChangeArrowheads="1"/>
        </xdr:cNvPicPr>
      </xdr:nvPicPr>
      <xdr:blipFill>
        <a:blip xmlns:r="http://schemas.openxmlformats.org/officeDocument/2006/relationships" r:embed="rId34" r:link="rId35">
          <a:extLst>
            <a:ext uri="{28A0092B-C50C-407E-A947-70E740481C1C}">
              <a14:useLocalDpi xmlns:a14="http://schemas.microsoft.com/office/drawing/2010/main" val="0"/>
            </a:ext>
          </a:extLst>
        </a:blip>
        <a:srcRect/>
        <a:stretch>
          <a:fillRect/>
        </a:stretch>
      </xdr:blipFill>
      <xdr:spPr bwMode="auto">
        <a:xfrm>
          <a:off x="26860500" y="5913120"/>
          <a:ext cx="571500" cy="220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38100</xdr:colOff>
      <xdr:row>4</xdr:row>
      <xdr:rowOff>22860</xdr:rowOff>
    </xdr:from>
    <xdr:to>
      <xdr:col>44</xdr:col>
      <xdr:colOff>678180</xdr:colOff>
      <xdr:row>5</xdr:row>
      <xdr:rowOff>137160</xdr:rowOff>
    </xdr:to>
    <xdr:pic>
      <xdr:nvPicPr>
        <xdr:cNvPr id="91" name="Picture 164" descr="8">
          <a:extLst>
            <a:ext uri="{FF2B5EF4-FFF2-40B4-BE49-F238E27FC236}">
              <a16:creationId xmlns:a16="http://schemas.microsoft.com/office/drawing/2014/main" id="{00000000-0008-0000-0900-00005B00000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6860500" y="693420"/>
          <a:ext cx="57150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76200</xdr:colOff>
      <xdr:row>7</xdr:row>
      <xdr:rowOff>160020</xdr:rowOff>
    </xdr:from>
    <xdr:to>
      <xdr:col>44</xdr:col>
      <xdr:colOff>609600</xdr:colOff>
      <xdr:row>9</xdr:row>
      <xdr:rowOff>0</xdr:rowOff>
    </xdr:to>
    <xdr:pic>
      <xdr:nvPicPr>
        <xdr:cNvPr id="92" name="Picture 165" descr="9">
          <a:extLst>
            <a:ext uri="{FF2B5EF4-FFF2-40B4-BE49-F238E27FC236}">
              <a16:creationId xmlns:a16="http://schemas.microsoft.com/office/drawing/2014/main" id="{00000000-0008-0000-0900-00005C00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6898600" y="1333500"/>
          <a:ext cx="53340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129540</xdr:colOff>
      <xdr:row>9</xdr:row>
      <xdr:rowOff>160020</xdr:rowOff>
    </xdr:from>
    <xdr:to>
      <xdr:col>44</xdr:col>
      <xdr:colOff>594360</xdr:colOff>
      <xdr:row>12</xdr:row>
      <xdr:rowOff>7620</xdr:rowOff>
    </xdr:to>
    <xdr:pic>
      <xdr:nvPicPr>
        <xdr:cNvPr id="93" name="Picture 166" descr="4">
          <a:extLst>
            <a:ext uri="{FF2B5EF4-FFF2-40B4-BE49-F238E27FC236}">
              <a16:creationId xmlns:a16="http://schemas.microsoft.com/office/drawing/2014/main" id="{00000000-0008-0000-0900-00005D00000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6951940" y="1668780"/>
          <a:ext cx="464820" cy="350520"/>
        </a:xfrm>
        <a:prstGeom prst="rect">
          <a:avLst/>
        </a:prstGeom>
        <a:solidFill>
          <a:srgbClr val="FFFF00"/>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205740</xdr:colOff>
      <xdr:row>12</xdr:row>
      <xdr:rowOff>38100</xdr:rowOff>
    </xdr:from>
    <xdr:to>
      <xdr:col>44</xdr:col>
      <xdr:colOff>518160</xdr:colOff>
      <xdr:row>14</xdr:row>
      <xdr:rowOff>7620</xdr:rowOff>
    </xdr:to>
    <xdr:pic>
      <xdr:nvPicPr>
        <xdr:cNvPr id="94" name="Picture 169" descr="5">
          <a:extLst>
            <a:ext uri="{FF2B5EF4-FFF2-40B4-BE49-F238E27FC236}">
              <a16:creationId xmlns:a16="http://schemas.microsoft.com/office/drawing/2014/main" id="{00000000-0008-0000-0900-00005E000000}"/>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7028140" y="2049780"/>
          <a:ext cx="31242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162196</xdr:colOff>
      <xdr:row>31</xdr:row>
      <xdr:rowOff>32658</xdr:rowOff>
    </xdr:from>
    <xdr:to>
      <xdr:col>3</xdr:col>
      <xdr:colOff>141513</xdr:colOff>
      <xdr:row>33</xdr:row>
      <xdr:rowOff>14153</xdr:rowOff>
    </xdr:to>
    <xdr:pic>
      <xdr:nvPicPr>
        <xdr:cNvPr id="95" name="Picture 171" descr="3">
          <a:extLst>
            <a:ext uri="{FF2B5EF4-FFF2-40B4-BE49-F238E27FC236}">
              <a16:creationId xmlns:a16="http://schemas.microsoft.com/office/drawing/2014/main" id="{00000000-0008-0000-0900-00005F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12567" y="5334001"/>
          <a:ext cx="480060" cy="308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106680</xdr:colOff>
      <xdr:row>41</xdr:row>
      <xdr:rowOff>45720</xdr:rowOff>
    </xdr:from>
    <xdr:to>
      <xdr:col>44</xdr:col>
      <xdr:colOff>563880</xdr:colOff>
      <xdr:row>42</xdr:row>
      <xdr:rowOff>144780</xdr:rowOff>
    </xdr:to>
    <xdr:pic>
      <xdr:nvPicPr>
        <xdr:cNvPr id="96" name="Picture 172" descr="2">
          <a:extLst>
            <a:ext uri="{FF2B5EF4-FFF2-40B4-BE49-F238E27FC236}">
              <a16:creationId xmlns:a16="http://schemas.microsoft.com/office/drawing/2014/main" id="{00000000-0008-0000-0900-00006000000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6929080" y="6918960"/>
          <a:ext cx="457200" cy="266700"/>
        </a:xfrm>
        <a:prstGeom prst="rect">
          <a:avLst/>
        </a:prstGeom>
        <a:solidFill>
          <a:srgbClr val="CCFFCC"/>
        </a:solidFill>
        <a:ln w="19050" algn="ctr">
          <a:solidFill>
            <a:srgbClr val="000000"/>
          </a:solidFill>
          <a:miter lim="800000"/>
          <a:headEnd/>
          <a:tailEnd/>
        </a:ln>
      </xdr:spPr>
    </xdr:pic>
    <xdr:clientData fLocksWithSheet="0"/>
  </xdr:twoCellAnchor>
  <xdr:twoCellAnchor editAs="oneCell">
    <xdr:from>
      <xdr:col>43</xdr:col>
      <xdr:colOff>472440</xdr:colOff>
      <xdr:row>43</xdr:row>
      <xdr:rowOff>0</xdr:rowOff>
    </xdr:from>
    <xdr:to>
      <xdr:col>44</xdr:col>
      <xdr:colOff>381001</xdr:colOff>
      <xdr:row>44</xdr:row>
      <xdr:rowOff>91441</xdr:rowOff>
    </xdr:to>
    <xdr:pic>
      <xdr:nvPicPr>
        <xdr:cNvPr id="97" name="Picture 173" descr="7">
          <a:extLst>
            <a:ext uri="{FF2B5EF4-FFF2-40B4-BE49-F238E27FC236}">
              <a16:creationId xmlns:a16="http://schemas.microsoft.com/office/drawing/2014/main" id="{00000000-0008-0000-0900-00006100000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6685240" y="7208520"/>
          <a:ext cx="518160" cy="259080"/>
        </a:xfrm>
        <a:prstGeom prst="rect">
          <a:avLst/>
        </a:prstGeom>
        <a:solidFill>
          <a:srgbClr val="CCFFCC"/>
        </a:solidFill>
        <a:ln w="19050" algn="ctr">
          <a:solidFill>
            <a:srgbClr val="000000"/>
          </a:solidFill>
          <a:miter lim="800000"/>
          <a:headEnd/>
          <a:tailEnd/>
        </a:ln>
      </xdr:spPr>
    </xdr:pic>
    <xdr:clientData fLocksWithSheet="0"/>
  </xdr:twoCellAnchor>
  <xdr:twoCellAnchor editAs="oneCell">
    <xdr:from>
      <xdr:col>43</xdr:col>
      <xdr:colOff>30480</xdr:colOff>
      <xdr:row>41</xdr:row>
      <xdr:rowOff>60960</xdr:rowOff>
    </xdr:from>
    <xdr:to>
      <xdr:col>44</xdr:col>
      <xdr:colOff>38101</xdr:colOff>
      <xdr:row>42</xdr:row>
      <xdr:rowOff>144780</xdr:rowOff>
    </xdr:to>
    <xdr:pic>
      <xdr:nvPicPr>
        <xdr:cNvPr id="98" name="Picture 174" descr="6">
          <a:extLst>
            <a:ext uri="{FF2B5EF4-FFF2-40B4-BE49-F238E27FC236}">
              <a16:creationId xmlns:a16="http://schemas.microsoft.com/office/drawing/2014/main" id="{00000000-0008-0000-0900-000062000000}"/>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6243280" y="6934200"/>
          <a:ext cx="617220" cy="251460"/>
        </a:xfrm>
        <a:prstGeom prst="rect">
          <a:avLst/>
        </a:prstGeom>
        <a:solidFill>
          <a:srgbClr val="CCFFCC"/>
        </a:solidFill>
        <a:ln w="19050">
          <a:solidFill>
            <a:srgbClr val="000000"/>
          </a:solidFill>
          <a:miter lim="800000"/>
          <a:headEnd/>
          <a:tailEnd/>
        </a:ln>
      </xdr:spPr>
    </xdr:pic>
    <xdr:clientData fLocksWithSheet="0"/>
  </xdr:twoCellAnchor>
  <xdr:twoCellAnchor>
    <xdr:from>
      <xdr:col>42</xdr:col>
      <xdr:colOff>518160</xdr:colOff>
      <xdr:row>1</xdr:row>
      <xdr:rowOff>76200</xdr:rowOff>
    </xdr:from>
    <xdr:to>
      <xdr:col>43</xdr:col>
      <xdr:colOff>617220</xdr:colOff>
      <xdr:row>2</xdr:row>
      <xdr:rowOff>144780</xdr:rowOff>
    </xdr:to>
    <xdr:pic>
      <xdr:nvPicPr>
        <xdr:cNvPr id="105" name="Picture 182" descr="D:\Busdev\StratWeb\WEB7\vsm3.h31.gif">
          <a:extLst>
            <a:ext uri="{FF2B5EF4-FFF2-40B4-BE49-F238E27FC236}">
              <a16:creationId xmlns:a16="http://schemas.microsoft.com/office/drawing/2014/main" id="{00000000-0008-0000-0900-000069000000}"/>
            </a:ext>
          </a:extLst>
        </xdr:cNvPr>
        <xdr:cNvPicPr>
          <a:picLocks noChangeAspect="1" noChangeArrowheads="1"/>
        </xdr:cNvPicPr>
      </xdr:nvPicPr>
      <xdr:blipFill>
        <a:blip xmlns:r="http://schemas.openxmlformats.org/officeDocument/2006/relationships" r:embed="rId44" r:link="rId45">
          <a:extLst>
            <a:ext uri="{28A0092B-C50C-407E-A947-70E740481C1C}">
              <a14:useLocalDpi xmlns:a14="http://schemas.microsoft.com/office/drawing/2010/main" val="0"/>
            </a:ext>
          </a:extLst>
        </a:blip>
        <a:srcRect/>
        <a:stretch>
          <a:fillRect/>
        </a:stretch>
      </xdr:blipFill>
      <xdr:spPr bwMode="auto">
        <a:xfrm>
          <a:off x="26121360" y="243840"/>
          <a:ext cx="701040" cy="236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43</xdr:col>
      <xdr:colOff>487680</xdr:colOff>
      <xdr:row>46</xdr:row>
      <xdr:rowOff>30480</xdr:rowOff>
    </xdr:from>
    <xdr:to>
      <xdr:col>44</xdr:col>
      <xdr:colOff>586741</xdr:colOff>
      <xdr:row>48</xdr:row>
      <xdr:rowOff>137160</xdr:rowOff>
    </xdr:to>
    <xdr:pic>
      <xdr:nvPicPr>
        <xdr:cNvPr id="106" name="Picture 193" descr="1">
          <a:extLst>
            <a:ext uri="{FF2B5EF4-FFF2-40B4-BE49-F238E27FC236}">
              <a16:creationId xmlns:a16="http://schemas.microsoft.com/office/drawing/2014/main" id="{00000000-0008-0000-0900-00006A00000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6700480" y="7741920"/>
          <a:ext cx="708660" cy="441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137160</xdr:colOff>
      <xdr:row>50</xdr:row>
      <xdr:rowOff>68580</xdr:rowOff>
    </xdr:from>
    <xdr:to>
      <xdr:col>44</xdr:col>
      <xdr:colOff>579120</xdr:colOff>
      <xdr:row>52</xdr:row>
      <xdr:rowOff>88751</xdr:rowOff>
    </xdr:to>
    <xdr:pic>
      <xdr:nvPicPr>
        <xdr:cNvPr id="107" name="Picture 195" descr="10">
          <a:extLst>
            <a:ext uri="{FF2B5EF4-FFF2-40B4-BE49-F238E27FC236}">
              <a16:creationId xmlns:a16="http://schemas.microsoft.com/office/drawing/2014/main" id="{00000000-0008-0000-0900-00006B00000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26959560" y="8450580"/>
          <a:ext cx="4419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106680</xdr:colOff>
      <xdr:row>11</xdr:row>
      <xdr:rowOff>99060</xdr:rowOff>
    </xdr:from>
    <xdr:to>
      <xdr:col>3</xdr:col>
      <xdr:colOff>190500</xdr:colOff>
      <xdr:row>14</xdr:row>
      <xdr:rowOff>38100</xdr:rowOff>
    </xdr:to>
    <xdr:grpSp>
      <xdr:nvGrpSpPr>
        <xdr:cNvPr id="108" name="Group 26">
          <a:extLst>
            <a:ext uri="{FF2B5EF4-FFF2-40B4-BE49-F238E27FC236}">
              <a16:creationId xmlns:a16="http://schemas.microsoft.com/office/drawing/2014/main" id="{00000000-0008-0000-0900-00006C000000}"/>
            </a:ext>
          </a:extLst>
        </xdr:cNvPr>
        <xdr:cNvGrpSpPr>
          <a:grpSpLocks/>
        </xdr:cNvGrpSpPr>
      </xdr:nvGrpSpPr>
      <xdr:grpSpPr bwMode="auto">
        <a:xfrm>
          <a:off x="378823" y="2131060"/>
          <a:ext cx="628106" cy="428897"/>
          <a:chOff x="267" y="335"/>
          <a:chExt cx="150" cy="88"/>
        </a:xfrm>
      </xdr:grpSpPr>
      <xdr:sp macro="" textlink="">
        <xdr:nvSpPr>
          <xdr:cNvPr id="109" name="Rectangle 27">
            <a:extLst>
              <a:ext uri="{FF2B5EF4-FFF2-40B4-BE49-F238E27FC236}">
                <a16:creationId xmlns:a16="http://schemas.microsoft.com/office/drawing/2014/main" id="{00000000-0008-0000-0900-00006D000000}"/>
              </a:ext>
            </a:extLst>
          </xdr:cNvPr>
          <xdr:cNvSpPr>
            <a:spLocks noChangeArrowheads="1"/>
          </xdr:cNvSpPr>
        </xdr:nvSpPr>
        <xdr:spPr bwMode="auto">
          <a:xfrm>
            <a:off x="269" y="352"/>
            <a:ext cx="148" cy="71"/>
          </a:xfrm>
          <a:prstGeom prst="rect">
            <a:avLst/>
          </a:prstGeom>
          <a:solidFill>
            <a:srgbClr val="CCFFFF"/>
          </a:solidFill>
          <a:ln w="9525">
            <a:solidFill>
              <a:srgbClr val="000000"/>
            </a:solidFill>
            <a:miter lim="800000"/>
            <a:headEnd/>
            <a:tailEnd/>
          </a:ln>
        </xdr:spPr>
        <xdr:txBody>
          <a:bodyPr anchor="ctr"/>
          <a:lstStyle/>
          <a:p>
            <a:pPr algn="ctr"/>
            <a:r>
              <a:rPr lang="en-US"/>
              <a:t>Trialco</a:t>
            </a:r>
          </a:p>
        </xdr:txBody>
      </xdr:sp>
      <xdr:sp macro="" textlink="">
        <xdr:nvSpPr>
          <xdr:cNvPr id="110" name="AutoShape 28">
            <a:extLst>
              <a:ext uri="{FF2B5EF4-FFF2-40B4-BE49-F238E27FC236}">
                <a16:creationId xmlns:a16="http://schemas.microsoft.com/office/drawing/2014/main" id="{00000000-0008-0000-0900-00006E000000}"/>
              </a:ext>
            </a:extLst>
          </xdr:cNvPr>
          <xdr:cNvSpPr>
            <a:spLocks noChangeArrowheads="1"/>
          </xdr:cNvSpPr>
        </xdr:nvSpPr>
        <xdr:spPr bwMode="auto">
          <a:xfrm flipH="1">
            <a:off x="385" y="335"/>
            <a:ext cx="32" cy="16"/>
          </a:xfrm>
          <a:prstGeom prst="rtTriangle">
            <a:avLst/>
          </a:prstGeom>
          <a:solidFill>
            <a:srgbClr val="CCFFFF"/>
          </a:solidFill>
          <a:ln w="9525">
            <a:solidFill>
              <a:srgbClr val="000000"/>
            </a:solidFill>
            <a:miter lim="800000"/>
            <a:headEnd/>
            <a:tailEnd/>
          </a:ln>
        </xdr:spPr>
      </xdr:sp>
      <xdr:sp macro="" textlink="">
        <xdr:nvSpPr>
          <xdr:cNvPr id="111" name="AutoShape 29">
            <a:extLst>
              <a:ext uri="{FF2B5EF4-FFF2-40B4-BE49-F238E27FC236}">
                <a16:creationId xmlns:a16="http://schemas.microsoft.com/office/drawing/2014/main" id="{00000000-0008-0000-0900-00006F000000}"/>
              </a:ext>
            </a:extLst>
          </xdr:cNvPr>
          <xdr:cNvSpPr>
            <a:spLocks noChangeArrowheads="1"/>
          </xdr:cNvSpPr>
        </xdr:nvSpPr>
        <xdr:spPr bwMode="auto">
          <a:xfrm flipH="1">
            <a:off x="361" y="335"/>
            <a:ext cx="32" cy="16"/>
          </a:xfrm>
          <a:prstGeom prst="rtTriangle">
            <a:avLst/>
          </a:prstGeom>
          <a:solidFill>
            <a:srgbClr val="CCFFFF"/>
          </a:solidFill>
          <a:ln w="9525">
            <a:solidFill>
              <a:srgbClr val="000000"/>
            </a:solidFill>
            <a:miter lim="800000"/>
            <a:headEnd/>
            <a:tailEnd/>
          </a:ln>
        </xdr:spPr>
      </xdr:sp>
      <xdr:sp macro="" textlink="">
        <xdr:nvSpPr>
          <xdr:cNvPr id="112" name="AutoShape 30">
            <a:extLst>
              <a:ext uri="{FF2B5EF4-FFF2-40B4-BE49-F238E27FC236}">
                <a16:creationId xmlns:a16="http://schemas.microsoft.com/office/drawing/2014/main" id="{00000000-0008-0000-0900-000070000000}"/>
              </a:ext>
            </a:extLst>
          </xdr:cNvPr>
          <xdr:cNvSpPr>
            <a:spLocks noChangeArrowheads="1"/>
          </xdr:cNvSpPr>
        </xdr:nvSpPr>
        <xdr:spPr bwMode="auto">
          <a:xfrm flipH="1">
            <a:off x="338" y="335"/>
            <a:ext cx="32" cy="16"/>
          </a:xfrm>
          <a:prstGeom prst="rtTriangle">
            <a:avLst/>
          </a:prstGeom>
          <a:solidFill>
            <a:srgbClr val="CCFFFF"/>
          </a:solidFill>
          <a:ln w="9525">
            <a:solidFill>
              <a:srgbClr val="000000"/>
            </a:solidFill>
            <a:miter lim="800000"/>
            <a:headEnd/>
            <a:tailEnd/>
          </a:ln>
        </xdr:spPr>
      </xdr:sp>
      <xdr:sp macro="" textlink="">
        <xdr:nvSpPr>
          <xdr:cNvPr id="113" name="AutoShape 31">
            <a:extLst>
              <a:ext uri="{FF2B5EF4-FFF2-40B4-BE49-F238E27FC236}">
                <a16:creationId xmlns:a16="http://schemas.microsoft.com/office/drawing/2014/main" id="{00000000-0008-0000-0900-000071000000}"/>
              </a:ext>
            </a:extLst>
          </xdr:cNvPr>
          <xdr:cNvSpPr>
            <a:spLocks noChangeArrowheads="1"/>
          </xdr:cNvSpPr>
        </xdr:nvSpPr>
        <xdr:spPr bwMode="auto">
          <a:xfrm flipH="1">
            <a:off x="313" y="335"/>
            <a:ext cx="32" cy="16"/>
          </a:xfrm>
          <a:prstGeom prst="rtTriangle">
            <a:avLst/>
          </a:prstGeom>
          <a:solidFill>
            <a:srgbClr val="CCFFFF"/>
          </a:solidFill>
          <a:ln w="9525">
            <a:solidFill>
              <a:srgbClr val="000000"/>
            </a:solidFill>
            <a:miter lim="800000"/>
            <a:headEnd/>
            <a:tailEnd/>
          </a:ln>
        </xdr:spPr>
      </xdr:sp>
      <xdr:sp macro="" textlink="">
        <xdr:nvSpPr>
          <xdr:cNvPr id="114" name="AutoShape 32">
            <a:extLst>
              <a:ext uri="{FF2B5EF4-FFF2-40B4-BE49-F238E27FC236}">
                <a16:creationId xmlns:a16="http://schemas.microsoft.com/office/drawing/2014/main" id="{00000000-0008-0000-0900-000072000000}"/>
              </a:ext>
            </a:extLst>
          </xdr:cNvPr>
          <xdr:cNvSpPr>
            <a:spLocks noChangeArrowheads="1"/>
          </xdr:cNvSpPr>
        </xdr:nvSpPr>
        <xdr:spPr bwMode="auto">
          <a:xfrm flipH="1">
            <a:off x="291" y="335"/>
            <a:ext cx="32" cy="16"/>
          </a:xfrm>
          <a:prstGeom prst="rtTriangle">
            <a:avLst/>
          </a:prstGeom>
          <a:solidFill>
            <a:srgbClr val="CCFFFF"/>
          </a:solidFill>
          <a:ln w="9525">
            <a:solidFill>
              <a:srgbClr val="000000"/>
            </a:solidFill>
            <a:miter lim="800000"/>
            <a:headEnd/>
            <a:tailEnd/>
          </a:ln>
        </xdr:spPr>
      </xdr:sp>
      <xdr:sp macro="" textlink="">
        <xdr:nvSpPr>
          <xdr:cNvPr id="115" name="AutoShape 33">
            <a:extLst>
              <a:ext uri="{FF2B5EF4-FFF2-40B4-BE49-F238E27FC236}">
                <a16:creationId xmlns:a16="http://schemas.microsoft.com/office/drawing/2014/main" id="{00000000-0008-0000-0900-000073000000}"/>
              </a:ext>
            </a:extLst>
          </xdr:cNvPr>
          <xdr:cNvSpPr>
            <a:spLocks noChangeArrowheads="1"/>
          </xdr:cNvSpPr>
        </xdr:nvSpPr>
        <xdr:spPr bwMode="auto">
          <a:xfrm flipH="1">
            <a:off x="267" y="335"/>
            <a:ext cx="32" cy="16"/>
          </a:xfrm>
          <a:prstGeom prst="rtTriangle">
            <a:avLst/>
          </a:prstGeom>
          <a:solidFill>
            <a:srgbClr val="CCFFFF"/>
          </a:solidFill>
          <a:ln w="9525">
            <a:solidFill>
              <a:srgbClr val="000000"/>
            </a:solidFill>
            <a:miter lim="800000"/>
            <a:headEnd/>
            <a:tailEnd/>
          </a:ln>
        </xdr:spPr>
      </xdr:sp>
    </xdr:grpSp>
    <xdr:clientData/>
  </xdr:twoCellAnchor>
  <xdr:twoCellAnchor>
    <xdr:from>
      <xdr:col>37</xdr:col>
      <xdr:colOff>193770</xdr:colOff>
      <xdr:row>11</xdr:row>
      <xdr:rowOff>60960</xdr:rowOff>
    </xdr:from>
    <xdr:to>
      <xdr:col>40</xdr:col>
      <xdr:colOff>50078</xdr:colOff>
      <xdr:row>13</xdr:row>
      <xdr:rowOff>160020</xdr:rowOff>
    </xdr:to>
    <xdr:grpSp>
      <xdr:nvGrpSpPr>
        <xdr:cNvPr id="116" name="Group 26">
          <a:extLst>
            <a:ext uri="{FF2B5EF4-FFF2-40B4-BE49-F238E27FC236}">
              <a16:creationId xmlns:a16="http://schemas.microsoft.com/office/drawing/2014/main" id="{00000000-0008-0000-0900-000074000000}"/>
            </a:ext>
          </a:extLst>
        </xdr:cNvPr>
        <xdr:cNvGrpSpPr>
          <a:grpSpLocks/>
        </xdr:cNvGrpSpPr>
      </xdr:nvGrpSpPr>
      <xdr:grpSpPr bwMode="auto">
        <a:xfrm>
          <a:off x="10480770" y="2092960"/>
          <a:ext cx="799737" cy="425631"/>
          <a:chOff x="267" y="335"/>
          <a:chExt cx="150" cy="88"/>
        </a:xfrm>
      </xdr:grpSpPr>
      <xdr:sp macro="" textlink="">
        <xdr:nvSpPr>
          <xdr:cNvPr id="117" name="Rectangle 27">
            <a:extLst>
              <a:ext uri="{FF2B5EF4-FFF2-40B4-BE49-F238E27FC236}">
                <a16:creationId xmlns:a16="http://schemas.microsoft.com/office/drawing/2014/main" id="{00000000-0008-0000-0900-000075000000}"/>
              </a:ext>
            </a:extLst>
          </xdr:cNvPr>
          <xdr:cNvSpPr>
            <a:spLocks noChangeArrowheads="1"/>
          </xdr:cNvSpPr>
        </xdr:nvSpPr>
        <xdr:spPr bwMode="auto">
          <a:xfrm>
            <a:off x="269" y="350"/>
            <a:ext cx="148" cy="73"/>
          </a:xfrm>
          <a:prstGeom prst="rect">
            <a:avLst/>
          </a:prstGeom>
          <a:solidFill>
            <a:srgbClr val="CCFFFF"/>
          </a:solidFill>
          <a:ln w="9525">
            <a:solidFill>
              <a:srgbClr val="000000"/>
            </a:solidFill>
            <a:miter lim="800000"/>
            <a:headEnd/>
            <a:tailEnd/>
          </a:ln>
        </xdr:spPr>
        <xdr:txBody>
          <a:bodyPr anchor="ctr"/>
          <a:lstStyle/>
          <a:p>
            <a:pPr algn="ctr"/>
            <a:r>
              <a:rPr lang="en-US"/>
              <a:t>JCWPA</a:t>
            </a:r>
          </a:p>
        </xdr:txBody>
      </xdr:sp>
      <xdr:sp macro="" textlink="">
        <xdr:nvSpPr>
          <xdr:cNvPr id="118" name="AutoShape 28">
            <a:extLst>
              <a:ext uri="{FF2B5EF4-FFF2-40B4-BE49-F238E27FC236}">
                <a16:creationId xmlns:a16="http://schemas.microsoft.com/office/drawing/2014/main" id="{00000000-0008-0000-0900-000076000000}"/>
              </a:ext>
            </a:extLst>
          </xdr:cNvPr>
          <xdr:cNvSpPr>
            <a:spLocks noChangeArrowheads="1"/>
          </xdr:cNvSpPr>
        </xdr:nvSpPr>
        <xdr:spPr bwMode="auto">
          <a:xfrm flipH="1">
            <a:off x="385" y="335"/>
            <a:ext cx="32" cy="16"/>
          </a:xfrm>
          <a:prstGeom prst="rtTriangle">
            <a:avLst/>
          </a:prstGeom>
          <a:solidFill>
            <a:srgbClr val="CCFFFF"/>
          </a:solidFill>
          <a:ln w="9525">
            <a:solidFill>
              <a:srgbClr val="000000"/>
            </a:solidFill>
            <a:miter lim="800000"/>
            <a:headEnd/>
            <a:tailEnd/>
          </a:ln>
        </xdr:spPr>
      </xdr:sp>
      <xdr:sp macro="" textlink="">
        <xdr:nvSpPr>
          <xdr:cNvPr id="119" name="AutoShape 29">
            <a:extLst>
              <a:ext uri="{FF2B5EF4-FFF2-40B4-BE49-F238E27FC236}">
                <a16:creationId xmlns:a16="http://schemas.microsoft.com/office/drawing/2014/main" id="{00000000-0008-0000-0900-000077000000}"/>
              </a:ext>
            </a:extLst>
          </xdr:cNvPr>
          <xdr:cNvSpPr>
            <a:spLocks noChangeArrowheads="1"/>
          </xdr:cNvSpPr>
        </xdr:nvSpPr>
        <xdr:spPr bwMode="auto">
          <a:xfrm flipH="1">
            <a:off x="361" y="335"/>
            <a:ext cx="32" cy="16"/>
          </a:xfrm>
          <a:prstGeom prst="rtTriangle">
            <a:avLst/>
          </a:prstGeom>
          <a:solidFill>
            <a:srgbClr val="CCFFFF"/>
          </a:solidFill>
          <a:ln w="9525">
            <a:solidFill>
              <a:srgbClr val="000000"/>
            </a:solidFill>
            <a:miter lim="800000"/>
            <a:headEnd/>
            <a:tailEnd/>
          </a:ln>
        </xdr:spPr>
      </xdr:sp>
      <xdr:sp macro="" textlink="">
        <xdr:nvSpPr>
          <xdr:cNvPr id="120" name="AutoShape 30">
            <a:extLst>
              <a:ext uri="{FF2B5EF4-FFF2-40B4-BE49-F238E27FC236}">
                <a16:creationId xmlns:a16="http://schemas.microsoft.com/office/drawing/2014/main" id="{00000000-0008-0000-0900-000078000000}"/>
              </a:ext>
            </a:extLst>
          </xdr:cNvPr>
          <xdr:cNvSpPr>
            <a:spLocks noChangeArrowheads="1"/>
          </xdr:cNvSpPr>
        </xdr:nvSpPr>
        <xdr:spPr bwMode="auto">
          <a:xfrm flipH="1">
            <a:off x="338" y="335"/>
            <a:ext cx="32" cy="16"/>
          </a:xfrm>
          <a:prstGeom prst="rtTriangle">
            <a:avLst/>
          </a:prstGeom>
          <a:solidFill>
            <a:srgbClr val="CCFFFF"/>
          </a:solidFill>
          <a:ln w="9525">
            <a:solidFill>
              <a:srgbClr val="000000"/>
            </a:solidFill>
            <a:miter lim="800000"/>
            <a:headEnd/>
            <a:tailEnd/>
          </a:ln>
        </xdr:spPr>
      </xdr:sp>
      <xdr:sp macro="" textlink="">
        <xdr:nvSpPr>
          <xdr:cNvPr id="121" name="AutoShape 31">
            <a:extLst>
              <a:ext uri="{FF2B5EF4-FFF2-40B4-BE49-F238E27FC236}">
                <a16:creationId xmlns:a16="http://schemas.microsoft.com/office/drawing/2014/main" id="{00000000-0008-0000-0900-000079000000}"/>
              </a:ext>
            </a:extLst>
          </xdr:cNvPr>
          <xdr:cNvSpPr>
            <a:spLocks noChangeArrowheads="1"/>
          </xdr:cNvSpPr>
        </xdr:nvSpPr>
        <xdr:spPr bwMode="auto">
          <a:xfrm flipH="1">
            <a:off x="313" y="335"/>
            <a:ext cx="32" cy="16"/>
          </a:xfrm>
          <a:prstGeom prst="rtTriangle">
            <a:avLst/>
          </a:prstGeom>
          <a:solidFill>
            <a:srgbClr val="CCFFFF"/>
          </a:solidFill>
          <a:ln w="9525">
            <a:solidFill>
              <a:srgbClr val="000000"/>
            </a:solidFill>
            <a:miter lim="800000"/>
            <a:headEnd/>
            <a:tailEnd/>
          </a:ln>
        </xdr:spPr>
      </xdr:sp>
      <xdr:sp macro="" textlink="">
        <xdr:nvSpPr>
          <xdr:cNvPr id="122" name="AutoShape 32">
            <a:extLst>
              <a:ext uri="{FF2B5EF4-FFF2-40B4-BE49-F238E27FC236}">
                <a16:creationId xmlns:a16="http://schemas.microsoft.com/office/drawing/2014/main" id="{00000000-0008-0000-0900-00007A000000}"/>
              </a:ext>
            </a:extLst>
          </xdr:cNvPr>
          <xdr:cNvSpPr>
            <a:spLocks noChangeArrowheads="1"/>
          </xdr:cNvSpPr>
        </xdr:nvSpPr>
        <xdr:spPr bwMode="auto">
          <a:xfrm flipH="1">
            <a:off x="291" y="335"/>
            <a:ext cx="32" cy="16"/>
          </a:xfrm>
          <a:prstGeom prst="rtTriangle">
            <a:avLst/>
          </a:prstGeom>
          <a:solidFill>
            <a:srgbClr val="CCFFFF"/>
          </a:solidFill>
          <a:ln w="9525">
            <a:solidFill>
              <a:srgbClr val="000000"/>
            </a:solidFill>
            <a:miter lim="800000"/>
            <a:headEnd/>
            <a:tailEnd/>
          </a:ln>
        </xdr:spPr>
      </xdr:sp>
      <xdr:sp macro="" textlink="">
        <xdr:nvSpPr>
          <xdr:cNvPr id="123" name="AutoShape 33">
            <a:extLst>
              <a:ext uri="{FF2B5EF4-FFF2-40B4-BE49-F238E27FC236}">
                <a16:creationId xmlns:a16="http://schemas.microsoft.com/office/drawing/2014/main" id="{00000000-0008-0000-0900-00007B000000}"/>
              </a:ext>
            </a:extLst>
          </xdr:cNvPr>
          <xdr:cNvSpPr>
            <a:spLocks noChangeArrowheads="1"/>
          </xdr:cNvSpPr>
        </xdr:nvSpPr>
        <xdr:spPr bwMode="auto">
          <a:xfrm flipH="1">
            <a:off x="267" y="335"/>
            <a:ext cx="32" cy="16"/>
          </a:xfrm>
          <a:prstGeom prst="rtTriangle">
            <a:avLst/>
          </a:prstGeom>
          <a:solidFill>
            <a:srgbClr val="CCFFFF"/>
          </a:solidFill>
          <a:ln w="9525">
            <a:solidFill>
              <a:srgbClr val="000000"/>
            </a:solidFill>
            <a:miter lim="800000"/>
            <a:headEnd/>
            <a:tailEnd/>
          </a:ln>
        </xdr:spPr>
      </xdr:sp>
    </xdr:grpSp>
    <xdr:clientData/>
  </xdr:twoCellAnchor>
  <xdr:twoCellAnchor>
    <xdr:from>
      <xdr:col>2</xdr:col>
      <xdr:colOff>67675</xdr:colOff>
      <xdr:row>15</xdr:row>
      <xdr:rowOff>70390</xdr:rowOff>
    </xdr:from>
    <xdr:to>
      <xdr:col>2</xdr:col>
      <xdr:colOff>231584</xdr:colOff>
      <xdr:row>19</xdr:row>
      <xdr:rowOff>130972</xdr:rowOff>
    </xdr:to>
    <xdr:sp macro="" textlink="">
      <xdr:nvSpPr>
        <xdr:cNvPr id="124" name="Right Arrow 123">
          <a:extLst>
            <a:ext uri="{FF2B5EF4-FFF2-40B4-BE49-F238E27FC236}">
              <a16:creationId xmlns:a16="http://schemas.microsoft.com/office/drawing/2014/main" id="{00000000-0008-0000-0900-00007C000000}"/>
            </a:ext>
          </a:extLst>
        </xdr:cNvPr>
        <xdr:cNvSpPr/>
      </xdr:nvSpPr>
      <xdr:spPr>
        <a:xfrm rot="5400000">
          <a:off x="1003259" y="2868606"/>
          <a:ext cx="731142" cy="163909"/>
        </a:xfrm>
        <a:prstGeom prst="rightArrow">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xdr:from>
      <xdr:col>4</xdr:col>
      <xdr:colOff>81642</xdr:colOff>
      <xdr:row>31</xdr:row>
      <xdr:rowOff>30480</xdr:rowOff>
    </xdr:from>
    <xdr:to>
      <xdr:col>5</xdr:col>
      <xdr:colOff>195943</xdr:colOff>
      <xdr:row>32</xdr:row>
      <xdr:rowOff>117566</xdr:rowOff>
    </xdr:to>
    <xdr:grpSp>
      <xdr:nvGrpSpPr>
        <xdr:cNvPr id="125" name="Group 49">
          <a:extLst>
            <a:ext uri="{FF2B5EF4-FFF2-40B4-BE49-F238E27FC236}">
              <a16:creationId xmlns:a16="http://schemas.microsoft.com/office/drawing/2014/main" id="{00000000-0008-0000-0900-00007D000000}"/>
            </a:ext>
          </a:extLst>
        </xdr:cNvPr>
        <xdr:cNvGrpSpPr>
          <a:grpSpLocks/>
        </xdr:cNvGrpSpPr>
      </xdr:nvGrpSpPr>
      <xdr:grpSpPr bwMode="auto">
        <a:xfrm>
          <a:off x="1170213" y="5346337"/>
          <a:ext cx="386444" cy="250372"/>
          <a:chOff x="1860" y="222"/>
          <a:chExt cx="159" cy="139"/>
        </a:xfrm>
      </xdr:grpSpPr>
      <xdr:sp macro="" textlink="">
        <xdr:nvSpPr>
          <xdr:cNvPr id="126" name="AutoShape 50">
            <a:extLst>
              <a:ext uri="{FF2B5EF4-FFF2-40B4-BE49-F238E27FC236}">
                <a16:creationId xmlns:a16="http://schemas.microsoft.com/office/drawing/2014/main" id="{00000000-0008-0000-0900-00007E000000}"/>
              </a:ext>
            </a:extLst>
          </xdr:cNvPr>
          <xdr:cNvSpPr>
            <a:spLocks noChangeArrowheads="1"/>
          </xdr:cNvSpPr>
        </xdr:nvSpPr>
        <xdr:spPr bwMode="auto">
          <a:xfrm>
            <a:off x="1860" y="222"/>
            <a:ext cx="159" cy="139"/>
          </a:xfrm>
          <a:prstGeom prst="flowChartExtract">
            <a:avLst/>
          </a:prstGeom>
          <a:solidFill>
            <a:srgbClr val="FFFF99"/>
          </a:solidFill>
          <a:ln w="28575">
            <a:solidFill>
              <a:srgbClr val="000000"/>
            </a:solidFill>
            <a:miter lim="800000"/>
            <a:headEnd/>
            <a:tailEnd/>
          </a:ln>
        </xdr:spPr>
      </xdr:sp>
      <xdr:sp macro="" textlink="">
        <xdr:nvSpPr>
          <xdr:cNvPr id="127" name="Line 51">
            <a:extLst>
              <a:ext uri="{FF2B5EF4-FFF2-40B4-BE49-F238E27FC236}">
                <a16:creationId xmlns:a16="http://schemas.microsoft.com/office/drawing/2014/main" id="{00000000-0008-0000-0900-00007F000000}"/>
              </a:ext>
            </a:extLst>
          </xdr:cNvPr>
          <xdr:cNvSpPr>
            <a:spLocks noChangeShapeType="1"/>
          </xdr:cNvSpPr>
        </xdr:nvSpPr>
        <xdr:spPr bwMode="auto">
          <a:xfrm>
            <a:off x="1940" y="279"/>
            <a:ext cx="0" cy="63"/>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8" name="Line 52">
            <a:extLst>
              <a:ext uri="{FF2B5EF4-FFF2-40B4-BE49-F238E27FC236}">
                <a16:creationId xmlns:a16="http://schemas.microsoft.com/office/drawing/2014/main" id="{00000000-0008-0000-0900-000080000000}"/>
              </a:ext>
            </a:extLst>
          </xdr:cNvPr>
          <xdr:cNvSpPr>
            <a:spLocks noChangeShapeType="1"/>
          </xdr:cNvSpPr>
        </xdr:nvSpPr>
        <xdr:spPr bwMode="auto">
          <a:xfrm>
            <a:off x="1920" y="279"/>
            <a:ext cx="41"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9" name="Line 53">
            <a:extLst>
              <a:ext uri="{FF2B5EF4-FFF2-40B4-BE49-F238E27FC236}">
                <a16:creationId xmlns:a16="http://schemas.microsoft.com/office/drawing/2014/main" id="{00000000-0008-0000-0900-000081000000}"/>
              </a:ext>
            </a:extLst>
          </xdr:cNvPr>
          <xdr:cNvSpPr>
            <a:spLocks noChangeShapeType="1"/>
          </xdr:cNvSpPr>
        </xdr:nvSpPr>
        <xdr:spPr bwMode="auto">
          <a:xfrm>
            <a:off x="1920" y="342"/>
            <a:ext cx="41" cy="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68580</xdr:colOff>
      <xdr:row>20</xdr:row>
      <xdr:rowOff>45720</xdr:rowOff>
    </xdr:from>
    <xdr:to>
      <xdr:col>3</xdr:col>
      <xdr:colOff>167640</xdr:colOff>
      <xdr:row>22</xdr:row>
      <xdr:rowOff>91440</xdr:rowOff>
    </xdr:to>
    <xdr:grpSp>
      <xdr:nvGrpSpPr>
        <xdr:cNvPr id="130" name="Group 63">
          <a:extLst>
            <a:ext uri="{FF2B5EF4-FFF2-40B4-BE49-F238E27FC236}">
              <a16:creationId xmlns:a16="http://schemas.microsoft.com/office/drawing/2014/main" id="{00000000-0008-0000-0900-000082000000}"/>
            </a:ext>
          </a:extLst>
        </xdr:cNvPr>
        <xdr:cNvGrpSpPr>
          <a:grpSpLocks/>
        </xdr:cNvGrpSpPr>
      </xdr:nvGrpSpPr>
      <xdr:grpSpPr bwMode="auto">
        <a:xfrm>
          <a:off x="340723" y="3565434"/>
          <a:ext cx="643346" cy="372292"/>
          <a:chOff x="216" y="418"/>
          <a:chExt cx="71" cy="51"/>
        </a:xfrm>
      </xdr:grpSpPr>
      <xdr:sp macro="" textlink="">
        <xdr:nvSpPr>
          <xdr:cNvPr id="131" name="Rectangle 64">
            <a:extLst>
              <a:ext uri="{FF2B5EF4-FFF2-40B4-BE49-F238E27FC236}">
                <a16:creationId xmlns:a16="http://schemas.microsoft.com/office/drawing/2014/main" id="{00000000-0008-0000-0900-000083000000}"/>
              </a:ext>
            </a:extLst>
          </xdr:cNvPr>
          <xdr:cNvSpPr>
            <a:spLocks noChangeArrowheads="1"/>
          </xdr:cNvSpPr>
        </xdr:nvSpPr>
        <xdr:spPr bwMode="auto">
          <a:xfrm>
            <a:off x="261" y="418"/>
            <a:ext cx="26" cy="41"/>
          </a:xfrm>
          <a:prstGeom prst="rect">
            <a:avLst/>
          </a:prstGeom>
          <a:solidFill>
            <a:srgbClr val="FFCC99"/>
          </a:solidFill>
          <a:ln w="9525">
            <a:solidFill>
              <a:srgbClr val="000000"/>
            </a:solidFill>
            <a:miter lim="800000"/>
            <a:headEnd/>
            <a:tailEnd/>
          </a:ln>
        </xdr:spPr>
      </xdr:sp>
      <xdr:sp macro="" textlink="">
        <xdr:nvSpPr>
          <xdr:cNvPr id="132" name="Rectangle 65">
            <a:extLst>
              <a:ext uri="{FF2B5EF4-FFF2-40B4-BE49-F238E27FC236}">
                <a16:creationId xmlns:a16="http://schemas.microsoft.com/office/drawing/2014/main" id="{00000000-0008-0000-0900-000084000000}"/>
              </a:ext>
            </a:extLst>
          </xdr:cNvPr>
          <xdr:cNvSpPr>
            <a:spLocks noChangeArrowheads="1"/>
          </xdr:cNvSpPr>
        </xdr:nvSpPr>
        <xdr:spPr bwMode="auto">
          <a:xfrm>
            <a:off x="216" y="448"/>
            <a:ext cx="45" cy="11"/>
          </a:xfrm>
          <a:prstGeom prst="rect">
            <a:avLst/>
          </a:prstGeom>
          <a:solidFill>
            <a:srgbClr val="FFCC99"/>
          </a:solidFill>
          <a:ln w="9525">
            <a:solidFill>
              <a:srgbClr val="000000"/>
            </a:solidFill>
            <a:miter lim="800000"/>
            <a:headEnd/>
            <a:tailEnd/>
          </a:ln>
        </xdr:spPr>
      </xdr:sp>
      <xdr:sp macro="" textlink="">
        <xdr:nvSpPr>
          <xdr:cNvPr id="133" name="AutoShape 66">
            <a:extLst>
              <a:ext uri="{FF2B5EF4-FFF2-40B4-BE49-F238E27FC236}">
                <a16:creationId xmlns:a16="http://schemas.microsoft.com/office/drawing/2014/main" id="{00000000-0008-0000-0900-000085000000}"/>
              </a:ext>
            </a:extLst>
          </xdr:cNvPr>
          <xdr:cNvSpPr>
            <a:spLocks noChangeArrowheads="1"/>
          </xdr:cNvSpPr>
        </xdr:nvSpPr>
        <xdr:spPr bwMode="auto">
          <a:xfrm>
            <a:off x="220"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134" name="AutoShape 67">
            <a:extLst>
              <a:ext uri="{FF2B5EF4-FFF2-40B4-BE49-F238E27FC236}">
                <a16:creationId xmlns:a16="http://schemas.microsoft.com/office/drawing/2014/main" id="{00000000-0008-0000-0900-000086000000}"/>
              </a:ext>
            </a:extLst>
          </xdr:cNvPr>
          <xdr:cNvSpPr>
            <a:spLocks noChangeArrowheads="1"/>
          </xdr:cNvSpPr>
        </xdr:nvSpPr>
        <xdr:spPr bwMode="auto">
          <a:xfrm>
            <a:off x="225" y="441"/>
            <a:ext cx="28" cy="6"/>
          </a:xfrm>
          <a:prstGeom prst="bevel">
            <a:avLst>
              <a:gd name="adj" fmla="val 12500"/>
            </a:avLst>
          </a:prstGeom>
          <a:solidFill>
            <a:srgbClr val="FFFFFF"/>
          </a:solidFill>
          <a:ln w="9525">
            <a:solidFill>
              <a:srgbClr val="000000"/>
            </a:solidFill>
            <a:miter lim="800000"/>
            <a:headEnd/>
            <a:tailEnd/>
          </a:ln>
        </xdr:spPr>
      </xdr:sp>
      <xdr:sp macro="" textlink="">
        <xdr:nvSpPr>
          <xdr:cNvPr id="135" name="AutoShape 68">
            <a:extLst>
              <a:ext uri="{FF2B5EF4-FFF2-40B4-BE49-F238E27FC236}">
                <a16:creationId xmlns:a16="http://schemas.microsoft.com/office/drawing/2014/main" id="{00000000-0008-0000-0900-000087000000}"/>
              </a:ext>
            </a:extLst>
          </xdr:cNvPr>
          <xdr:cNvSpPr>
            <a:spLocks noChangeArrowheads="1"/>
          </xdr:cNvSpPr>
        </xdr:nvSpPr>
        <xdr:spPr bwMode="auto">
          <a:xfrm>
            <a:off x="225" y="434"/>
            <a:ext cx="28" cy="7"/>
          </a:xfrm>
          <a:prstGeom prst="bevel">
            <a:avLst>
              <a:gd name="adj" fmla="val 12500"/>
            </a:avLst>
          </a:prstGeom>
          <a:solidFill>
            <a:srgbClr val="FFFFFF"/>
          </a:solidFill>
          <a:ln w="9525">
            <a:solidFill>
              <a:srgbClr val="000000"/>
            </a:solidFill>
            <a:miter lim="800000"/>
            <a:headEnd/>
            <a:tailEnd/>
          </a:ln>
        </xdr:spPr>
      </xdr:sp>
      <xdr:sp macro="" textlink="">
        <xdr:nvSpPr>
          <xdr:cNvPr id="136" name="AutoShape 69">
            <a:extLst>
              <a:ext uri="{FF2B5EF4-FFF2-40B4-BE49-F238E27FC236}">
                <a16:creationId xmlns:a16="http://schemas.microsoft.com/office/drawing/2014/main" id="{00000000-0008-0000-0900-000088000000}"/>
              </a:ext>
            </a:extLst>
          </xdr:cNvPr>
          <xdr:cNvSpPr>
            <a:spLocks noChangeArrowheads="1"/>
          </xdr:cNvSpPr>
        </xdr:nvSpPr>
        <xdr:spPr bwMode="auto">
          <a:xfrm>
            <a:off x="241"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137" name="AutoShape 70">
            <a:extLst>
              <a:ext uri="{FF2B5EF4-FFF2-40B4-BE49-F238E27FC236}">
                <a16:creationId xmlns:a16="http://schemas.microsoft.com/office/drawing/2014/main" id="{00000000-0008-0000-0900-000089000000}"/>
              </a:ext>
            </a:extLst>
          </xdr:cNvPr>
          <xdr:cNvSpPr>
            <a:spLocks noChangeArrowheads="1"/>
          </xdr:cNvSpPr>
        </xdr:nvSpPr>
        <xdr:spPr bwMode="auto">
          <a:xfrm>
            <a:off x="265"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grpSp>
    <xdr:clientData/>
  </xdr:twoCellAnchor>
  <xdr:twoCellAnchor>
    <xdr:from>
      <xdr:col>2</xdr:col>
      <xdr:colOff>78532</xdr:colOff>
      <xdr:row>23</xdr:row>
      <xdr:rowOff>23815</xdr:rowOff>
    </xdr:from>
    <xdr:to>
      <xdr:col>2</xdr:col>
      <xdr:colOff>249891</xdr:colOff>
      <xdr:row>27</xdr:row>
      <xdr:rowOff>92084</xdr:rowOff>
    </xdr:to>
    <xdr:sp macro="" textlink="">
      <xdr:nvSpPr>
        <xdr:cNvPr id="138" name="Right Arrow 137">
          <a:extLst>
            <a:ext uri="{FF2B5EF4-FFF2-40B4-BE49-F238E27FC236}">
              <a16:creationId xmlns:a16="http://schemas.microsoft.com/office/drawing/2014/main" id="{00000000-0008-0000-0900-00008A000000}"/>
            </a:ext>
          </a:extLst>
        </xdr:cNvPr>
        <xdr:cNvSpPr/>
      </xdr:nvSpPr>
      <xdr:spPr>
        <a:xfrm rot="5400000">
          <a:off x="1013997" y="4163270"/>
          <a:ext cx="738829" cy="171359"/>
        </a:xfrm>
        <a:prstGeom prst="rightArrow">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xdr:from>
      <xdr:col>15</xdr:col>
      <xdr:colOff>81682</xdr:colOff>
      <xdr:row>6</xdr:row>
      <xdr:rowOff>161805</xdr:rowOff>
    </xdr:from>
    <xdr:to>
      <xdr:col>24</xdr:col>
      <xdr:colOff>81682</xdr:colOff>
      <xdr:row>11</xdr:row>
      <xdr:rowOff>35164</xdr:rowOff>
    </xdr:to>
    <xdr:sp macro="" textlink="">
      <xdr:nvSpPr>
        <xdr:cNvPr id="139" name="TextBox 138">
          <a:extLst>
            <a:ext uri="{FF2B5EF4-FFF2-40B4-BE49-F238E27FC236}">
              <a16:creationId xmlns:a16="http://schemas.microsoft.com/office/drawing/2014/main" id="{00000000-0008-0000-0900-00008B000000}"/>
            </a:ext>
          </a:extLst>
        </xdr:cNvPr>
        <xdr:cNvSpPr txBox="1"/>
      </xdr:nvSpPr>
      <xdr:spPr>
        <a:xfrm>
          <a:off x="9225682" y="1167645"/>
          <a:ext cx="5486400" cy="71155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wrap="square" rtlCol="0" anchor="ctr"/>
        <a:lstStyle/>
        <a:p>
          <a:pPr algn="ctr"/>
          <a:r>
            <a:rPr lang="en-US" sz="1800"/>
            <a:t>Production</a:t>
          </a:r>
          <a:r>
            <a:rPr lang="en-US" sz="1800" baseline="0"/>
            <a:t> Control</a:t>
          </a:r>
          <a:endParaRPr lang="en-US" sz="1800"/>
        </a:p>
      </xdr:txBody>
    </xdr:sp>
    <xdr:clientData/>
  </xdr:twoCellAnchor>
  <xdr:oneCellAnchor>
    <xdr:from>
      <xdr:col>0</xdr:col>
      <xdr:colOff>219509</xdr:colOff>
      <xdr:row>28</xdr:row>
      <xdr:rowOff>144780</xdr:rowOff>
    </xdr:from>
    <xdr:ext cx="879087" cy="335280"/>
    <xdr:sp macro="" textlink="">
      <xdr:nvSpPr>
        <xdr:cNvPr id="140" name="TextBox 139">
          <a:extLst>
            <a:ext uri="{FF2B5EF4-FFF2-40B4-BE49-F238E27FC236}">
              <a16:creationId xmlns:a16="http://schemas.microsoft.com/office/drawing/2014/main" id="{00000000-0008-0000-0900-00008C000000}"/>
            </a:ext>
          </a:extLst>
        </xdr:cNvPr>
        <xdr:cNvSpPr txBox="1"/>
      </xdr:nvSpPr>
      <xdr:spPr>
        <a:xfrm>
          <a:off x="219509" y="5067300"/>
          <a:ext cx="879087" cy="335280"/>
        </a:xfrm>
        <a:prstGeom prst="rect">
          <a:avLst/>
        </a:prstGeom>
      </xdr:spPr>
      <xdr:style>
        <a:lnRef idx="2">
          <a:schemeClr val="dk1"/>
        </a:lnRef>
        <a:fillRef idx="1">
          <a:schemeClr val="lt1"/>
        </a:fillRef>
        <a:effectRef idx="0">
          <a:schemeClr val="dk1"/>
        </a:effectRef>
        <a:fontRef idx="minor">
          <a:schemeClr val="dk1"/>
        </a:fontRef>
      </xdr:style>
      <xdr:txBody>
        <a:bodyPr vertOverflow="clip" wrap="none" rtlCol="0" anchor="t">
          <a:noAutofit/>
        </a:bodyPr>
        <a:lstStyle/>
        <a:p>
          <a:r>
            <a:rPr lang="en-US" sz="1400"/>
            <a:t>Recieving</a:t>
          </a:r>
        </a:p>
      </xdr:txBody>
    </xdr:sp>
    <xdr:clientData/>
  </xdr:oneCellAnchor>
  <xdr:oneCellAnchor>
    <xdr:from>
      <xdr:col>7</xdr:col>
      <xdr:colOff>112639</xdr:colOff>
      <xdr:row>28</xdr:row>
      <xdr:rowOff>167639</xdr:rowOff>
    </xdr:from>
    <xdr:ext cx="810222" cy="312421"/>
    <xdr:sp macro="" textlink="">
      <xdr:nvSpPr>
        <xdr:cNvPr id="141" name="TextBox 140">
          <a:extLst>
            <a:ext uri="{FF2B5EF4-FFF2-40B4-BE49-F238E27FC236}">
              <a16:creationId xmlns:a16="http://schemas.microsoft.com/office/drawing/2014/main" id="{00000000-0008-0000-0900-00008D000000}"/>
            </a:ext>
          </a:extLst>
        </xdr:cNvPr>
        <xdr:cNvSpPr txBox="1"/>
      </xdr:nvSpPr>
      <xdr:spPr>
        <a:xfrm>
          <a:off x="1872859" y="5090159"/>
          <a:ext cx="810222" cy="312421"/>
        </a:xfrm>
        <a:prstGeom prst="rect">
          <a:avLst/>
        </a:prstGeom>
      </xdr:spPr>
      <xdr:style>
        <a:lnRef idx="2">
          <a:schemeClr val="dk1"/>
        </a:lnRef>
        <a:fillRef idx="1">
          <a:schemeClr val="lt1"/>
        </a:fillRef>
        <a:effectRef idx="0">
          <a:schemeClr val="dk1"/>
        </a:effectRef>
        <a:fontRef idx="minor">
          <a:schemeClr val="dk1"/>
        </a:fontRef>
      </xdr:style>
      <xdr:txBody>
        <a:bodyPr vertOverflow="clip" wrap="none" rtlCol="0" anchor="ctr">
          <a:noAutofit/>
        </a:bodyPr>
        <a:lstStyle/>
        <a:p>
          <a:pPr algn="ctr"/>
          <a:r>
            <a:rPr lang="en-US" sz="1400"/>
            <a:t> Furnace</a:t>
          </a:r>
        </a:p>
      </xdr:txBody>
    </xdr:sp>
    <xdr:clientData/>
  </xdr:oneCellAnchor>
  <xdr:oneCellAnchor>
    <xdr:from>
      <xdr:col>13</xdr:col>
      <xdr:colOff>191409</xdr:colOff>
      <xdr:row>29</xdr:row>
      <xdr:rowOff>8267</xdr:rowOff>
    </xdr:from>
    <xdr:ext cx="931986" cy="311496"/>
    <xdr:sp macro="" textlink="">
      <xdr:nvSpPr>
        <xdr:cNvPr id="142" name="TextBox 141">
          <a:extLst>
            <a:ext uri="{FF2B5EF4-FFF2-40B4-BE49-F238E27FC236}">
              <a16:creationId xmlns:a16="http://schemas.microsoft.com/office/drawing/2014/main" id="{00000000-0008-0000-0900-00008E000000}"/>
            </a:ext>
          </a:extLst>
        </xdr:cNvPr>
        <xdr:cNvSpPr txBox="1"/>
      </xdr:nvSpPr>
      <xdr:spPr>
        <a:xfrm>
          <a:off x="3460389" y="5098427"/>
          <a:ext cx="931986" cy="311496"/>
        </a:xfrm>
        <a:prstGeom prst="rect">
          <a:avLst/>
        </a:prstGeom>
      </xdr:spPr>
      <xdr:style>
        <a:lnRef idx="2">
          <a:schemeClr val="dk1"/>
        </a:lnRef>
        <a:fillRef idx="1">
          <a:schemeClr val="lt1"/>
        </a:fillRef>
        <a:effectRef idx="0">
          <a:schemeClr val="dk1"/>
        </a:effectRef>
        <a:fontRef idx="minor">
          <a:schemeClr val="dk1"/>
        </a:fontRef>
      </xdr:style>
      <xdr:txBody>
        <a:bodyPr vertOverflow="clip" wrap="none" rtlCol="0" anchor="ctr">
          <a:spAutoFit/>
        </a:bodyPr>
        <a:lstStyle/>
        <a:p>
          <a:r>
            <a:rPr lang="en-US" sz="1400"/>
            <a:t>    Forging </a:t>
          </a:r>
        </a:p>
      </xdr:txBody>
    </xdr:sp>
    <xdr:clientData/>
  </xdr:oneCellAnchor>
  <xdr:oneCellAnchor>
    <xdr:from>
      <xdr:col>20</xdr:col>
      <xdr:colOff>117360</xdr:colOff>
      <xdr:row>28</xdr:row>
      <xdr:rowOff>45720</xdr:rowOff>
    </xdr:from>
    <xdr:ext cx="781800" cy="582106"/>
    <xdr:sp macro="" textlink="">
      <xdr:nvSpPr>
        <xdr:cNvPr id="143" name="TextBox 142">
          <a:extLst>
            <a:ext uri="{FF2B5EF4-FFF2-40B4-BE49-F238E27FC236}">
              <a16:creationId xmlns:a16="http://schemas.microsoft.com/office/drawing/2014/main" id="{00000000-0008-0000-0900-00008F000000}"/>
            </a:ext>
          </a:extLst>
        </xdr:cNvPr>
        <xdr:cNvSpPr txBox="1"/>
      </xdr:nvSpPr>
      <xdr:spPr>
        <a:xfrm>
          <a:off x="5146560" y="4968240"/>
          <a:ext cx="781800" cy="582106"/>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ctr">
          <a:noAutofit/>
        </a:bodyPr>
        <a:lstStyle/>
        <a:p>
          <a:pPr algn="ctr"/>
          <a:r>
            <a:rPr lang="en-US" sz="1400"/>
            <a:t>CNC Milling</a:t>
          </a:r>
        </a:p>
      </xdr:txBody>
    </xdr:sp>
    <xdr:clientData/>
  </xdr:oneCellAnchor>
  <xdr:twoCellAnchor>
    <xdr:from>
      <xdr:col>8</xdr:col>
      <xdr:colOff>253060</xdr:colOff>
      <xdr:row>26</xdr:row>
      <xdr:rowOff>132293</xdr:rowOff>
    </xdr:from>
    <xdr:to>
      <xdr:col>10</xdr:col>
      <xdr:colOff>101300</xdr:colOff>
      <xdr:row>28</xdr:row>
      <xdr:rowOff>94193</xdr:rowOff>
    </xdr:to>
    <xdr:grpSp>
      <xdr:nvGrpSpPr>
        <xdr:cNvPr id="144" name="Group 56">
          <a:extLst>
            <a:ext uri="{FF2B5EF4-FFF2-40B4-BE49-F238E27FC236}">
              <a16:creationId xmlns:a16="http://schemas.microsoft.com/office/drawing/2014/main" id="{00000000-0008-0000-0900-000090000000}"/>
            </a:ext>
          </a:extLst>
        </xdr:cNvPr>
        <xdr:cNvGrpSpPr>
          <a:grpSpLocks/>
        </xdr:cNvGrpSpPr>
      </xdr:nvGrpSpPr>
      <xdr:grpSpPr bwMode="auto">
        <a:xfrm>
          <a:off x="2430203" y="4631722"/>
          <a:ext cx="519526" cy="288471"/>
          <a:chOff x="304" y="241"/>
          <a:chExt cx="29" cy="29"/>
        </a:xfrm>
      </xdr:grpSpPr>
      <xdr:sp macro="" textlink="">
        <xdr:nvSpPr>
          <xdr:cNvPr id="145" name="Oval 57">
            <a:extLst>
              <a:ext uri="{FF2B5EF4-FFF2-40B4-BE49-F238E27FC236}">
                <a16:creationId xmlns:a16="http://schemas.microsoft.com/office/drawing/2014/main" id="{00000000-0008-0000-0900-000091000000}"/>
              </a:ext>
            </a:extLst>
          </xdr:cNvPr>
          <xdr:cNvSpPr>
            <a:spLocks noChangeArrowheads="1"/>
          </xdr:cNvSpPr>
        </xdr:nvSpPr>
        <xdr:spPr bwMode="auto">
          <a:xfrm>
            <a:off x="308" y="241"/>
            <a:ext cx="22" cy="22"/>
          </a:xfrm>
          <a:prstGeom prst="ellipse">
            <a:avLst/>
          </a:prstGeom>
          <a:solidFill>
            <a:srgbClr val="FFFF00"/>
          </a:solidFill>
          <a:ln w="9525">
            <a:solidFill>
              <a:srgbClr val="000000"/>
            </a:solidFill>
            <a:round/>
            <a:headEnd/>
            <a:tailEnd/>
          </a:ln>
          <a:effectLst/>
        </xdr:spPr>
        <xdr:txBody>
          <a:bodyPr anchor="ctr"/>
          <a:lstStyle/>
          <a:p>
            <a:pPr algn="ctr"/>
            <a:r>
              <a:rPr lang="en-US"/>
              <a:t>3</a:t>
            </a:r>
          </a:p>
        </xdr:txBody>
      </xdr:sp>
      <xdr:sp macro="" textlink="">
        <xdr:nvSpPr>
          <xdr:cNvPr id="146" name="AutoShape 58">
            <a:extLst>
              <a:ext uri="{FF2B5EF4-FFF2-40B4-BE49-F238E27FC236}">
                <a16:creationId xmlns:a16="http://schemas.microsoft.com/office/drawing/2014/main" id="{00000000-0008-0000-0900-000092000000}"/>
              </a:ext>
            </a:extLst>
          </xdr:cNvPr>
          <xdr:cNvSpPr>
            <a:spLocks noChangeArrowheads="1"/>
          </xdr:cNvSpPr>
        </xdr:nvSpPr>
        <xdr:spPr bwMode="auto">
          <a:xfrm flipV="1">
            <a:off x="304" y="251"/>
            <a:ext cx="29" cy="1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11368 h 21600"/>
            </a:gdLst>
            <a:ahLst/>
            <a:cxnLst>
              <a:cxn ang="T8">
                <a:pos x="T0" y="T1"/>
              </a:cxn>
              <a:cxn ang="T9">
                <a:pos x="T2" y="T3"/>
              </a:cxn>
              <a:cxn ang="T10">
                <a:pos x="T4" y="T5"/>
              </a:cxn>
              <a:cxn ang="T11">
                <a:pos x="T6" y="T7"/>
              </a:cxn>
            </a:cxnLst>
            <a:rect l="T12" t="T13" r="T14" b="T15"/>
            <a:pathLst>
              <a:path w="21600" h="21600">
                <a:moveTo>
                  <a:pt x="2979" y="9094"/>
                </a:moveTo>
                <a:cubicBezTo>
                  <a:pt x="3781" y="5417"/>
                  <a:pt x="7036" y="2795"/>
                  <a:pt x="10800" y="2796"/>
                </a:cubicBezTo>
                <a:cubicBezTo>
                  <a:pt x="14563" y="2796"/>
                  <a:pt x="17818" y="5417"/>
                  <a:pt x="18620" y="9094"/>
                </a:cubicBezTo>
                <a:lnTo>
                  <a:pt x="21351" y="8498"/>
                </a:lnTo>
                <a:cubicBezTo>
                  <a:pt x="20269" y="3537"/>
                  <a:pt x="15877" y="-1"/>
                  <a:pt x="10799" y="0"/>
                </a:cubicBezTo>
                <a:cubicBezTo>
                  <a:pt x="5722" y="0"/>
                  <a:pt x="1330" y="3537"/>
                  <a:pt x="248" y="8498"/>
                </a:cubicBezTo>
                <a:lnTo>
                  <a:pt x="2979" y="9094"/>
                </a:lnTo>
                <a:close/>
              </a:path>
            </a:pathLst>
          </a:custGeom>
          <a:solidFill>
            <a:srgbClr val="FFFF00"/>
          </a:solidFill>
          <a:ln w="9525">
            <a:solidFill>
              <a:srgbClr val="000000"/>
            </a:solidFill>
            <a:miter lim="800000"/>
            <a:headEnd/>
            <a:tailEnd/>
          </a:ln>
        </xdr:spPr>
      </xdr:sp>
    </xdr:grpSp>
    <xdr:clientData/>
  </xdr:twoCellAnchor>
  <xdr:twoCellAnchor>
    <xdr:from>
      <xdr:col>15</xdr:col>
      <xdr:colOff>11206</xdr:colOff>
      <xdr:row>26</xdr:row>
      <xdr:rowOff>106680</xdr:rowOff>
    </xdr:from>
    <xdr:to>
      <xdr:col>16</xdr:col>
      <xdr:colOff>110266</xdr:colOff>
      <xdr:row>28</xdr:row>
      <xdr:rowOff>68580</xdr:rowOff>
    </xdr:to>
    <xdr:grpSp>
      <xdr:nvGrpSpPr>
        <xdr:cNvPr id="147" name="Group 56">
          <a:extLst>
            <a:ext uri="{FF2B5EF4-FFF2-40B4-BE49-F238E27FC236}">
              <a16:creationId xmlns:a16="http://schemas.microsoft.com/office/drawing/2014/main" id="{00000000-0008-0000-0900-000093000000}"/>
            </a:ext>
          </a:extLst>
        </xdr:cNvPr>
        <xdr:cNvGrpSpPr>
          <a:grpSpLocks/>
        </xdr:cNvGrpSpPr>
      </xdr:nvGrpSpPr>
      <xdr:grpSpPr bwMode="auto">
        <a:xfrm>
          <a:off x="4220349" y="4606109"/>
          <a:ext cx="371203" cy="288471"/>
          <a:chOff x="304" y="241"/>
          <a:chExt cx="29" cy="29"/>
        </a:xfrm>
      </xdr:grpSpPr>
      <xdr:sp macro="" textlink="">
        <xdr:nvSpPr>
          <xdr:cNvPr id="148" name="Oval 57">
            <a:extLst>
              <a:ext uri="{FF2B5EF4-FFF2-40B4-BE49-F238E27FC236}">
                <a16:creationId xmlns:a16="http://schemas.microsoft.com/office/drawing/2014/main" id="{00000000-0008-0000-0900-000094000000}"/>
              </a:ext>
            </a:extLst>
          </xdr:cNvPr>
          <xdr:cNvSpPr>
            <a:spLocks noChangeArrowheads="1"/>
          </xdr:cNvSpPr>
        </xdr:nvSpPr>
        <xdr:spPr bwMode="auto">
          <a:xfrm>
            <a:off x="308" y="241"/>
            <a:ext cx="22" cy="22"/>
          </a:xfrm>
          <a:prstGeom prst="ellipse">
            <a:avLst/>
          </a:prstGeom>
          <a:solidFill>
            <a:srgbClr val="FFFF00"/>
          </a:solidFill>
          <a:ln w="9525">
            <a:solidFill>
              <a:srgbClr val="000000"/>
            </a:solidFill>
            <a:round/>
            <a:headEnd/>
            <a:tailEnd/>
          </a:ln>
          <a:effectLst/>
        </xdr:spPr>
        <xdr:txBody>
          <a:bodyPr anchor="ctr"/>
          <a:lstStyle/>
          <a:p>
            <a:pPr algn="ctr"/>
            <a:r>
              <a:rPr lang="en-US"/>
              <a:t>3</a:t>
            </a:r>
          </a:p>
        </xdr:txBody>
      </xdr:sp>
      <xdr:sp macro="" textlink="">
        <xdr:nvSpPr>
          <xdr:cNvPr id="149" name="AutoShape 58">
            <a:extLst>
              <a:ext uri="{FF2B5EF4-FFF2-40B4-BE49-F238E27FC236}">
                <a16:creationId xmlns:a16="http://schemas.microsoft.com/office/drawing/2014/main" id="{00000000-0008-0000-0900-000095000000}"/>
              </a:ext>
            </a:extLst>
          </xdr:cNvPr>
          <xdr:cNvSpPr>
            <a:spLocks noChangeArrowheads="1"/>
          </xdr:cNvSpPr>
        </xdr:nvSpPr>
        <xdr:spPr bwMode="auto">
          <a:xfrm flipV="1">
            <a:off x="304" y="251"/>
            <a:ext cx="29" cy="1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11368 h 21600"/>
            </a:gdLst>
            <a:ahLst/>
            <a:cxnLst>
              <a:cxn ang="T8">
                <a:pos x="T0" y="T1"/>
              </a:cxn>
              <a:cxn ang="T9">
                <a:pos x="T2" y="T3"/>
              </a:cxn>
              <a:cxn ang="T10">
                <a:pos x="T4" y="T5"/>
              </a:cxn>
              <a:cxn ang="T11">
                <a:pos x="T6" y="T7"/>
              </a:cxn>
            </a:cxnLst>
            <a:rect l="T12" t="T13" r="T14" b="T15"/>
            <a:pathLst>
              <a:path w="21600" h="21600">
                <a:moveTo>
                  <a:pt x="2979" y="9094"/>
                </a:moveTo>
                <a:cubicBezTo>
                  <a:pt x="3781" y="5417"/>
                  <a:pt x="7036" y="2795"/>
                  <a:pt x="10800" y="2796"/>
                </a:cubicBezTo>
                <a:cubicBezTo>
                  <a:pt x="14563" y="2796"/>
                  <a:pt x="17818" y="5417"/>
                  <a:pt x="18620" y="9094"/>
                </a:cubicBezTo>
                <a:lnTo>
                  <a:pt x="21351" y="8498"/>
                </a:lnTo>
                <a:cubicBezTo>
                  <a:pt x="20269" y="3537"/>
                  <a:pt x="15877" y="-1"/>
                  <a:pt x="10799" y="0"/>
                </a:cubicBezTo>
                <a:cubicBezTo>
                  <a:pt x="5722" y="0"/>
                  <a:pt x="1330" y="3537"/>
                  <a:pt x="248" y="8498"/>
                </a:cubicBezTo>
                <a:lnTo>
                  <a:pt x="2979" y="9094"/>
                </a:lnTo>
                <a:close/>
              </a:path>
            </a:pathLst>
          </a:custGeom>
          <a:solidFill>
            <a:srgbClr val="FFFF00"/>
          </a:solidFill>
          <a:ln w="9525">
            <a:solidFill>
              <a:srgbClr val="000000"/>
            </a:solidFill>
            <a:miter lim="800000"/>
            <a:headEnd/>
            <a:tailEnd/>
          </a:ln>
        </xdr:spPr>
      </xdr:sp>
    </xdr:grpSp>
    <xdr:clientData/>
  </xdr:twoCellAnchor>
  <xdr:twoCellAnchor>
    <xdr:from>
      <xdr:col>21</xdr:col>
      <xdr:colOff>96818</xdr:colOff>
      <xdr:row>26</xdr:row>
      <xdr:rowOff>17033</xdr:rowOff>
    </xdr:from>
    <xdr:to>
      <xdr:col>22</xdr:col>
      <xdr:colOff>195430</xdr:colOff>
      <xdr:row>27</xdr:row>
      <xdr:rowOff>156882</xdr:rowOff>
    </xdr:to>
    <xdr:grpSp>
      <xdr:nvGrpSpPr>
        <xdr:cNvPr id="150" name="Group 56">
          <a:extLst>
            <a:ext uri="{FF2B5EF4-FFF2-40B4-BE49-F238E27FC236}">
              <a16:creationId xmlns:a16="http://schemas.microsoft.com/office/drawing/2014/main" id="{00000000-0008-0000-0900-000096000000}"/>
            </a:ext>
          </a:extLst>
        </xdr:cNvPr>
        <xdr:cNvGrpSpPr>
          <a:grpSpLocks/>
        </xdr:cNvGrpSpPr>
      </xdr:nvGrpSpPr>
      <xdr:grpSpPr bwMode="auto">
        <a:xfrm>
          <a:off x="5938818" y="4516462"/>
          <a:ext cx="370755" cy="303134"/>
          <a:chOff x="304" y="241"/>
          <a:chExt cx="29" cy="29"/>
        </a:xfrm>
      </xdr:grpSpPr>
      <xdr:sp macro="" textlink="">
        <xdr:nvSpPr>
          <xdr:cNvPr id="151" name="Oval 57">
            <a:extLst>
              <a:ext uri="{FF2B5EF4-FFF2-40B4-BE49-F238E27FC236}">
                <a16:creationId xmlns:a16="http://schemas.microsoft.com/office/drawing/2014/main" id="{00000000-0008-0000-0900-000097000000}"/>
              </a:ext>
            </a:extLst>
          </xdr:cNvPr>
          <xdr:cNvSpPr>
            <a:spLocks noChangeArrowheads="1"/>
          </xdr:cNvSpPr>
        </xdr:nvSpPr>
        <xdr:spPr bwMode="auto">
          <a:xfrm>
            <a:off x="308" y="241"/>
            <a:ext cx="22" cy="22"/>
          </a:xfrm>
          <a:prstGeom prst="ellipse">
            <a:avLst/>
          </a:prstGeom>
          <a:solidFill>
            <a:srgbClr val="FFFF00"/>
          </a:solidFill>
          <a:ln w="9525">
            <a:solidFill>
              <a:srgbClr val="000000"/>
            </a:solidFill>
            <a:round/>
            <a:headEnd/>
            <a:tailEnd/>
          </a:ln>
          <a:effectLst/>
        </xdr:spPr>
        <xdr:txBody>
          <a:bodyPr anchor="ctr"/>
          <a:lstStyle/>
          <a:p>
            <a:pPr algn="ctr"/>
            <a:r>
              <a:rPr lang="en-US"/>
              <a:t>2</a:t>
            </a:r>
          </a:p>
        </xdr:txBody>
      </xdr:sp>
      <xdr:sp macro="" textlink="">
        <xdr:nvSpPr>
          <xdr:cNvPr id="152" name="AutoShape 58">
            <a:extLst>
              <a:ext uri="{FF2B5EF4-FFF2-40B4-BE49-F238E27FC236}">
                <a16:creationId xmlns:a16="http://schemas.microsoft.com/office/drawing/2014/main" id="{00000000-0008-0000-0900-000098000000}"/>
              </a:ext>
            </a:extLst>
          </xdr:cNvPr>
          <xdr:cNvSpPr>
            <a:spLocks noChangeArrowheads="1"/>
          </xdr:cNvSpPr>
        </xdr:nvSpPr>
        <xdr:spPr bwMode="auto">
          <a:xfrm flipV="1">
            <a:off x="304" y="251"/>
            <a:ext cx="29" cy="1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11368 h 21600"/>
            </a:gdLst>
            <a:ahLst/>
            <a:cxnLst>
              <a:cxn ang="T8">
                <a:pos x="T0" y="T1"/>
              </a:cxn>
              <a:cxn ang="T9">
                <a:pos x="T2" y="T3"/>
              </a:cxn>
              <a:cxn ang="T10">
                <a:pos x="T4" y="T5"/>
              </a:cxn>
              <a:cxn ang="T11">
                <a:pos x="T6" y="T7"/>
              </a:cxn>
            </a:cxnLst>
            <a:rect l="T12" t="T13" r="T14" b="T15"/>
            <a:pathLst>
              <a:path w="21600" h="21600">
                <a:moveTo>
                  <a:pt x="2979" y="9094"/>
                </a:moveTo>
                <a:cubicBezTo>
                  <a:pt x="3781" y="5417"/>
                  <a:pt x="7036" y="2795"/>
                  <a:pt x="10800" y="2796"/>
                </a:cubicBezTo>
                <a:cubicBezTo>
                  <a:pt x="14563" y="2796"/>
                  <a:pt x="17818" y="5417"/>
                  <a:pt x="18620" y="9094"/>
                </a:cubicBezTo>
                <a:lnTo>
                  <a:pt x="21351" y="8498"/>
                </a:lnTo>
                <a:cubicBezTo>
                  <a:pt x="20269" y="3537"/>
                  <a:pt x="15877" y="-1"/>
                  <a:pt x="10799" y="0"/>
                </a:cubicBezTo>
                <a:cubicBezTo>
                  <a:pt x="5722" y="0"/>
                  <a:pt x="1330" y="3537"/>
                  <a:pt x="248" y="8498"/>
                </a:cubicBezTo>
                <a:lnTo>
                  <a:pt x="2979" y="9094"/>
                </a:lnTo>
                <a:close/>
              </a:path>
            </a:pathLst>
          </a:custGeom>
          <a:solidFill>
            <a:srgbClr val="FFFF00"/>
          </a:solidFill>
          <a:ln w="9525">
            <a:solidFill>
              <a:srgbClr val="000000"/>
            </a:solidFill>
            <a:miter lim="800000"/>
            <a:headEnd/>
            <a:tailEnd/>
          </a:ln>
        </xdr:spPr>
      </xdr:sp>
    </xdr:grpSp>
    <xdr:clientData/>
  </xdr:twoCellAnchor>
  <xdr:twoCellAnchor>
    <xdr:from>
      <xdr:col>27</xdr:col>
      <xdr:colOff>138056</xdr:colOff>
      <xdr:row>26</xdr:row>
      <xdr:rowOff>106680</xdr:rowOff>
    </xdr:from>
    <xdr:to>
      <xdr:col>28</xdr:col>
      <xdr:colOff>244288</xdr:colOff>
      <xdr:row>28</xdr:row>
      <xdr:rowOff>76200</xdr:rowOff>
    </xdr:to>
    <xdr:grpSp>
      <xdr:nvGrpSpPr>
        <xdr:cNvPr id="153" name="Group 56">
          <a:extLst>
            <a:ext uri="{FF2B5EF4-FFF2-40B4-BE49-F238E27FC236}">
              <a16:creationId xmlns:a16="http://schemas.microsoft.com/office/drawing/2014/main" id="{00000000-0008-0000-0900-000099000000}"/>
            </a:ext>
          </a:extLst>
        </xdr:cNvPr>
        <xdr:cNvGrpSpPr>
          <a:grpSpLocks/>
        </xdr:cNvGrpSpPr>
      </xdr:nvGrpSpPr>
      <xdr:grpSpPr bwMode="auto">
        <a:xfrm>
          <a:off x="7576627" y="4606109"/>
          <a:ext cx="505375" cy="296091"/>
          <a:chOff x="304" y="241"/>
          <a:chExt cx="29" cy="29"/>
        </a:xfrm>
      </xdr:grpSpPr>
      <xdr:sp macro="" textlink="">
        <xdr:nvSpPr>
          <xdr:cNvPr id="154" name="Oval 57">
            <a:extLst>
              <a:ext uri="{FF2B5EF4-FFF2-40B4-BE49-F238E27FC236}">
                <a16:creationId xmlns:a16="http://schemas.microsoft.com/office/drawing/2014/main" id="{00000000-0008-0000-0900-00009A000000}"/>
              </a:ext>
            </a:extLst>
          </xdr:cNvPr>
          <xdr:cNvSpPr>
            <a:spLocks noChangeArrowheads="1"/>
          </xdr:cNvSpPr>
        </xdr:nvSpPr>
        <xdr:spPr bwMode="auto">
          <a:xfrm>
            <a:off x="308" y="241"/>
            <a:ext cx="22" cy="22"/>
          </a:xfrm>
          <a:prstGeom prst="ellipse">
            <a:avLst/>
          </a:prstGeom>
          <a:solidFill>
            <a:srgbClr val="FFFF00"/>
          </a:solidFill>
          <a:ln w="9525">
            <a:solidFill>
              <a:srgbClr val="000000"/>
            </a:solidFill>
            <a:round/>
            <a:headEnd/>
            <a:tailEnd/>
          </a:ln>
          <a:effectLst/>
        </xdr:spPr>
        <xdr:txBody>
          <a:bodyPr anchor="ctr"/>
          <a:lstStyle/>
          <a:p>
            <a:pPr algn="ctr"/>
            <a:r>
              <a:rPr lang="en-US"/>
              <a:t>3</a:t>
            </a:r>
          </a:p>
        </xdr:txBody>
      </xdr:sp>
      <xdr:sp macro="" textlink="">
        <xdr:nvSpPr>
          <xdr:cNvPr id="155" name="AutoShape 58">
            <a:extLst>
              <a:ext uri="{FF2B5EF4-FFF2-40B4-BE49-F238E27FC236}">
                <a16:creationId xmlns:a16="http://schemas.microsoft.com/office/drawing/2014/main" id="{00000000-0008-0000-0900-00009B000000}"/>
              </a:ext>
            </a:extLst>
          </xdr:cNvPr>
          <xdr:cNvSpPr>
            <a:spLocks noChangeArrowheads="1"/>
          </xdr:cNvSpPr>
        </xdr:nvSpPr>
        <xdr:spPr bwMode="auto">
          <a:xfrm flipV="1">
            <a:off x="304" y="251"/>
            <a:ext cx="29" cy="1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11368 h 21600"/>
            </a:gdLst>
            <a:ahLst/>
            <a:cxnLst>
              <a:cxn ang="T8">
                <a:pos x="T0" y="T1"/>
              </a:cxn>
              <a:cxn ang="T9">
                <a:pos x="T2" y="T3"/>
              </a:cxn>
              <a:cxn ang="T10">
                <a:pos x="T4" y="T5"/>
              </a:cxn>
              <a:cxn ang="T11">
                <a:pos x="T6" y="T7"/>
              </a:cxn>
            </a:cxnLst>
            <a:rect l="T12" t="T13" r="T14" b="T15"/>
            <a:pathLst>
              <a:path w="21600" h="21600">
                <a:moveTo>
                  <a:pt x="2979" y="9094"/>
                </a:moveTo>
                <a:cubicBezTo>
                  <a:pt x="3781" y="5417"/>
                  <a:pt x="7036" y="2795"/>
                  <a:pt x="10800" y="2796"/>
                </a:cubicBezTo>
                <a:cubicBezTo>
                  <a:pt x="14563" y="2796"/>
                  <a:pt x="17818" y="5417"/>
                  <a:pt x="18620" y="9094"/>
                </a:cubicBezTo>
                <a:lnTo>
                  <a:pt x="21351" y="8498"/>
                </a:lnTo>
                <a:cubicBezTo>
                  <a:pt x="20269" y="3537"/>
                  <a:pt x="15877" y="-1"/>
                  <a:pt x="10799" y="0"/>
                </a:cubicBezTo>
                <a:cubicBezTo>
                  <a:pt x="5722" y="0"/>
                  <a:pt x="1330" y="3537"/>
                  <a:pt x="248" y="8498"/>
                </a:cubicBezTo>
                <a:lnTo>
                  <a:pt x="2979" y="9094"/>
                </a:lnTo>
                <a:close/>
              </a:path>
            </a:pathLst>
          </a:custGeom>
          <a:solidFill>
            <a:srgbClr val="FFFF00"/>
          </a:solidFill>
          <a:ln w="9525">
            <a:solidFill>
              <a:srgbClr val="000000"/>
            </a:solidFill>
            <a:miter lim="800000"/>
            <a:headEnd/>
            <a:tailEnd/>
          </a:ln>
        </xdr:spPr>
      </xdr:sp>
    </xdr:grpSp>
    <xdr:clientData/>
  </xdr:twoCellAnchor>
  <xdr:twoCellAnchor>
    <xdr:from>
      <xdr:col>10</xdr:col>
      <xdr:colOff>201681</xdr:colOff>
      <xdr:row>29</xdr:row>
      <xdr:rowOff>73820</xdr:rowOff>
    </xdr:from>
    <xdr:to>
      <xdr:col>13</xdr:col>
      <xdr:colOff>185524</xdr:colOff>
      <xdr:row>30</xdr:row>
      <xdr:rowOff>84676</xdr:rowOff>
    </xdr:to>
    <xdr:sp macro="" textlink="">
      <xdr:nvSpPr>
        <xdr:cNvPr id="156" name="Right Arrow 155">
          <a:extLst>
            <a:ext uri="{FF2B5EF4-FFF2-40B4-BE49-F238E27FC236}">
              <a16:creationId xmlns:a16="http://schemas.microsoft.com/office/drawing/2014/main" id="{00000000-0008-0000-0900-00009C000000}"/>
            </a:ext>
          </a:extLst>
        </xdr:cNvPr>
        <xdr:cNvSpPr/>
      </xdr:nvSpPr>
      <xdr:spPr>
        <a:xfrm>
          <a:off x="2716281" y="5163980"/>
          <a:ext cx="738223" cy="17849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xdr:from>
      <xdr:col>4</xdr:col>
      <xdr:colOff>112723</xdr:colOff>
      <xdr:row>29</xdr:row>
      <xdr:rowOff>52010</xdr:rowOff>
    </xdr:from>
    <xdr:to>
      <xdr:col>7</xdr:col>
      <xdr:colOff>89960</xdr:colOff>
      <xdr:row>30</xdr:row>
      <xdr:rowOff>62866</xdr:rowOff>
    </xdr:to>
    <xdr:sp macro="" textlink="">
      <xdr:nvSpPr>
        <xdr:cNvPr id="157" name="Right Arrow 156">
          <a:extLst>
            <a:ext uri="{FF2B5EF4-FFF2-40B4-BE49-F238E27FC236}">
              <a16:creationId xmlns:a16="http://schemas.microsoft.com/office/drawing/2014/main" id="{00000000-0008-0000-0900-00009D000000}"/>
            </a:ext>
          </a:extLst>
        </xdr:cNvPr>
        <xdr:cNvSpPr/>
      </xdr:nvSpPr>
      <xdr:spPr>
        <a:xfrm>
          <a:off x="1118563" y="5142170"/>
          <a:ext cx="731617" cy="17849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editAs="oneCell">
    <xdr:from>
      <xdr:col>7</xdr:col>
      <xdr:colOff>71525</xdr:colOff>
      <xdr:row>26</xdr:row>
      <xdr:rowOff>136646</xdr:rowOff>
    </xdr:from>
    <xdr:to>
      <xdr:col>8</xdr:col>
      <xdr:colOff>230456</xdr:colOff>
      <xdr:row>28</xdr:row>
      <xdr:rowOff>159506</xdr:rowOff>
    </xdr:to>
    <xdr:pic>
      <xdr:nvPicPr>
        <xdr:cNvPr id="158" name="Picture 80" descr="HH00916_">
          <a:extLst>
            <a:ext uri="{FF2B5EF4-FFF2-40B4-BE49-F238E27FC236}">
              <a16:creationId xmlns:a16="http://schemas.microsoft.com/office/drawing/2014/main" id="{00000000-0008-0000-0900-00009E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824125" y="4621560"/>
          <a:ext cx="409302" cy="3494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152400</xdr:colOff>
      <xdr:row>9</xdr:row>
      <xdr:rowOff>38100</xdr:rowOff>
    </xdr:from>
    <xdr:to>
      <xdr:col>14</xdr:col>
      <xdr:colOff>99060</xdr:colOff>
      <xdr:row>11</xdr:row>
      <xdr:rowOff>45720</xdr:rowOff>
    </xdr:to>
    <xdr:grpSp>
      <xdr:nvGrpSpPr>
        <xdr:cNvPr id="159" name="Group 199">
          <a:extLst>
            <a:ext uri="{FF2B5EF4-FFF2-40B4-BE49-F238E27FC236}">
              <a16:creationId xmlns:a16="http://schemas.microsoft.com/office/drawing/2014/main" id="{00000000-0008-0000-0900-00009F000000}"/>
            </a:ext>
          </a:extLst>
        </xdr:cNvPr>
        <xdr:cNvGrpSpPr>
          <a:grpSpLocks/>
        </xdr:cNvGrpSpPr>
      </xdr:nvGrpSpPr>
      <xdr:grpSpPr bwMode="auto">
        <a:xfrm>
          <a:off x="1513114" y="1743529"/>
          <a:ext cx="2522946" cy="334191"/>
          <a:chOff x="2166760" y="1724145"/>
          <a:chExt cx="2164704" cy="351475"/>
        </a:xfrm>
      </xdr:grpSpPr>
      <xdr:cxnSp macro="">
        <xdr:nvCxnSpPr>
          <xdr:cNvPr id="160" name="Straight Arrow Connector 159">
            <a:extLst>
              <a:ext uri="{FF2B5EF4-FFF2-40B4-BE49-F238E27FC236}">
                <a16:creationId xmlns:a16="http://schemas.microsoft.com/office/drawing/2014/main" id="{00000000-0008-0000-0900-0000A0000000}"/>
              </a:ext>
            </a:extLst>
          </xdr:cNvPr>
          <xdr:cNvCxnSpPr/>
        </xdr:nvCxnSpPr>
        <xdr:spPr>
          <a:xfrm rot="10800000" flipV="1">
            <a:off x="2166760" y="1771008"/>
            <a:ext cx="1306287" cy="304612"/>
          </a:xfrm>
          <a:prstGeom prst="straightConnector1">
            <a:avLst/>
          </a:prstGeom>
          <a:ln w="28575" cap="rnd">
            <a:tailEnd type="arrow"/>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a:extLst>
              <a:ext uri="{FF2B5EF4-FFF2-40B4-BE49-F238E27FC236}">
                <a16:creationId xmlns:a16="http://schemas.microsoft.com/office/drawing/2014/main" id="{00000000-0008-0000-0900-0000A1000000}"/>
              </a:ext>
            </a:extLst>
          </xdr:cNvPr>
          <xdr:cNvCxnSpPr/>
        </xdr:nvCxnSpPr>
        <xdr:spPr>
          <a:xfrm rot="5400000">
            <a:off x="3395633" y="1834185"/>
            <a:ext cx="124969" cy="29858"/>
          </a:xfrm>
          <a:prstGeom prst="line">
            <a:avLst/>
          </a:prstGeom>
          <a:ln w="28575" cap="rnd"/>
        </xdr:spPr>
        <xdr:style>
          <a:lnRef idx="1">
            <a:schemeClr val="accent1"/>
          </a:lnRef>
          <a:fillRef idx="0">
            <a:schemeClr val="accent1"/>
          </a:fillRef>
          <a:effectRef idx="0">
            <a:schemeClr val="accent1"/>
          </a:effectRef>
          <a:fontRef idx="minor">
            <a:schemeClr val="tx1"/>
          </a:fontRef>
        </xdr:style>
      </xdr:cxnSp>
      <xdr:cxnSp macro="">
        <xdr:nvCxnSpPr>
          <xdr:cNvPr id="162" name="Straight Connector 161">
            <a:extLst>
              <a:ext uri="{FF2B5EF4-FFF2-40B4-BE49-F238E27FC236}">
                <a16:creationId xmlns:a16="http://schemas.microsoft.com/office/drawing/2014/main" id="{00000000-0008-0000-0900-0000A2000000}"/>
              </a:ext>
            </a:extLst>
          </xdr:cNvPr>
          <xdr:cNvCxnSpPr/>
        </xdr:nvCxnSpPr>
        <xdr:spPr>
          <a:xfrm flipV="1">
            <a:off x="3435724" y="1724145"/>
            <a:ext cx="895740" cy="187453"/>
          </a:xfrm>
          <a:prstGeom prst="line">
            <a:avLst/>
          </a:prstGeom>
          <a:ln w="28575" cap="rnd"/>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26</xdr:col>
      <xdr:colOff>144780</xdr:colOff>
      <xdr:row>9</xdr:row>
      <xdr:rowOff>137160</xdr:rowOff>
    </xdr:from>
    <xdr:to>
      <xdr:col>35</xdr:col>
      <xdr:colOff>83820</xdr:colOff>
      <xdr:row>11</xdr:row>
      <xdr:rowOff>144780</xdr:rowOff>
    </xdr:to>
    <xdr:grpSp>
      <xdr:nvGrpSpPr>
        <xdr:cNvPr id="166" name="Group 211">
          <a:extLst>
            <a:ext uri="{FF2B5EF4-FFF2-40B4-BE49-F238E27FC236}">
              <a16:creationId xmlns:a16="http://schemas.microsoft.com/office/drawing/2014/main" id="{00000000-0008-0000-0900-0000A6000000}"/>
            </a:ext>
          </a:extLst>
        </xdr:cNvPr>
        <xdr:cNvGrpSpPr>
          <a:grpSpLocks/>
        </xdr:cNvGrpSpPr>
      </xdr:nvGrpSpPr>
      <xdr:grpSpPr bwMode="auto">
        <a:xfrm flipV="1">
          <a:off x="7311209" y="1842589"/>
          <a:ext cx="2515325" cy="334191"/>
          <a:chOff x="2166760" y="1724145"/>
          <a:chExt cx="2164704" cy="351475"/>
        </a:xfrm>
      </xdr:grpSpPr>
      <xdr:cxnSp macro="">
        <xdr:nvCxnSpPr>
          <xdr:cNvPr id="167" name="Straight Arrow Connector 166">
            <a:extLst>
              <a:ext uri="{FF2B5EF4-FFF2-40B4-BE49-F238E27FC236}">
                <a16:creationId xmlns:a16="http://schemas.microsoft.com/office/drawing/2014/main" id="{00000000-0008-0000-0900-0000A7000000}"/>
              </a:ext>
            </a:extLst>
          </xdr:cNvPr>
          <xdr:cNvCxnSpPr/>
        </xdr:nvCxnSpPr>
        <xdr:spPr>
          <a:xfrm rot="10800000" flipV="1">
            <a:off x="2166760" y="1771008"/>
            <a:ext cx="1303317" cy="304612"/>
          </a:xfrm>
          <a:prstGeom prst="straightConnector1">
            <a:avLst/>
          </a:prstGeom>
          <a:ln w="28575" cap="rnd">
            <a:tailEnd type="arrow"/>
          </a:ln>
        </xdr:spPr>
        <xdr:style>
          <a:lnRef idx="1">
            <a:schemeClr val="accent1"/>
          </a:lnRef>
          <a:fillRef idx="0">
            <a:schemeClr val="accent1"/>
          </a:fillRef>
          <a:effectRef idx="0">
            <a:schemeClr val="accent1"/>
          </a:effectRef>
          <a:fontRef idx="minor">
            <a:schemeClr val="tx1"/>
          </a:fontRef>
        </xdr:style>
      </xdr:cxnSp>
      <xdr:cxnSp macro="">
        <xdr:nvCxnSpPr>
          <xdr:cNvPr id="168" name="Straight Connector 167">
            <a:extLst>
              <a:ext uri="{FF2B5EF4-FFF2-40B4-BE49-F238E27FC236}">
                <a16:creationId xmlns:a16="http://schemas.microsoft.com/office/drawing/2014/main" id="{00000000-0008-0000-0900-0000A8000000}"/>
              </a:ext>
            </a:extLst>
          </xdr:cNvPr>
          <xdr:cNvCxnSpPr/>
        </xdr:nvCxnSpPr>
        <xdr:spPr>
          <a:xfrm rot="5400000">
            <a:off x="3392612" y="1834133"/>
            <a:ext cx="124969" cy="29961"/>
          </a:xfrm>
          <a:prstGeom prst="line">
            <a:avLst/>
          </a:prstGeom>
          <a:ln w="28575" cap="rnd"/>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a:extLst>
              <a:ext uri="{FF2B5EF4-FFF2-40B4-BE49-F238E27FC236}">
                <a16:creationId xmlns:a16="http://schemas.microsoft.com/office/drawing/2014/main" id="{00000000-0008-0000-0900-0000A9000000}"/>
              </a:ext>
            </a:extLst>
          </xdr:cNvPr>
          <xdr:cNvCxnSpPr/>
        </xdr:nvCxnSpPr>
        <xdr:spPr>
          <a:xfrm flipV="1">
            <a:off x="3440115" y="1724145"/>
            <a:ext cx="891349" cy="187453"/>
          </a:xfrm>
          <a:prstGeom prst="line">
            <a:avLst/>
          </a:prstGeom>
          <a:ln w="28575" cap="rnd"/>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126632</xdr:colOff>
      <xdr:row>29</xdr:row>
      <xdr:rowOff>70485</xdr:rowOff>
    </xdr:from>
    <xdr:to>
      <xdr:col>20</xdr:col>
      <xdr:colOff>113899</xdr:colOff>
      <xdr:row>30</xdr:row>
      <xdr:rowOff>97010</xdr:rowOff>
    </xdr:to>
    <xdr:sp macro="" textlink="">
      <xdr:nvSpPr>
        <xdr:cNvPr id="170" name="Right Arrow 169">
          <a:extLst>
            <a:ext uri="{FF2B5EF4-FFF2-40B4-BE49-F238E27FC236}">
              <a16:creationId xmlns:a16="http://schemas.microsoft.com/office/drawing/2014/main" id="{00000000-0008-0000-0900-0000AA000000}"/>
            </a:ext>
          </a:extLst>
        </xdr:cNvPr>
        <xdr:cNvSpPr/>
      </xdr:nvSpPr>
      <xdr:spPr>
        <a:xfrm>
          <a:off x="4401452" y="5160645"/>
          <a:ext cx="741647" cy="1941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oneCellAnchor>
    <xdr:from>
      <xdr:col>26</xdr:col>
      <xdr:colOff>144780</xdr:colOff>
      <xdr:row>28</xdr:row>
      <xdr:rowOff>145090</xdr:rowOff>
    </xdr:from>
    <xdr:ext cx="870395" cy="342589"/>
    <xdr:sp macro="" textlink="">
      <xdr:nvSpPr>
        <xdr:cNvPr id="171" name="TextBox 170">
          <a:extLst>
            <a:ext uri="{FF2B5EF4-FFF2-40B4-BE49-F238E27FC236}">
              <a16:creationId xmlns:a16="http://schemas.microsoft.com/office/drawing/2014/main" id="{00000000-0008-0000-0900-0000AB000000}"/>
            </a:ext>
          </a:extLst>
        </xdr:cNvPr>
        <xdr:cNvSpPr txBox="1"/>
      </xdr:nvSpPr>
      <xdr:spPr>
        <a:xfrm>
          <a:off x="6682740" y="5067610"/>
          <a:ext cx="870395" cy="342589"/>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ctr">
          <a:noAutofit/>
        </a:bodyPr>
        <a:lstStyle/>
        <a:p>
          <a:pPr algn="ctr"/>
          <a:r>
            <a:rPr lang="en-US" sz="1400"/>
            <a:t>Drilling</a:t>
          </a:r>
        </a:p>
      </xdr:txBody>
    </xdr:sp>
    <xdr:clientData/>
  </xdr:oneCellAnchor>
  <xdr:twoCellAnchor>
    <xdr:from>
      <xdr:col>23</xdr:col>
      <xdr:colOff>164731</xdr:colOff>
      <xdr:row>29</xdr:row>
      <xdr:rowOff>60960</xdr:rowOff>
    </xdr:from>
    <xdr:to>
      <xdr:col>26</xdr:col>
      <xdr:colOff>140888</xdr:colOff>
      <xdr:row>30</xdr:row>
      <xdr:rowOff>71816</xdr:rowOff>
    </xdr:to>
    <xdr:sp macro="" textlink="">
      <xdr:nvSpPr>
        <xdr:cNvPr id="172" name="Right Arrow 171">
          <a:extLst>
            <a:ext uri="{FF2B5EF4-FFF2-40B4-BE49-F238E27FC236}">
              <a16:creationId xmlns:a16="http://schemas.microsoft.com/office/drawing/2014/main" id="{00000000-0008-0000-0900-0000AC000000}"/>
            </a:ext>
          </a:extLst>
        </xdr:cNvPr>
        <xdr:cNvSpPr/>
      </xdr:nvSpPr>
      <xdr:spPr>
        <a:xfrm>
          <a:off x="5948311" y="5151120"/>
          <a:ext cx="730537" cy="17849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xdr:from>
      <xdr:col>33</xdr:col>
      <xdr:colOff>57631</xdr:colOff>
      <xdr:row>26</xdr:row>
      <xdr:rowOff>84909</xdr:rowOff>
    </xdr:from>
    <xdr:to>
      <xdr:col>34</xdr:col>
      <xdr:colOff>148430</xdr:colOff>
      <xdr:row>28</xdr:row>
      <xdr:rowOff>54429</xdr:rowOff>
    </xdr:to>
    <xdr:grpSp>
      <xdr:nvGrpSpPr>
        <xdr:cNvPr id="173" name="Group 56">
          <a:extLst>
            <a:ext uri="{FF2B5EF4-FFF2-40B4-BE49-F238E27FC236}">
              <a16:creationId xmlns:a16="http://schemas.microsoft.com/office/drawing/2014/main" id="{00000000-0008-0000-0900-0000AD000000}"/>
            </a:ext>
          </a:extLst>
        </xdr:cNvPr>
        <xdr:cNvGrpSpPr>
          <a:grpSpLocks/>
        </xdr:cNvGrpSpPr>
      </xdr:nvGrpSpPr>
      <xdr:grpSpPr bwMode="auto">
        <a:xfrm>
          <a:off x="9256060" y="4584338"/>
          <a:ext cx="362941" cy="296091"/>
          <a:chOff x="304" y="241"/>
          <a:chExt cx="29" cy="29"/>
        </a:xfrm>
      </xdr:grpSpPr>
      <xdr:sp macro="" textlink="">
        <xdr:nvSpPr>
          <xdr:cNvPr id="174" name="Oval 57">
            <a:extLst>
              <a:ext uri="{FF2B5EF4-FFF2-40B4-BE49-F238E27FC236}">
                <a16:creationId xmlns:a16="http://schemas.microsoft.com/office/drawing/2014/main" id="{00000000-0008-0000-0900-0000AE000000}"/>
              </a:ext>
            </a:extLst>
          </xdr:cNvPr>
          <xdr:cNvSpPr>
            <a:spLocks noChangeArrowheads="1"/>
          </xdr:cNvSpPr>
        </xdr:nvSpPr>
        <xdr:spPr bwMode="auto">
          <a:xfrm>
            <a:off x="308" y="241"/>
            <a:ext cx="22" cy="22"/>
          </a:xfrm>
          <a:prstGeom prst="ellipse">
            <a:avLst/>
          </a:prstGeom>
          <a:solidFill>
            <a:srgbClr val="FFFF00"/>
          </a:solidFill>
          <a:ln w="9525">
            <a:solidFill>
              <a:srgbClr val="000000"/>
            </a:solidFill>
            <a:round/>
            <a:headEnd/>
            <a:tailEnd/>
          </a:ln>
          <a:effectLst/>
        </xdr:spPr>
        <xdr:txBody>
          <a:bodyPr anchor="ctr"/>
          <a:lstStyle/>
          <a:p>
            <a:pPr algn="ctr"/>
            <a:r>
              <a:rPr lang="en-US"/>
              <a:t>3</a:t>
            </a:r>
          </a:p>
        </xdr:txBody>
      </xdr:sp>
      <xdr:sp macro="" textlink="">
        <xdr:nvSpPr>
          <xdr:cNvPr id="175" name="AutoShape 58">
            <a:extLst>
              <a:ext uri="{FF2B5EF4-FFF2-40B4-BE49-F238E27FC236}">
                <a16:creationId xmlns:a16="http://schemas.microsoft.com/office/drawing/2014/main" id="{00000000-0008-0000-0900-0000AF000000}"/>
              </a:ext>
            </a:extLst>
          </xdr:cNvPr>
          <xdr:cNvSpPr>
            <a:spLocks noChangeArrowheads="1"/>
          </xdr:cNvSpPr>
        </xdr:nvSpPr>
        <xdr:spPr bwMode="auto">
          <a:xfrm flipV="1">
            <a:off x="304" y="251"/>
            <a:ext cx="29" cy="1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0 w 21600"/>
              <a:gd name="T13" fmla="*/ 0 h 21600"/>
              <a:gd name="T14" fmla="*/ 21600 w 21600"/>
              <a:gd name="T15" fmla="*/ 11368 h 21600"/>
            </a:gdLst>
            <a:ahLst/>
            <a:cxnLst>
              <a:cxn ang="T8">
                <a:pos x="T0" y="T1"/>
              </a:cxn>
              <a:cxn ang="T9">
                <a:pos x="T2" y="T3"/>
              </a:cxn>
              <a:cxn ang="T10">
                <a:pos x="T4" y="T5"/>
              </a:cxn>
              <a:cxn ang="T11">
                <a:pos x="T6" y="T7"/>
              </a:cxn>
            </a:cxnLst>
            <a:rect l="T12" t="T13" r="T14" b="T15"/>
            <a:pathLst>
              <a:path w="21600" h="21600">
                <a:moveTo>
                  <a:pt x="2979" y="9094"/>
                </a:moveTo>
                <a:cubicBezTo>
                  <a:pt x="3781" y="5417"/>
                  <a:pt x="7036" y="2795"/>
                  <a:pt x="10800" y="2796"/>
                </a:cubicBezTo>
                <a:cubicBezTo>
                  <a:pt x="14563" y="2796"/>
                  <a:pt x="17818" y="5417"/>
                  <a:pt x="18620" y="9094"/>
                </a:cubicBezTo>
                <a:lnTo>
                  <a:pt x="21351" y="8498"/>
                </a:lnTo>
                <a:cubicBezTo>
                  <a:pt x="20269" y="3537"/>
                  <a:pt x="15877" y="-1"/>
                  <a:pt x="10799" y="0"/>
                </a:cubicBezTo>
                <a:cubicBezTo>
                  <a:pt x="5722" y="0"/>
                  <a:pt x="1330" y="3537"/>
                  <a:pt x="248" y="8498"/>
                </a:cubicBezTo>
                <a:lnTo>
                  <a:pt x="2979" y="9094"/>
                </a:lnTo>
                <a:close/>
              </a:path>
            </a:pathLst>
          </a:custGeom>
          <a:solidFill>
            <a:srgbClr val="FFFF00"/>
          </a:solidFill>
          <a:ln w="9525">
            <a:solidFill>
              <a:srgbClr val="000000"/>
            </a:solidFill>
            <a:miter lim="800000"/>
            <a:headEnd/>
            <a:tailEnd/>
          </a:ln>
        </xdr:spPr>
      </xdr:sp>
    </xdr:grpSp>
    <xdr:clientData/>
  </xdr:twoCellAnchor>
  <xdr:oneCellAnchor>
    <xdr:from>
      <xdr:col>32</xdr:col>
      <xdr:colOff>94226</xdr:colOff>
      <xdr:row>28</xdr:row>
      <xdr:rowOff>141922</xdr:rowOff>
    </xdr:from>
    <xdr:ext cx="815820" cy="353378"/>
    <xdr:sp macro="" textlink="">
      <xdr:nvSpPr>
        <xdr:cNvPr id="176" name="TextBox 175">
          <a:extLst>
            <a:ext uri="{FF2B5EF4-FFF2-40B4-BE49-F238E27FC236}">
              <a16:creationId xmlns:a16="http://schemas.microsoft.com/office/drawing/2014/main" id="{00000000-0008-0000-0900-0000B0000000}"/>
            </a:ext>
          </a:extLst>
        </xdr:cNvPr>
        <xdr:cNvSpPr txBox="1"/>
      </xdr:nvSpPr>
      <xdr:spPr>
        <a:xfrm>
          <a:off x="8204083" y="4953408"/>
          <a:ext cx="815820" cy="353378"/>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ctr">
          <a:noAutofit/>
        </a:bodyPr>
        <a:lstStyle/>
        <a:p>
          <a:pPr algn="ctr"/>
          <a:r>
            <a:rPr lang="en-US" sz="1400"/>
            <a:t>Inspect</a:t>
          </a:r>
        </a:p>
      </xdr:txBody>
    </xdr:sp>
    <xdr:clientData/>
  </xdr:oneCellAnchor>
  <xdr:twoCellAnchor>
    <xdr:from>
      <xdr:col>30</xdr:col>
      <xdr:colOff>2524</xdr:colOff>
      <xdr:row>29</xdr:row>
      <xdr:rowOff>45817</xdr:rowOff>
    </xdr:from>
    <xdr:to>
      <xdr:col>32</xdr:col>
      <xdr:colOff>97972</xdr:colOff>
      <xdr:row>30</xdr:row>
      <xdr:rowOff>87086</xdr:rowOff>
    </xdr:to>
    <xdr:sp macro="" textlink="">
      <xdr:nvSpPr>
        <xdr:cNvPr id="177" name="Right Arrow 176">
          <a:extLst>
            <a:ext uri="{FF2B5EF4-FFF2-40B4-BE49-F238E27FC236}">
              <a16:creationId xmlns:a16="http://schemas.microsoft.com/office/drawing/2014/main" id="{00000000-0008-0000-0900-0000B1000000}"/>
            </a:ext>
          </a:extLst>
        </xdr:cNvPr>
        <xdr:cNvSpPr/>
      </xdr:nvSpPr>
      <xdr:spPr>
        <a:xfrm>
          <a:off x="7611638" y="5020588"/>
          <a:ext cx="596191" cy="2045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xdr:from>
      <xdr:col>46</xdr:col>
      <xdr:colOff>62247</xdr:colOff>
      <xdr:row>1</xdr:row>
      <xdr:rowOff>4552</xdr:rowOff>
    </xdr:from>
    <xdr:to>
      <xdr:col>47</xdr:col>
      <xdr:colOff>605444</xdr:colOff>
      <xdr:row>8</xdr:row>
      <xdr:rowOff>49184</xdr:rowOff>
    </xdr:to>
    <xdr:grpSp>
      <xdr:nvGrpSpPr>
        <xdr:cNvPr id="184" name="Group 176">
          <a:extLst>
            <a:ext uri="{FF2B5EF4-FFF2-40B4-BE49-F238E27FC236}">
              <a16:creationId xmlns:a16="http://schemas.microsoft.com/office/drawing/2014/main" id="{00000000-0008-0000-0900-0000B8000000}"/>
            </a:ext>
          </a:extLst>
        </xdr:cNvPr>
        <xdr:cNvGrpSpPr>
          <a:grpSpLocks/>
        </xdr:cNvGrpSpPr>
      </xdr:nvGrpSpPr>
      <xdr:grpSpPr bwMode="auto">
        <a:xfrm>
          <a:off x="14812390" y="403695"/>
          <a:ext cx="1214483" cy="1187632"/>
          <a:chOff x="955" y="33"/>
          <a:chExt cx="153" cy="95"/>
        </a:xfrm>
      </xdr:grpSpPr>
      <xdr:sp macro="" textlink="">
        <xdr:nvSpPr>
          <xdr:cNvPr id="185" name="Rectangle 177">
            <a:extLst>
              <a:ext uri="{FF2B5EF4-FFF2-40B4-BE49-F238E27FC236}">
                <a16:creationId xmlns:a16="http://schemas.microsoft.com/office/drawing/2014/main" id="{00000000-0008-0000-0900-0000B9000000}"/>
              </a:ext>
            </a:extLst>
          </xdr:cNvPr>
          <xdr:cNvSpPr>
            <a:spLocks noChangeArrowheads="1"/>
          </xdr:cNvSpPr>
        </xdr:nvSpPr>
        <xdr:spPr bwMode="auto">
          <a:xfrm>
            <a:off x="955" y="33"/>
            <a:ext cx="153" cy="19"/>
          </a:xfrm>
          <a:prstGeom prst="rect">
            <a:avLst/>
          </a:prstGeom>
          <a:ln>
            <a:headEnd/>
            <a:tailEnd/>
          </a:ln>
        </xdr:spPr>
        <xdr:style>
          <a:lnRef idx="2">
            <a:schemeClr val="accent2"/>
          </a:lnRef>
          <a:fillRef idx="1">
            <a:schemeClr val="lt1"/>
          </a:fillRef>
          <a:effectRef idx="0">
            <a:schemeClr val="accent2"/>
          </a:effectRef>
          <a:fontRef idx="minor">
            <a:schemeClr val="dk1"/>
          </a:fontRef>
        </xdr:style>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C/T : 15 min</a:t>
            </a:r>
          </a:p>
        </xdr:txBody>
      </xdr:sp>
      <xdr:sp macro="" textlink="">
        <xdr:nvSpPr>
          <xdr:cNvPr id="186" name="Rectangle 178">
            <a:extLst>
              <a:ext uri="{FF2B5EF4-FFF2-40B4-BE49-F238E27FC236}">
                <a16:creationId xmlns:a16="http://schemas.microsoft.com/office/drawing/2014/main" id="{00000000-0008-0000-0900-0000BA000000}"/>
              </a:ext>
            </a:extLst>
          </xdr:cNvPr>
          <xdr:cNvSpPr>
            <a:spLocks noChangeArrowheads="1"/>
          </xdr:cNvSpPr>
        </xdr:nvSpPr>
        <xdr:spPr bwMode="auto">
          <a:xfrm>
            <a:off x="955" y="52"/>
            <a:ext cx="153" cy="20"/>
          </a:xfrm>
          <a:prstGeom prst="rect">
            <a:avLst/>
          </a:prstGeom>
          <a:ln>
            <a:headEnd/>
            <a:tailEnd/>
          </a:ln>
        </xdr:spPr>
        <xdr:style>
          <a:lnRef idx="2">
            <a:schemeClr val="accent2"/>
          </a:lnRef>
          <a:fillRef idx="1">
            <a:schemeClr val="lt1"/>
          </a:fillRef>
          <a:effectRef idx="0">
            <a:schemeClr val="accent2"/>
          </a:effectRef>
          <a:fontRef idx="minor">
            <a:schemeClr val="dk1"/>
          </a:fontRef>
        </xdr:style>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C/O : 150 min</a:t>
            </a:r>
          </a:p>
        </xdr:txBody>
      </xdr:sp>
      <xdr:sp macro="" textlink="">
        <xdr:nvSpPr>
          <xdr:cNvPr id="187" name="Rectangle 179">
            <a:extLst>
              <a:ext uri="{FF2B5EF4-FFF2-40B4-BE49-F238E27FC236}">
                <a16:creationId xmlns:a16="http://schemas.microsoft.com/office/drawing/2014/main" id="{00000000-0008-0000-0900-0000BB000000}"/>
              </a:ext>
            </a:extLst>
          </xdr:cNvPr>
          <xdr:cNvSpPr>
            <a:spLocks noChangeArrowheads="1"/>
          </xdr:cNvSpPr>
        </xdr:nvSpPr>
        <xdr:spPr bwMode="auto">
          <a:xfrm>
            <a:off x="955" y="73"/>
            <a:ext cx="153" cy="18"/>
          </a:xfrm>
          <a:prstGeom prst="rect">
            <a:avLst/>
          </a:prstGeom>
          <a:ln>
            <a:headEnd/>
            <a:tailEnd/>
          </a:ln>
        </xdr:spPr>
        <xdr:style>
          <a:lnRef idx="2">
            <a:schemeClr val="accent2"/>
          </a:lnRef>
          <a:fillRef idx="1">
            <a:schemeClr val="lt1"/>
          </a:fillRef>
          <a:effectRef idx="0">
            <a:schemeClr val="accent2"/>
          </a:effectRef>
          <a:fontRef idx="minor">
            <a:schemeClr val="dk1"/>
          </a:fontRef>
        </xdr:style>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Avail:</a:t>
            </a:r>
          </a:p>
        </xdr:txBody>
      </xdr:sp>
      <xdr:sp macro="" textlink="">
        <xdr:nvSpPr>
          <xdr:cNvPr id="188" name="Rectangle 180">
            <a:extLst>
              <a:ext uri="{FF2B5EF4-FFF2-40B4-BE49-F238E27FC236}">
                <a16:creationId xmlns:a16="http://schemas.microsoft.com/office/drawing/2014/main" id="{00000000-0008-0000-0900-0000BC000000}"/>
              </a:ext>
            </a:extLst>
          </xdr:cNvPr>
          <xdr:cNvSpPr>
            <a:spLocks noChangeArrowheads="1"/>
          </xdr:cNvSpPr>
        </xdr:nvSpPr>
        <xdr:spPr bwMode="auto">
          <a:xfrm>
            <a:off x="955" y="91"/>
            <a:ext cx="153" cy="19"/>
          </a:xfrm>
          <a:prstGeom prst="rect">
            <a:avLst/>
          </a:prstGeom>
          <a:ln>
            <a:headEnd/>
            <a:tailEnd/>
          </a:ln>
        </xdr:spPr>
        <xdr:style>
          <a:lnRef idx="2">
            <a:schemeClr val="accent2"/>
          </a:lnRef>
          <a:fillRef idx="1">
            <a:schemeClr val="lt1"/>
          </a:fillRef>
          <a:effectRef idx="0">
            <a:schemeClr val="accent2"/>
          </a:effectRef>
          <a:fontRef idx="minor">
            <a:schemeClr val="dk1"/>
          </a:fontRef>
        </xdr:style>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FPY :</a:t>
            </a:r>
          </a:p>
        </xdr:txBody>
      </xdr:sp>
      <xdr:sp macro="" textlink="">
        <xdr:nvSpPr>
          <xdr:cNvPr id="189" name="Rectangle 181">
            <a:extLst>
              <a:ext uri="{FF2B5EF4-FFF2-40B4-BE49-F238E27FC236}">
                <a16:creationId xmlns:a16="http://schemas.microsoft.com/office/drawing/2014/main" id="{00000000-0008-0000-0900-0000BD000000}"/>
              </a:ext>
            </a:extLst>
          </xdr:cNvPr>
          <xdr:cNvSpPr>
            <a:spLocks noChangeArrowheads="1"/>
          </xdr:cNvSpPr>
        </xdr:nvSpPr>
        <xdr:spPr bwMode="auto">
          <a:xfrm>
            <a:off x="955" y="110"/>
            <a:ext cx="153" cy="18"/>
          </a:xfrm>
          <a:prstGeom prst="rect">
            <a:avLst/>
          </a:prstGeom>
          <a:ln>
            <a:headEnd/>
            <a:tailEnd/>
          </a:ln>
        </xdr:spPr>
        <xdr:style>
          <a:lnRef idx="2">
            <a:schemeClr val="accent2"/>
          </a:lnRef>
          <a:fillRef idx="1">
            <a:schemeClr val="lt1"/>
          </a:fillRef>
          <a:effectRef idx="0">
            <a:schemeClr val="accent2"/>
          </a:effectRef>
          <a:fontRef idx="minor">
            <a:schemeClr val="dk1"/>
          </a:fontRef>
        </xdr:style>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OEE/Util :</a:t>
            </a:r>
          </a:p>
        </xdr:txBody>
      </xdr:sp>
    </xdr:grpSp>
    <xdr:clientData/>
  </xdr:twoCellAnchor>
  <xdr:twoCellAnchor>
    <xdr:from>
      <xdr:col>38</xdr:col>
      <xdr:colOff>170002</xdr:colOff>
      <xdr:row>15</xdr:row>
      <xdr:rowOff>31751</xdr:rowOff>
    </xdr:from>
    <xdr:to>
      <xdr:col>39</xdr:col>
      <xdr:colOff>90990</xdr:colOff>
      <xdr:row>19</xdr:row>
      <xdr:rowOff>92333</xdr:rowOff>
    </xdr:to>
    <xdr:sp macro="" textlink="">
      <xdr:nvSpPr>
        <xdr:cNvPr id="202" name="Right Arrow 201">
          <a:extLst>
            <a:ext uri="{FF2B5EF4-FFF2-40B4-BE49-F238E27FC236}">
              <a16:creationId xmlns:a16="http://schemas.microsoft.com/office/drawing/2014/main" id="{00000000-0008-0000-0900-0000CA000000}"/>
            </a:ext>
          </a:extLst>
        </xdr:cNvPr>
        <xdr:cNvSpPr/>
      </xdr:nvSpPr>
      <xdr:spPr>
        <a:xfrm rot="16200000">
          <a:off x="9505463" y="2986262"/>
          <a:ext cx="724610" cy="171359"/>
        </a:xfrm>
        <a:prstGeom prst="rightArrow">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xdr:from>
      <xdr:col>38</xdr:col>
      <xdr:colOff>169398</xdr:colOff>
      <xdr:row>22</xdr:row>
      <xdr:rowOff>155781</xdr:rowOff>
    </xdr:from>
    <xdr:to>
      <xdr:col>39</xdr:col>
      <xdr:colOff>82936</xdr:colOff>
      <xdr:row>27</xdr:row>
      <xdr:rowOff>60529</xdr:rowOff>
    </xdr:to>
    <xdr:sp macro="" textlink="">
      <xdr:nvSpPr>
        <xdr:cNvPr id="203" name="Right Arrow 202">
          <a:extLst>
            <a:ext uri="{FF2B5EF4-FFF2-40B4-BE49-F238E27FC236}">
              <a16:creationId xmlns:a16="http://schemas.microsoft.com/office/drawing/2014/main" id="{00000000-0008-0000-0900-0000CB000000}"/>
            </a:ext>
          </a:extLst>
        </xdr:cNvPr>
        <xdr:cNvSpPr/>
      </xdr:nvSpPr>
      <xdr:spPr>
        <a:xfrm rot="16200000">
          <a:off x="9611707" y="4266186"/>
          <a:ext cx="721177" cy="163909"/>
        </a:xfrm>
        <a:prstGeom prst="rightArrow">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oneCellAnchor>
    <xdr:from>
      <xdr:col>37</xdr:col>
      <xdr:colOff>219294</xdr:colOff>
      <xdr:row>28</xdr:row>
      <xdr:rowOff>145203</xdr:rowOff>
    </xdr:from>
    <xdr:ext cx="879087" cy="344653"/>
    <xdr:sp macro="" textlink="">
      <xdr:nvSpPr>
        <xdr:cNvPr id="204" name="TextBox 203">
          <a:extLst>
            <a:ext uri="{FF2B5EF4-FFF2-40B4-BE49-F238E27FC236}">
              <a16:creationId xmlns:a16="http://schemas.microsoft.com/office/drawing/2014/main" id="{00000000-0008-0000-0900-0000CC000000}"/>
            </a:ext>
          </a:extLst>
        </xdr:cNvPr>
        <xdr:cNvSpPr txBox="1"/>
      </xdr:nvSpPr>
      <xdr:spPr>
        <a:xfrm>
          <a:off x="9581008" y="4956689"/>
          <a:ext cx="879087" cy="344653"/>
        </a:xfrm>
        <a:prstGeom prst="rect">
          <a:avLst/>
        </a:prstGeom>
      </xdr:spPr>
      <xdr:style>
        <a:lnRef idx="2">
          <a:schemeClr val="dk1"/>
        </a:lnRef>
        <a:fillRef idx="1">
          <a:schemeClr val="lt1"/>
        </a:fillRef>
        <a:effectRef idx="0">
          <a:schemeClr val="dk1"/>
        </a:effectRef>
        <a:fontRef idx="minor">
          <a:schemeClr val="dk1"/>
        </a:fontRef>
      </xdr:style>
      <xdr:txBody>
        <a:bodyPr vertOverflow="clip" wrap="none" rtlCol="0" anchor="t">
          <a:noAutofit/>
        </a:bodyPr>
        <a:lstStyle/>
        <a:p>
          <a:r>
            <a:rPr lang="en-US" sz="1400"/>
            <a:t>Recieving</a:t>
          </a:r>
        </a:p>
      </xdr:txBody>
    </xdr:sp>
    <xdr:clientData/>
  </xdr:oneCellAnchor>
  <xdr:twoCellAnchor>
    <xdr:from>
      <xdr:col>38</xdr:col>
      <xdr:colOff>17422</xdr:colOff>
      <xdr:row>20</xdr:row>
      <xdr:rowOff>0</xdr:rowOff>
    </xdr:from>
    <xdr:to>
      <xdr:col>40</xdr:col>
      <xdr:colOff>108862</xdr:colOff>
      <xdr:row>22</xdr:row>
      <xdr:rowOff>38100</xdr:rowOff>
    </xdr:to>
    <xdr:grpSp>
      <xdr:nvGrpSpPr>
        <xdr:cNvPr id="205" name="Group 63">
          <a:extLst>
            <a:ext uri="{FF2B5EF4-FFF2-40B4-BE49-F238E27FC236}">
              <a16:creationId xmlns:a16="http://schemas.microsoft.com/office/drawing/2014/main" id="{00000000-0008-0000-0900-0000CD000000}"/>
            </a:ext>
          </a:extLst>
        </xdr:cNvPr>
        <xdr:cNvGrpSpPr>
          <a:grpSpLocks/>
        </xdr:cNvGrpSpPr>
      </xdr:nvGrpSpPr>
      <xdr:grpSpPr bwMode="auto">
        <a:xfrm>
          <a:off x="10703565" y="3519714"/>
          <a:ext cx="635726" cy="364672"/>
          <a:chOff x="216" y="418"/>
          <a:chExt cx="71" cy="51"/>
        </a:xfrm>
      </xdr:grpSpPr>
      <xdr:sp macro="" textlink="">
        <xdr:nvSpPr>
          <xdr:cNvPr id="206" name="Rectangle 64">
            <a:extLst>
              <a:ext uri="{FF2B5EF4-FFF2-40B4-BE49-F238E27FC236}">
                <a16:creationId xmlns:a16="http://schemas.microsoft.com/office/drawing/2014/main" id="{00000000-0008-0000-0900-0000CE000000}"/>
              </a:ext>
            </a:extLst>
          </xdr:cNvPr>
          <xdr:cNvSpPr>
            <a:spLocks noChangeArrowheads="1"/>
          </xdr:cNvSpPr>
        </xdr:nvSpPr>
        <xdr:spPr bwMode="auto">
          <a:xfrm>
            <a:off x="261" y="418"/>
            <a:ext cx="26" cy="41"/>
          </a:xfrm>
          <a:prstGeom prst="rect">
            <a:avLst/>
          </a:prstGeom>
          <a:solidFill>
            <a:srgbClr val="FFCC99"/>
          </a:solidFill>
          <a:ln w="9525">
            <a:solidFill>
              <a:srgbClr val="000000"/>
            </a:solidFill>
            <a:miter lim="800000"/>
            <a:headEnd/>
            <a:tailEnd/>
          </a:ln>
        </xdr:spPr>
      </xdr:sp>
      <xdr:sp macro="" textlink="">
        <xdr:nvSpPr>
          <xdr:cNvPr id="207" name="Rectangle 65">
            <a:extLst>
              <a:ext uri="{FF2B5EF4-FFF2-40B4-BE49-F238E27FC236}">
                <a16:creationId xmlns:a16="http://schemas.microsoft.com/office/drawing/2014/main" id="{00000000-0008-0000-0900-0000CF000000}"/>
              </a:ext>
            </a:extLst>
          </xdr:cNvPr>
          <xdr:cNvSpPr>
            <a:spLocks noChangeArrowheads="1"/>
          </xdr:cNvSpPr>
        </xdr:nvSpPr>
        <xdr:spPr bwMode="auto">
          <a:xfrm>
            <a:off x="216" y="448"/>
            <a:ext cx="45" cy="11"/>
          </a:xfrm>
          <a:prstGeom prst="rect">
            <a:avLst/>
          </a:prstGeom>
          <a:solidFill>
            <a:srgbClr val="FFCC99"/>
          </a:solidFill>
          <a:ln w="9525">
            <a:solidFill>
              <a:srgbClr val="000000"/>
            </a:solidFill>
            <a:miter lim="800000"/>
            <a:headEnd/>
            <a:tailEnd/>
          </a:ln>
        </xdr:spPr>
      </xdr:sp>
      <xdr:sp macro="" textlink="">
        <xdr:nvSpPr>
          <xdr:cNvPr id="208" name="AutoShape 66">
            <a:extLst>
              <a:ext uri="{FF2B5EF4-FFF2-40B4-BE49-F238E27FC236}">
                <a16:creationId xmlns:a16="http://schemas.microsoft.com/office/drawing/2014/main" id="{00000000-0008-0000-0900-0000D0000000}"/>
              </a:ext>
            </a:extLst>
          </xdr:cNvPr>
          <xdr:cNvSpPr>
            <a:spLocks noChangeArrowheads="1"/>
          </xdr:cNvSpPr>
        </xdr:nvSpPr>
        <xdr:spPr bwMode="auto">
          <a:xfrm>
            <a:off x="220"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209" name="AutoShape 67">
            <a:extLst>
              <a:ext uri="{FF2B5EF4-FFF2-40B4-BE49-F238E27FC236}">
                <a16:creationId xmlns:a16="http://schemas.microsoft.com/office/drawing/2014/main" id="{00000000-0008-0000-0900-0000D1000000}"/>
              </a:ext>
            </a:extLst>
          </xdr:cNvPr>
          <xdr:cNvSpPr>
            <a:spLocks noChangeArrowheads="1"/>
          </xdr:cNvSpPr>
        </xdr:nvSpPr>
        <xdr:spPr bwMode="auto">
          <a:xfrm>
            <a:off x="225" y="441"/>
            <a:ext cx="28" cy="6"/>
          </a:xfrm>
          <a:prstGeom prst="bevel">
            <a:avLst>
              <a:gd name="adj" fmla="val 12500"/>
            </a:avLst>
          </a:prstGeom>
          <a:solidFill>
            <a:srgbClr val="FFFFFF"/>
          </a:solidFill>
          <a:ln w="9525">
            <a:solidFill>
              <a:srgbClr val="000000"/>
            </a:solidFill>
            <a:miter lim="800000"/>
            <a:headEnd/>
            <a:tailEnd/>
          </a:ln>
        </xdr:spPr>
      </xdr:sp>
      <xdr:sp macro="" textlink="">
        <xdr:nvSpPr>
          <xdr:cNvPr id="210" name="AutoShape 68">
            <a:extLst>
              <a:ext uri="{FF2B5EF4-FFF2-40B4-BE49-F238E27FC236}">
                <a16:creationId xmlns:a16="http://schemas.microsoft.com/office/drawing/2014/main" id="{00000000-0008-0000-0900-0000D2000000}"/>
              </a:ext>
            </a:extLst>
          </xdr:cNvPr>
          <xdr:cNvSpPr>
            <a:spLocks noChangeArrowheads="1"/>
          </xdr:cNvSpPr>
        </xdr:nvSpPr>
        <xdr:spPr bwMode="auto">
          <a:xfrm>
            <a:off x="225" y="434"/>
            <a:ext cx="28" cy="7"/>
          </a:xfrm>
          <a:prstGeom prst="bevel">
            <a:avLst>
              <a:gd name="adj" fmla="val 12500"/>
            </a:avLst>
          </a:prstGeom>
          <a:solidFill>
            <a:srgbClr val="FFFFFF"/>
          </a:solidFill>
          <a:ln w="9525">
            <a:solidFill>
              <a:srgbClr val="000000"/>
            </a:solidFill>
            <a:miter lim="800000"/>
            <a:headEnd/>
            <a:tailEnd/>
          </a:ln>
        </xdr:spPr>
      </xdr:sp>
      <xdr:sp macro="" textlink="">
        <xdr:nvSpPr>
          <xdr:cNvPr id="211" name="AutoShape 69">
            <a:extLst>
              <a:ext uri="{FF2B5EF4-FFF2-40B4-BE49-F238E27FC236}">
                <a16:creationId xmlns:a16="http://schemas.microsoft.com/office/drawing/2014/main" id="{00000000-0008-0000-0900-0000D3000000}"/>
              </a:ext>
            </a:extLst>
          </xdr:cNvPr>
          <xdr:cNvSpPr>
            <a:spLocks noChangeArrowheads="1"/>
          </xdr:cNvSpPr>
        </xdr:nvSpPr>
        <xdr:spPr bwMode="auto">
          <a:xfrm>
            <a:off x="241"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sp macro="" textlink="">
        <xdr:nvSpPr>
          <xdr:cNvPr id="212" name="AutoShape 70">
            <a:extLst>
              <a:ext uri="{FF2B5EF4-FFF2-40B4-BE49-F238E27FC236}">
                <a16:creationId xmlns:a16="http://schemas.microsoft.com/office/drawing/2014/main" id="{00000000-0008-0000-0900-0000D4000000}"/>
              </a:ext>
            </a:extLst>
          </xdr:cNvPr>
          <xdr:cNvSpPr>
            <a:spLocks noChangeArrowheads="1"/>
          </xdr:cNvSpPr>
        </xdr:nvSpPr>
        <xdr:spPr bwMode="auto">
          <a:xfrm>
            <a:off x="265" y="454"/>
            <a:ext cx="15" cy="15"/>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2880 w 21600"/>
              <a:gd name="T25" fmla="*/ 2880 h 21600"/>
              <a:gd name="T26" fmla="*/ 18720 w 21600"/>
              <a:gd name="T27" fmla="*/ 18720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5400" y="10800"/>
                </a:moveTo>
                <a:cubicBezTo>
                  <a:pt x="5400" y="13782"/>
                  <a:pt x="7818" y="16200"/>
                  <a:pt x="10800" y="16200"/>
                </a:cubicBezTo>
                <a:cubicBezTo>
                  <a:pt x="13782" y="16200"/>
                  <a:pt x="16200" y="13782"/>
                  <a:pt x="16200" y="10800"/>
                </a:cubicBezTo>
                <a:cubicBezTo>
                  <a:pt x="16200" y="7818"/>
                  <a:pt x="13782" y="5400"/>
                  <a:pt x="10800" y="5400"/>
                </a:cubicBezTo>
                <a:cubicBezTo>
                  <a:pt x="7818" y="5400"/>
                  <a:pt x="5400" y="7818"/>
                  <a:pt x="5400" y="10800"/>
                </a:cubicBezTo>
                <a:close/>
              </a:path>
            </a:pathLst>
          </a:custGeom>
          <a:solidFill>
            <a:srgbClr val="FFFF99"/>
          </a:solidFill>
          <a:ln w="9525">
            <a:solidFill>
              <a:srgbClr val="000000"/>
            </a:solidFill>
            <a:round/>
            <a:headEnd/>
            <a:tailEnd/>
          </a:ln>
        </xdr:spPr>
      </xdr:sp>
    </xdr:grpSp>
    <xdr:clientData/>
  </xdr:twoCellAnchor>
  <mc:AlternateContent xmlns:mc="http://schemas.openxmlformats.org/markup-compatibility/2006">
    <mc:Choice xmlns:a14="http://schemas.microsoft.com/office/drawing/2010/main" Requires="a14">
      <xdr:twoCellAnchor editAs="oneCell">
        <xdr:from>
          <xdr:col>34</xdr:col>
          <xdr:colOff>25400</xdr:colOff>
          <xdr:row>0</xdr:row>
          <xdr:rowOff>101600</xdr:rowOff>
        </xdr:from>
        <xdr:to>
          <xdr:col>36</xdr:col>
          <xdr:colOff>12700</xdr:colOff>
          <xdr:row>0</xdr:row>
          <xdr:rowOff>101600</xdr:rowOff>
        </xdr:to>
        <xdr:sp macro="" textlink="">
          <xdr:nvSpPr>
            <xdr:cNvPr id="5158" name="Check Box 38" hidden="1">
              <a:extLst>
                <a:ext uri="{63B3BB69-23CF-44E3-9099-C40C66FF867C}">
                  <a14:compatExt spid="_x0000_s5158"/>
                </a:ext>
                <a:ext uri="{FF2B5EF4-FFF2-40B4-BE49-F238E27FC236}">
                  <a16:creationId xmlns:a16="http://schemas.microsoft.com/office/drawing/2014/main" id="{00000000-0008-0000-0900-000026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12700</xdr:colOff>
          <xdr:row>0</xdr:row>
          <xdr:rowOff>25400</xdr:rowOff>
        </xdr:from>
        <xdr:to>
          <xdr:col>29</xdr:col>
          <xdr:colOff>12700</xdr:colOff>
          <xdr:row>0</xdr:row>
          <xdr:rowOff>165100</xdr:rowOff>
        </xdr:to>
        <xdr:sp macro="" textlink="">
          <xdr:nvSpPr>
            <xdr:cNvPr id="5159" name="Check Box 39" hidden="1">
              <a:extLst>
                <a:ext uri="{63B3BB69-23CF-44E3-9099-C40C66FF867C}">
                  <a14:compatExt spid="_x0000_s5159"/>
                </a:ext>
                <a:ext uri="{FF2B5EF4-FFF2-40B4-BE49-F238E27FC236}">
                  <a16:creationId xmlns:a16="http://schemas.microsoft.com/office/drawing/2014/main" id="{00000000-0008-0000-0900-000027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Check Box 200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38100</xdr:colOff>
          <xdr:row>0</xdr:row>
          <xdr:rowOff>25400</xdr:rowOff>
        </xdr:from>
        <xdr:to>
          <xdr:col>30</xdr:col>
          <xdr:colOff>38100</xdr:colOff>
          <xdr:row>0</xdr:row>
          <xdr:rowOff>165100</xdr:rowOff>
        </xdr:to>
        <xdr:sp macro="" textlink="">
          <xdr:nvSpPr>
            <xdr:cNvPr id="5160" name="Check Box 40" hidden="1">
              <a:extLst>
                <a:ext uri="{63B3BB69-23CF-44E3-9099-C40C66FF867C}">
                  <a14:compatExt spid="_x0000_s5160"/>
                </a:ext>
                <a:ext uri="{FF2B5EF4-FFF2-40B4-BE49-F238E27FC236}">
                  <a16:creationId xmlns:a16="http://schemas.microsoft.com/office/drawing/2014/main" id="{00000000-0008-0000-0900-000028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Check Box 201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12700</xdr:colOff>
          <xdr:row>0</xdr:row>
          <xdr:rowOff>12700</xdr:rowOff>
        </xdr:from>
        <xdr:to>
          <xdr:col>32</xdr:col>
          <xdr:colOff>50800</xdr:colOff>
          <xdr:row>0</xdr:row>
          <xdr:rowOff>152400</xdr:rowOff>
        </xdr:to>
        <xdr:sp macro="" textlink="">
          <xdr:nvSpPr>
            <xdr:cNvPr id="5161" name="Check Box 41" hidden="1">
              <a:extLst>
                <a:ext uri="{63B3BB69-23CF-44E3-9099-C40C66FF867C}">
                  <a14:compatExt spid="_x0000_s5161"/>
                </a:ext>
                <a:ext uri="{FF2B5EF4-FFF2-40B4-BE49-F238E27FC236}">
                  <a16:creationId xmlns:a16="http://schemas.microsoft.com/office/drawing/2014/main" id="{00000000-0008-0000-0900-000029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Check Box 202</a:t>
              </a:r>
            </a:p>
          </xdr:txBody>
        </xdr:sp>
        <xdr:clientData/>
      </xdr:twoCellAnchor>
    </mc:Choice>
    <mc:Fallback/>
  </mc:AlternateContent>
  <xdr:twoCellAnchor>
    <xdr:from>
      <xdr:col>35</xdr:col>
      <xdr:colOff>185059</xdr:colOff>
      <xdr:row>29</xdr:row>
      <xdr:rowOff>54429</xdr:rowOff>
    </xdr:from>
    <xdr:to>
      <xdr:col>37</xdr:col>
      <xdr:colOff>217716</xdr:colOff>
      <xdr:row>30</xdr:row>
      <xdr:rowOff>87086</xdr:rowOff>
    </xdr:to>
    <xdr:sp macro="" textlink="">
      <xdr:nvSpPr>
        <xdr:cNvPr id="217" name="Right Arrow 216">
          <a:extLst>
            <a:ext uri="{FF2B5EF4-FFF2-40B4-BE49-F238E27FC236}">
              <a16:creationId xmlns:a16="http://schemas.microsoft.com/office/drawing/2014/main" id="{00000000-0008-0000-0900-0000D9000000}"/>
            </a:ext>
          </a:extLst>
        </xdr:cNvPr>
        <xdr:cNvSpPr/>
      </xdr:nvSpPr>
      <xdr:spPr>
        <a:xfrm>
          <a:off x="9046030" y="5029200"/>
          <a:ext cx="533400" cy="19594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IN"/>
        </a:p>
      </xdr:txBody>
    </xdr:sp>
    <xdr:clientData/>
  </xdr:twoCellAnchor>
  <xdr:twoCellAnchor editAs="oneCell">
    <xdr:from>
      <xdr:col>66</xdr:col>
      <xdr:colOff>173083</xdr:colOff>
      <xdr:row>19</xdr:row>
      <xdr:rowOff>10886</xdr:rowOff>
    </xdr:from>
    <xdr:to>
      <xdr:col>67</xdr:col>
      <xdr:colOff>43543</xdr:colOff>
      <xdr:row>20</xdr:row>
      <xdr:rowOff>155666</xdr:rowOff>
    </xdr:to>
    <xdr:pic>
      <xdr:nvPicPr>
        <xdr:cNvPr id="218" name="Picture 171" descr="3">
          <a:extLst>
            <a:ext uri="{FF2B5EF4-FFF2-40B4-BE49-F238E27FC236}">
              <a16:creationId xmlns:a16="http://schemas.microsoft.com/office/drawing/2014/main" id="{00000000-0008-0000-0900-0000DA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6951940" y="3352800"/>
          <a:ext cx="480060" cy="308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44</xdr:col>
      <xdr:colOff>140426</xdr:colOff>
      <xdr:row>19</xdr:row>
      <xdr:rowOff>152400</xdr:rowOff>
    </xdr:from>
    <xdr:to>
      <xdr:col>44</xdr:col>
      <xdr:colOff>620486</xdr:colOff>
      <xdr:row>21</xdr:row>
      <xdr:rowOff>133894</xdr:rowOff>
    </xdr:to>
    <xdr:pic>
      <xdr:nvPicPr>
        <xdr:cNvPr id="219" name="Picture 171" descr="3">
          <a:extLst>
            <a:ext uri="{FF2B5EF4-FFF2-40B4-BE49-F238E27FC236}">
              <a16:creationId xmlns:a16="http://schemas.microsoft.com/office/drawing/2014/main" id="{00000000-0008-0000-0900-0000DB0000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2060283" y="3494314"/>
          <a:ext cx="480060" cy="308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7.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1"/>
  <sheetViews>
    <sheetView tabSelected="1" zoomScale="64" zoomScaleNormal="64" workbookViewId="0">
      <selection activeCell="B52" sqref="B52"/>
    </sheetView>
  </sheetViews>
  <sheetFormatPr baseColWidth="10" defaultColWidth="8.83203125" defaultRowHeight="15"/>
  <cols>
    <col min="1" max="1" width="26.1640625" customWidth="1"/>
    <col min="2" max="2" width="10.6640625" customWidth="1"/>
    <col min="32" max="32" width="3.33203125" customWidth="1"/>
  </cols>
  <sheetData>
    <row r="1" spans="1:32" ht="12" customHeight="1">
      <c r="A1" s="180"/>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row>
    <row r="2" spans="1:32">
      <c r="A2" s="225" t="s">
        <v>147</v>
      </c>
      <c r="B2" s="205"/>
      <c r="C2" s="205"/>
      <c r="D2" s="205"/>
      <c r="E2" s="205"/>
      <c r="F2" s="205"/>
      <c r="G2" s="205"/>
      <c r="H2" s="205"/>
      <c r="I2" s="205"/>
      <c r="J2" s="205"/>
      <c r="K2" s="205"/>
      <c r="L2" s="205"/>
      <c r="M2" s="205"/>
      <c r="N2" s="205"/>
      <c r="O2" s="205"/>
      <c r="P2" s="205"/>
      <c r="Q2" s="205"/>
      <c r="R2" s="205"/>
      <c r="S2" s="205"/>
      <c r="T2" s="205"/>
      <c r="U2" s="205"/>
      <c r="V2" s="205"/>
      <c r="W2" s="205"/>
      <c r="X2" s="205"/>
      <c r="Y2" s="205"/>
      <c r="Z2" s="205"/>
      <c r="AA2" s="205"/>
      <c r="AB2" s="205"/>
      <c r="AC2" s="205"/>
      <c r="AD2" s="205"/>
      <c r="AE2" s="206"/>
      <c r="AF2" s="180"/>
    </row>
    <row r="3" spans="1:32">
      <c r="A3" s="207"/>
      <c r="B3" s="208"/>
      <c r="C3" s="208"/>
      <c r="D3" s="208"/>
      <c r="E3" s="208"/>
      <c r="F3" s="208"/>
      <c r="G3" s="208"/>
      <c r="H3" s="208"/>
      <c r="I3" s="208"/>
      <c r="J3" s="208"/>
      <c r="K3" s="208"/>
      <c r="L3" s="208"/>
      <c r="M3" s="208"/>
      <c r="N3" s="208"/>
      <c r="O3" s="208"/>
      <c r="P3" s="208"/>
      <c r="Q3" s="208"/>
      <c r="R3" s="208"/>
      <c r="S3" s="208"/>
      <c r="T3" s="208"/>
      <c r="U3" s="208"/>
      <c r="V3" s="208"/>
      <c r="W3" s="208"/>
      <c r="X3" s="208"/>
      <c r="Y3" s="208"/>
      <c r="Z3" s="208"/>
      <c r="AA3" s="208"/>
      <c r="AB3" s="208"/>
      <c r="AC3" s="208"/>
      <c r="AD3" s="208"/>
      <c r="AE3" s="209"/>
      <c r="AF3" s="180"/>
    </row>
    <row r="4" spans="1:32">
      <c r="A4" s="220" t="s">
        <v>158</v>
      </c>
      <c r="B4" s="221"/>
      <c r="C4" s="221"/>
      <c r="D4" s="221"/>
      <c r="E4" s="221"/>
      <c r="F4" s="221"/>
      <c r="G4" s="221"/>
      <c r="H4" s="221"/>
      <c r="I4" s="221"/>
      <c r="J4" s="221"/>
      <c r="K4" s="221"/>
      <c r="L4" s="221"/>
      <c r="M4" s="221"/>
      <c r="N4" s="221"/>
      <c r="O4" s="221"/>
      <c r="P4" s="221"/>
      <c r="Q4" s="221"/>
      <c r="R4" s="221"/>
      <c r="S4" s="221"/>
      <c r="T4" s="221"/>
      <c r="U4" s="221"/>
      <c r="V4" s="221"/>
      <c r="W4" s="221"/>
      <c r="X4" s="221"/>
      <c r="Y4" s="222"/>
      <c r="Z4" s="212"/>
      <c r="AA4" s="212"/>
      <c r="AB4" s="212"/>
      <c r="AC4" s="212"/>
      <c r="AD4" s="212"/>
      <c r="AE4" s="212"/>
      <c r="AF4" s="180"/>
    </row>
    <row r="5" spans="1:32">
      <c r="A5" s="181"/>
      <c r="B5" s="201" t="s">
        <v>159</v>
      </c>
      <c r="C5" s="202"/>
      <c r="D5" s="202"/>
      <c r="E5" s="202"/>
      <c r="F5" s="202"/>
      <c r="G5" s="202"/>
      <c r="H5" s="203"/>
      <c r="I5" s="201" t="s">
        <v>160</v>
      </c>
      <c r="J5" s="202"/>
      <c r="K5" s="202"/>
      <c r="L5" s="202"/>
      <c r="M5" s="202"/>
      <c r="N5" s="202"/>
      <c r="O5" s="203"/>
      <c r="P5" s="201" t="s">
        <v>161</v>
      </c>
      <c r="Q5" s="202"/>
      <c r="R5" s="202"/>
      <c r="S5" s="202"/>
      <c r="T5" s="202"/>
      <c r="U5" s="202"/>
      <c r="V5" s="203"/>
      <c r="W5" s="201" t="s">
        <v>162</v>
      </c>
      <c r="X5" s="202"/>
      <c r="Y5" s="202"/>
      <c r="Z5" s="202"/>
      <c r="AA5" s="202"/>
      <c r="AB5" s="202"/>
      <c r="AC5" s="203"/>
      <c r="AD5" s="201"/>
      <c r="AE5" s="203"/>
      <c r="AF5" s="180"/>
    </row>
    <row r="6" spans="1:32">
      <c r="A6" s="182" t="s">
        <v>140</v>
      </c>
      <c r="B6" s="182">
        <v>1</v>
      </c>
      <c r="C6" s="182">
        <v>2</v>
      </c>
      <c r="D6" s="182">
        <v>3</v>
      </c>
      <c r="E6" s="182">
        <v>4</v>
      </c>
      <c r="F6" s="182">
        <v>5</v>
      </c>
      <c r="G6" s="182">
        <v>6</v>
      </c>
      <c r="H6" s="182">
        <v>7</v>
      </c>
      <c r="I6" s="182">
        <v>8</v>
      </c>
      <c r="J6" s="182">
        <v>9</v>
      </c>
      <c r="K6" s="182">
        <v>10</v>
      </c>
      <c r="L6" s="182">
        <v>11</v>
      </c>
      <c r="M6" s="182">
        <v>12</v>
      </c>
      <c r="N6" s="182">
        <v>13</v>
      </c>
      <c r="O6" s="182">
        <v>14</v>
      </c>
      <c r="P6" s="182">
        <v>15</v>
      </c>
      <c r="Q6" s="182">
        <v>16</v>
      </c>
      <c r="R6" s="182">
        <v>17</v>
      </c>
      <c r="S6" s="182">
        <v>18</v>
      </c>
      <c r="T6" s="182">
        <v>19</v>
      </c>
      <c r="U6" s="182">
        <v>20</v>
      </c>
      <c r="V6" s="182">
        <v>21</v>
      </c>
      <c r="W6" s="182">
        <v>22</v>
      </c>
      <c r="X6" s="182">
        <v>23</v>
      </c>
      <c r="Y6" s="182">
        <v>24</v>
      </c>
      <c r="Z6" s="182">
        <v>25</v>
      </c>
      <c r="AA6" s="182">
        <v>26</v>
      </c>
      <c r="AB6" s="182">
        <v>27</v>
      </c>
      <c r="AC6" s="182">
        <v>28</v>
      </c>
      <c r="AD6" s="182">
        <v>29</v>
      </c>
      <c r="AE6" s="182">
        <v>30</v>
      </c>
      <c r="AF6" s="180"/>
    </row>
    <row r="7" spans="1:32">
      <c r="A7" s="182" t="s">
        <v>141</v>
      </c>
      <c r="B7" s="183"/>
      <c r="C7" s="183"/>
      <c r="D7" s="183"/>
      <c r="E7" s="183"/>
      <c r="F7" s="183"/>
      <c r="G7" s="183">
        <v>10</v>
      </c>
      <c r="H7" s="183"/>
      <c r="I7" s="183"/>
      <c r="J7" s="183"/>
      <c r="K7" s="183"/>
      <c r="L7" s="183"/>
      <c r="M7" s="183">
        <v>10</v>
      </c>
      <c r="N7" s="183"/>
      <c r="O7" s="183"/>
      <c r="P7" s="183"/>
      <c r="Q7" s="183"/>
      <c r="R7" s="183"/>
      <c r="S7" s="183">
        <v>10</v>
      </c>
      <c r="T7" s="183"/>
      <c r="U7" s="183"/>
      <c r="V7" s="183"/>
      <c r="W7" s="183"/>
      <c r="X7" s="183"/>
      <c r="Y7" s="183">
        <v>10</v>
      </c>
      <c r="Z7" s="183"/>
      <c r="AA7" s="183"/>
      <c r="AB7" s="183"/>
      <c r="AC7" s="183"/>
      <c r="AD7" s="183"/>
      <c r="AE7" s="183">
        <v>10</v>
      </c>
      <c r="AF7" s="180"/>
    </row>
    <row r="8" spans="1:32">
      <c r="A8" s="182" t="s">
        <v>142</v>
      </c>
      <c r="B8" s="183"/>
      <c r="C8" s="183"/>
      <c r="D8" s="183"/>
      <c r="E8" s="183"/>
      <c r="F8" s="183"/>
      <c r="G8" s="183">
        <v>14</v>
      </c>
      <c r="H8" s="183"/>
      <c r="I8" s="183"/>
      <c r="J8" s="183"/>
      <c r="K8" s="183"/>
      <c r="L8" s="183"/>
      <c r="M8" s="183">
        <v>14</v>
      </c>
      <c r="N8" s="183"/>
      <c r="O8" s="183"/>
      <c r="P8" s="183"/>
      <c r="Q8" s="183"/>
      <c r="R8" s="183"/>
      <c r="S8" s="183">
        <v>14</v>
      </c>
      <c r="T8" s="183"/>
      <c r="U8" s="183"/>
      <c r="V8" s="183"/>
      <c r="W8" s="183"/>
      <c r="X8" s="183"/>
      <c r="Y8" s="183">
        <v>14</v>
      </c>
      <c r="Z8" s="183"/>
      <c r="AA8" s="183"/>
      <c r="AB8" s="183"/>
      <c r="AC8" s="183"/>
      <c r="AD8" s="183"/>
      <c r="AE8" s="184">
        <v>14</v>
      </c>
      <c r="AF8" s="180"/>
    </row>
    <row r="9" spans="1:32">
      <c r="A9" s="182" t="s">
        <v>145</v>
      </c>
      <c r="B9" s="183">
        <v>0</v>
      </c>
      <c r="C9" s="183">
        <v>0</v>
      </c>
      <c r="D9" s="183">
        <v>0</v>
      </c>
      <c r="E9" s="183">
        <v>0</v>
      </c>
      <c r="F9" s="183">
        <v>0</v>
      </c>
      <c r="G9" s="183">
        <v>4</v>
      </c>
      <c r="H9" s="183">
        <v>4</v>
      </c>
      <c r="I9" s="183">
        <v>4</v>
      </c>
      <c r="J9" s="183">
        <v>4</v>
      </c>
      <c r="K9" s="183">
        <v>4</v>
      </c>
      <c r="L9" s="183">
        <v>4</v>
      </c>
      <c r="M9" s="183">
        <v>8</v>
      </c>
      <c r="N9" s="183">
        <v>8</v>
      </c>
      <c r="O9" s="183">
        <v>8</v>
      </c>
      <c r="P9" s="183">
        <v>8</v>
      </c>
      <c r="Q9" s="183">
        <v>8</v>
      </c>
      <c r="R9" s="183">
        <v>8</v>
      </c>
      <c r="S9" s="183">
        <v>12</v>
      </c>
      <c r="T9" s="183">
        <v>12</v>
      </c>
      <c r="U9" s="183">
        <v>12</v>
      </c>
      <c r="V9" s="183">
        <v>12</v>
      </c>
      <c r="W9" s="183">
        <v>12</v>
      </c>
      <c r="X9" s="183">
        <v>12</v>
      </c>
      <c r="Y9" s="183">
        <v>16</v>
      </c>
      <c r="Z9" s="183">
        <v>16</v>
      </c>
      <c r="AA9" s="183">
        <v>16</v>
      </c>
      <c r="AB9" s="183">
        <v>16</v>
      </c>
      <c r="AC9" s="183">
        <v>16</v>
      </c>
      <c r="AD9" s="183">
        <v>16</v>
      </c>
      <c r="AE9" s="184">
        <v>20</v>
      </c>
      <c r="AF9" s="180"/>
    </row>
    <row r="10" spans="1:32">
      <c r="A10" s="182" t="s">
        <v>143</v>
      </c>
      <c r="B10" s="183">
        <v>14</v>
      </c>
      <c r="C10" s="183"/>
      <c r="D10" s="183"/>
      <c r="E10" s="183"/>
      <c r="F10" s="183"/>
      <c r="G10" s="183">
        <v>14</v>
      </c>
      <c r="H10" s="183"/>
      <c r="I10" s="183"/>
      <c r="J10" s="183"/>
      <c r="K10" s="183"/>
      <c r="L10" s="183"/>
      <c r="M10" s="183">
        <v>14</v>
      </c>
      <c r="N10" s="183"/>
      <c r="O10" s="183"/>
      <c r="P10" s="183"/>
      <c r="Q10" s="183"/>
      <c r="R10" s="183"/>
      <c r="S10" s="183">
        <v>14</v>
      </c>
      <c r="T10" s="183"/>
      <c r="U10" s="183"/>
      <c r="V10" s="183"/>
      <c r="W10" s="183"/>
      <c r="X10" s="183"/>
      <c r="Y10" s="183">
        <v>14</v>
      </c>
      <c r="Z10" s="183"/>
      <c r="AA10" s="183"/>
      <c r="AB10" s="183"/>
      <c r="AC10" s="183"/>
      <c r="AD10" s="183"/>
      <c r="AE10" s="183">
        <v>14</v>
      </c>
      <c r="AF10" s="180"/>
    </row>
    <row r="11" spans="1:32">
      <c r="A11" s="185"/>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row>
    <row r="12" spans="1:32">
      <c r="A12" s="220" t="s">
        <v>173</v>
      </c>
      <c r="B12" s="221"/>
      <c r="C12" s="221"/>
      <c r="D12" s="221"/>
      <c r="E12" s="221"/>
      <c r="F12" s="221"/>
      <c r="G12" s="221"/>
      <c r="H12" s="221"/>
      <c r="I12" s="221"/>
      <c r="J12" s="221"/>
      <c r="K12" s="221"/>
      <c r="L12" s="221"/>
      <c r="M12" s="221"/>
      <c r="N12" s="221"/>
      <c r="O12" s="221"/>
      <c r="P12" s="221"/>
      <c r="Q12" s="221"/>
      <c r="R12" s="221"/>
      <c r="S12" s="221"/>
      <c r="T12" s="221"/>
      <c r="U12" s="221"/>
      <c r="V12" s="221"/>
      <c r="W12" s="221"/>
      <c r="X12" s="221"/>
      <c r="Y12" s="222"/>
      <c r="Z12" s="220"/>
      <c r="AA12" s="221"/>
      <c r="AB12" s="222"/>
      <c r="AC12" s="220"/>
      <c r="AD12" s="221"/>
      <c r="AE12" s="222"/>
      <c r="AF12" s="180"/>
    </row>
    <row r="13" spans="1:32">
      <c r="A13" s="186" t="s">
        <v>140</v>
      </c>
      <c r="B13" s="201" t="s">
        <v>159</v>
      </c>
      <c r="C13" s="202"/>
      <c r="D13" s="202"/>
      <c r="E13" s="202"/>
      <c r="F13" s="202"/>
      <c r="G13" s="202"/>
      <c r="H13" s="203"/>
      <c r="I13" s="201" t="s">
        <v>160</v>
      </c>
      <c r="J13" s="202"/>
      <c r="K13" s="202"/>
      <c r="L13" s="202"/>
      <c r="M13" s="202"/>
      <c r="N13" s="202"/>
      <c r="O13" s="203"/>
      <c r="P13" s="201" t="s">
        <v>161</v>
      </c>
      <c r="Q13" s="202"/>
      <c r="R13" s="202"/>
      <c r="S13" s="202"/>
      <c r="T13" s="202"/>
      <c r="U13" s="202"/>
      <c r="V13" s="203"/>
      <c r="W13" s="201" t="s">
        <v>162</v>
      </c>
      <c r="X13" s="202"/>
      <c r="Y13" s="202"/>
      <c r="Z13" s="202"/>
      <c r="AA13" s="202"/>
      <c r="AB13" s="202"/>
      <c r="AC13" s="203"/>
      <c r="AD13" s="201"/>
      <c r="AE13" s="203"/>
      <c r="AF13" s="180"/>
    </row>
    <row r="14" spans="1:32">
      <c r="A14" s="182" t="s">
        <v>140</v>
      </c>
      <c r="B14" s="182">
        <v>1</v>
      </c>
      <c r="C14" s="182">
        <v>2</v>
      </c>
      <c r="D14" s="182">
        <v>3</v>
      </c>
      <c r="E14" s="182">
        <v>4</v>
      </c>
      <c r="F14" s="182">
        <v>5</v>
      </c>
      <c r="G14" s="182">
        <v>6</v>
      </c>
      <c r="H14" s="182">
        <v>7</v>
      </c>
      <c r="I14" s="182">
        <v>8</v>
      </c>
      <c r="J14" s="182">
        <v>9</v>
      </c>
      <c r="K14" s="182">
        <v>10</v>
      </c>
      <c r="L14" s="182">
        <v>11</v>
      </c>
      <c r="M14" s="182">
        <v>12</v>
      </c>
      <c r="N14" s="182">
        <v>13</v>
      </c>
      <c r="O14" s="182">
        <v>14</v>
      </c>
      <c r="P14" s="182">
        <v>15</v>
      </c>
      <c r="Q14" s="182">
        <v>16</v>
      </c>
      <c r="R14" s="182">
        <v>17</v>
      </c>
      <c r="S14" s="182">
        <v>18</v>
      </c>
      <c r="T14" s="182">
        <v>19</v>
      </c>
      <c r="U14" s="182">
        <v>20</v>
      </c>
      <c r="V14" s="182">
        <v>21</v>
      </c>
      <c r="W14" s="182">
        <v>22</v>
      </c>
      <c r="X14" s="182">
        <v>23</v>
      </c>
      <c r="Y14" s="182">
        <v>24</v>
      </c>
      <c r="Z14" s="182">
        <v>25</v>
      </c>
      <c r="AA14" s="182">
        <v>26</v>
      </c>
      <c r="AB14" s="182">
        <v>27</v>
      </c>
      <c r="AC14" s="182">
        <v>28</v>
      </c>
      <c r="AD14" s="182">
        <v>29</v>
      </c>
      <c r="AE14" s="182">
        <v>30</v>
      </c>
      <c r="AF14" s="180"/>
    </row>
    <row r="15" spans="1:32">
      <c r="A15" s="182" t="s">
        <v>141</v>
      </c>
      <c r="B15" s="183"/>
      <c r="C15" s="183"/>
      <c r="D15" s="183"/>
      <c r="E15" s="183"/>
      <c r="F15" s="183"/>
      <c r="G15" s="183">
        <v>1</v>
      </c>
      <c r="H15" s="183"/>
      <c r="I15" s="183"/>
      <c r="J15" s="183"/>
      <c r="K15" s="183"/>
      <c r="L15" s="183"/>
      <c r="M15" s="183">
        <v>1</v>
      </c>
      <c r="N15" s="183"/>
      <c r="O15" s="183"/>
      <c r="P15" s="183"/>
      <c r="Q15" s="183"/>
      <c r="R15" s="183"/>
      <c r="S15" s="183">
        <v>1</v>
      </c>
      <c r="T15" s="183"/>
      <c r="U15" s="183"/>
      <c r="V15" s="183"/>
      <c r="W15" s="183"/>
      <c r="X15" s="183"/>
      <c r="Y15" s="183">
        <v>1</v>
      </c>
      <c r="Z15" s="183"/>
      <c r="AA15" s="183"/>
      <c r="AB15" s="183"/>
      <c r="AC15" s="183"/>
      <c r="AD15" s="183"/>
      <c r="AE15" s="183">
        <v>1</v>
      </c>
      <c r="AF15" s="180"/>
    </row>
    <row r="16" spans="1:32">
      <c r="A16" s="182" t="s">
        <v>142</v>
      </c>
      <c r="B16" s="183"/>
      <c r="C16" s="183"/>
      <c r="D16" s="183"/>
      <c r="E16" s="183"/>
      <c r="F16" s="183"/>
      <c r="G16" s="183">
        <v>1</v>
      </c>
      <c r="H16" s="183"/>
      <c r="I16" s="183"/>
      <c r="J16" s="183"/>
      <c r="K16" s="183"/>
      <c r="L16" s="183"/>
      <c r="M16" s="183">
        <v>1</v>
      </c>
      <c r="N16" s="183"/>
      <c r="O16" s="183"/>
      <c r="P16" s="183"/>
      <c r="Q16" s="183"/>
      <c r="R16" s="183"/>
      <c r="S16" s="183">
        <v>1</v>
      </c>
      <c r="T16" s="183"/>
      <c r="U16" s="183"/>
      <c r="V16" s="183"/>
      <c r="W16" s="183"/>
      <c r="X16" s="183"/>
      <c r="Y16" s="183">
        <v>1</v>
      </c>
      <c r="Z16" s="183"/>
      <c r="AA16" s="183"/>
      <c r="AB16" s="183"/>
      <c r="AC16" s="183"/>
      <c r="AD16" s="183"/>
      <c r="AE16" s="183">
        <v>1</v>
      </c>
      <c r="AF16" s="180"/>
    </row>
    <row r="17" spans="1:32">
      <c r="A17" s="182" t="s">
        <v>145</v>
      </c>
      <c r="B17" s="183">
        <v>0</v>
      </c>
      <c r="C17" s="183">
        <v>0</v>
      </c>
      <c r="D17" s="183">
        <v>0</v>
      </c>
      <c r="E17" s="183">
        <v>0</v>
      </c>
      <c r="F17" s="183">
        <v>0</v>
      </c>
      <c r="G17" s="183">
        <v>0</v>
      </c>
      <c r="H17" s="183">
        <v>0</v>
      </c>
      <c r="I17" s="183">
        <v>0</v>
      </c>
      <c r="J17" s="183">
        <v>0</v>
      </c>
      <c r="K17" s="183">
        <v>0</v>
      </c>
      <c r="L17" s="183">
        <v>0</v>
      </c>
      <c r="M17" s="183">
        <v>0</v>
      </c>
      <c r="N17" s="183">
        <v>0</v>
      </c>
      <c r="O17" s="183">
        <v>0</v>
      </c>
      <c r="P17" s="183">
        <v>0</v>
      </c>
      <c r="Q17" s="183">
        <v>0</v>
      </c>
      <c r="R17" s="183">
        <v>0</v>
      </c>
      <c r="S17" s="183">
        <v>0</v>
      </c>
      <c r="T17" s="183">
        <v>0</v>
      </c>
      <c r="U17" s="183">
        <v>0</v>
      </c>
      <c r="V17" s="183">
        <v>0</v>
      </c>
      <c r="W17" s="183">
        <v>0</v>
      </c>
      <c r="X17" s="183">
        <v>0</v>
      </c>
      <c r="Y17" s="183">
        <v>0</v>
      </c>
      <c r="Z17" s="183">
        <v>0</v>
      </c>
      <c r="AA17" s="183">
        <v>0</v>
      </c>
      <c r="AB17" s="183">
        <v>0</v>
      </c>
      <c r="AC17" s="183">
        <v>0</v>
      </c>
      <c r="AD17" s="183">
        <v>0</v>
      </c>
      <c r="AE17" s="183">
        <v>0</v>
      </c>
      <c r="AF17" s="180"/>
    </row>
    <row r="18" spans="1:32">
      <c r="A18" s="182" t="s">
        <v>143</v>
      </c>
      <c r="B18" s="183">
        <v>1</v>
      </c>
      <c r="C18" s="183"/>
      <c r="D18" s="183"/>
      <c r="E18" s="183"/>
      <c r="F18" s="183"/>
      <c r="G18" s="183">
        <v>1</v>
      </c>
      <c r="H18" s="183"/>
      <c r="I18" s="183"/>
      <c r="J18" s="183"/>
      <c r="K18" s="183"/>
      <c r="L18" s="183"/>
      <c r="M18" s="183">
        <v>1</v>
      </c>
      <c r="N18" s="183"/>
      <c r="O18" s="183"/>
      <c r="P18" s="183"/>
      <c r="Q18" s="183"/>
      <c r="R18" s="183"/>
      <c r="S18" s="183">
        <v>1</v>
      </c>
      <c r="T18" s="183"/>
      <c r="U18" s="183"/>
      <c r="V18" s="183"/>
      <c r="W18" s="183"/>
      <c r="X18" s="183"/>
      <c r="Y18" s="183">
        <v>1</v>
      </c>
      <c r="Z18" s="183"/>
      <c r="AA18" s="183"/>
      <c r="AB18" s="183"/>
      <c r="AC18" s="183"/>
      <c r="AD18" s="183"/>
      <c r="AE18" s="183">
        <v>1</v>
      </c>
      <c r="AF18" s="180"/>
    </row>
    <row r="19" spans="1:32">
      <c r="A19" s="180"/>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5"/>
      <c r="AD19" s="180"/>
      <c r="AE19" s="180"/>
      <c r="AF19" s="180"/>
    </row>
    <row r="20" spans="1:32">
      <c r="A20" s="180"/>
      <c r="B20" s="180"/>
      <c r="C20" s="180"/>
      <c r="D20" s="180"/>
      <c r="E20" s="180"/>
      <c r="F20" s="180"/>
      <c r="G20" s="180"/>
      <c r="H20" s="180"/>
      <c r="I20" s="180"/>
      <c r="J20" s="180"/>
      <c r="K20" s="180"/>
      <c r="L20" s="180"/>
      <c r="M20" s="180"/>
      <c r="N20" s="180"/>
      <c r="O20" s="180"/>
      <c r="P20" s="180"/>
      <c r="Q20" s="180"/>
      <c r="R20" s="180"/>
      <c r="S20" s="180"/>
      <c r="T20" s="180"/>
      <c r="U20" s="180"/>
      <c r="V20" s="180"/>
      <c r="W20" s="204" t="s">
        <v>146</v>
      </c>
      <c r="X20" s="205"/>
      <c r="Y20" s="205"/>
      <c r="Z20" s="205"/>
      <c r="AA20" s="205"/>
      <c r="AB20" s="205"/>
      <c r="AC20" s="205"/>
      <c r="AD20" s="206"/>
      <c r="AE20" s="210"/>
      <c r="AF20" s="180"/>
    </row>
    <row r="21" spans="1:32">
      <c r="A21" s="180"/>
      <c r="B21" s="180"/>
      <c r="C21" s="180"/>
      <c r="D21" s="180"/>
      <c r="E21" s="180"/>
      <c r="F21" s="180"/>
      <c r="G21" s="180"/>
      <c r="H21" s="180"/>
      <c r="I21" s="180"/>
      <c r="J21" s="180"/>
      <c r="K21" s="180"/>
      <c r="L21" s="180"/>
      <c r="M21" s="180"/>
      <c r="N21" s="180"/>
      <c r="O21" s="180"/>
      <c r="P21" s="180"/>
      <c r="Q21" s="180"/>
      <c r="R21" s="180"/>
      <c r="S21" s="180"/>
      <c r="T21" s="180"/>
      <c r="U21" s="180"/>
      <c r="V21" s="180"/>
      <c r="W21" s="207"/>
      <c r="X21" s="208"/>
      <c r="Y21" s="208"/>
      <c r="Z21" s="208"/>
      <c r="AA21" s="208"/>
      <c r="AB21" s="208"/>
      <c r="AC21" s="208"/>
      <c r="AD21" s="209"/>
      <c r="AE21" s="211"/>
      <c r="AF21" s="180"/>
    </row>
    <row r="22" spans="1:32">
      <c r="A22" s="180"/>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0"/>
      <c r="AB22" s="180"/>
      <c r="AC22" s="180"/>
      <c r="AD22" s="180"/>
      <c r="AE22" s="180"/>
      <c r="AF22" s="180"/>
    </row>
    <row r="23" spans="1:32">
      <c r="A23" s="223" t="s">
        <v>153</v>
      </c>
      <c r="B23" s="224"/>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180"/>
    </row>
    <row r="24" spans="1:32">
      <c r="A24" s="224"/>
      <c r="B24" s="224"/>
      <c r="C24" s="224"/>
      <c r="D24" s="224"/>
      <c r="E24" s="224"/>
      <c r="F24" s="224"/>
      <c r="G24" s="224"/>
      <c r="H24" s="224"/>
      <c r="I24" s="224"/>
      <c r="J24" s="224"/>
      <c r="K24" s="224"/>
      <c r="L24" s="224"/>
      <c r="M24" s="224"/>
      <c r="N24" s="224"/>
      <c r="O24" s="224"/>
      <c r="P24" s="224"/>
      <c r="Q24" s="224"/>
      <c r="R24" s="224"/>
      <c r="S24" s="224"/>
      <c r="T24" s="224"/>
      <c r="U24" s="224"/>
      <c r="V24" s="224"/>
      <c r="W24" s="224"/>
      <c r="X24" s="224"/>
      <c r="Y24" s="224"/>
      <c r="Z24" s="224"/>
      <c r="AA24" s="224"/>
      <c r="AB24" s="224"/>
      <c r="AC24" s="224"/>
      <c r="AD24" s="224"/>
      <c r="AE24" s="224"/>
      <c r="AF24" s="180"/>
    </row>
    <row r="25" spans="1:32">
      <c r="A25" s="212" t="s">
        <v>158</v>
      </c>
      <c r="B25" s="212"/>
      <c r="C25" s="212"/>
      <c r="D25" s="212"/>
      <c r="E25" s="212"/>
      <c r="F25" s="212"/>
      <c r="G25" s="212"/>
      <c r="H25" s="212"/>
      <c r="I25" s="212"/>
      <c r="J25" s="212"/>
      <c r="K25" s="212"/>
      <c r="L25" s="212"/>
      <c r="M25" s="212"/>
      <c r="N25" s="212"/>
      <c r="O25" s="212"/>
      <c r="P25" s="212"/>
      <c r="Q25" s="212"/>
      <c r="R25" s="212"/>
      <c r="S25" s="212"/>
      <c r="T25" s="212"/>
      <c r="U25" s="212"/>
      <c r="V25" s="212"/>
      <c r="W25" s="212"/>
      <c r="X25" s="212"/>
      <c r="Y25" s="212"/>
      <c r="Z25" s="212"/>
      <c r="AA25" s="212"/>
      <c r="AB25" s="212"/>
      <c r="AC25" s="212"/>
      <c r="AD25" s="212"/>
      <c r="AE25" s="212"/>
      <c r="AF25" s="180"/>
    </row>
    <row r="26" spans="1:32">
      <c r="A26" s="186"/>
      <c r="B26" s="201" t="s">
        <v>163</v>
      </c>
      <c r="C26" s="202"/>
      <c r="D26" s="202"/>
      <c r="E26" s="202"/>
      <c r="F26" s="203"/>
      <c r="G26" s="201" t="s">
        <v>164</v>
      </c>
      <c r="H26" s="202"/>
      <c r="I26" s="202"/>
      <c r="J26" s="202"/>
      <c r="K26" s="202"/>
      <c r="L26" s="202"/>
      <c r="M26" s="203"/>
      <c r="N26" s="201" t="s">
        <v>165</v>
      </c>
      <c r="O26" s="202"/>
      <c r="P26" s="202"/>
      <c r="Q26" s="202"/>
      <c r="R26" s="202"/>
      <c r="S26" s="202"/>
      <c r="T26" s="203"/>
      <c r="U26" s="201" t="s">
        <v>166</v>
      </c>
      <c r="V26" s="202"/>
      <c r="W26" s="202"/>
      <c r="X26" s="202"/>
      <c r="Y26" s="202"/>
      <c r="Z26" s="202"/>
      <c r="AA26" s="203"/>
      <c r="AB26" s="201" t="s">
        <v>167</v>
      </c>
      <c r="AC26" s="202"/>
      <c r="AD26" s="202"/>
      <c r="AE26" s="203"/>
      <c r="AF26" s="180"/>
    </row>
    <row r="27" spans="1:32">
      <c r="A27" s="182" t="s">
        <v>140</v>
      </c>
      <c r="B27" s="181">
        <v>1</v>
      </c>
      <c r="C27" s="182">
        <v>2</v>
      </c>
      <c r="D27" s="182">
        <v>3</v>
      </c>
      <c r="E27" s="182">
        <v>4</v>
      </c>
      <c r="F27" s="182">
        <v>5</v>
      </c>
      <c r="G27" s="182">
        <v>6</v>
      </c>
      <c r="H27" s="182">
        <v>7</v>
      </c>
      <c r="I27" s="182">
        <v>8</v>
      </c>
      <c r="J27" s="182">
        <v>9</v>
      </c>
      <c r="K27" s="182">
        <v>10</v>
      </c>
      <c r="L27" s="182">
        <v>11</v>
      </c>
      <c r="M27" s="182">
        <v>12</v>
      </c>
      <c r="N27" s="182">
        <v>13</v>
      </c>
      <c r="O27" s="182">
        <v>14</v>
      </c>
      <c r="P27" s="182">
        <v>15</v>
      </c>
      <c r="Q27" s="182">
        <v>16</v>
      </c>
      <c r="R27" s="182">
        <v>17</v>
      </c>
      <c r="S27" s="182">
        <v>18</v>
      </c>
      <c r="T27" s="182">
        <v>19</v>
      </c>
      <c r="U27" s="182">
        <v>20</v>
      </c>
      <c r="V27" s="182">
        <v>21</v>
      </c>
      <c r="W27" s="182">
        <v>22</v>
      </c>
      <c r="X27" s="182">
        <v>23</v>
      </c>
      <c r="Y27" s="182">
        <v>24</v>
      </c>
      <c r="Z27" s="182">
        <v>25</v>
      </c>
      <c r="AA27" s="182">
        <v>26</v>
      </c>
      <c r="AB27" s="182">
        <v>27</v>
      </c>
      <c r="AC27" s="182">
        <v>28</v>
      </c>
      <c r="AD27" s="182">
        <v>29</v>
      </c>
      <c r="AE27" s="182">
        <v>30</v>
      </c>
      <c r="AF27" s="180"/>
    </row>
    <row r="28" spans="1:32">
      <c r="A28" s="182" t="s">
        <v>141</v>
      </c>
      <c r="B28" s="183"/>
      <c r="C28" s="183"/>
      <c r="D28" s="183"/>
      <c r="E28" s="183"/>
      <c r="F28" s="183"/>
      <c r="G28" s="183">
        <v>10</v>
      </c>
      <c r="H28" s="183"/>
      <c r="I28" s="183"/>
      <c r="J28" s="183"/>
      <c r="K28" s="183"/>
      <c r="L28" s="183"/>
      <c r="M28" s="183">
        <v>10</v>
      </c>
      <c r="N28" s="183"/>
      <c r="O28" s="183"/>
      <c r="P28" s="183"/>
      <c r="Q28" s="183"/>
      <c r="R28" s="183"/>
      <c r="S28" s="183">
        <v>10</v>
      </c>
      <c r="T28" s="183"/>
      <c r="U28" s="183"/>
      <c r="V28" s="183"/>
      <c r="W28" s="183"/>
      <c r="X28" s="183"/>
      <c r="Y28" s="183">
        <v>10</v>
      </c>
      <c r="Z28" s="183"/>
      <c r="AA28" s="183"/>
      <c r="AB28" s="183"/>
      <c r="AC28" s="183"/>
      <c r="AD28" s="183"/>
      <c r="AE28" s="183">
        <v>10</v>
      </c>
      <c r="AF28" s="180"/>
    </row>
    <row r="29" spans="1:32">
      <c r="A29" s="182" t="s">
        <v>142</v>
      </c>
      <c r="B29" s="183"/>
      <c r="C29" s="183"/>
      <c r="D29" s="183"/>
      <c r="E29" s="183"/>
      <c r="F29" s="183"/>
      <c r="G29" s="184">
        <v>14</v>
      </c>
      <c r="H29" s="183"/>
      <c r="I29" s="183"/>
      <c r="J29" s="183"/>
      <c r="K29" s="183"/>
      <c r="L29" s="183"/>
      <c r="M29" s="183">
        <v>14</v>
      </c>
      <c r="N29" s="183"/>
      <c r="O29" s="183"/>
      <c r="P29" s="183"/>
      <c r="Q29" s="183"/>
      <c r="R29" s="183"/>
      <c r="S29" s="183">
        <v>14</v>
      </c>
      <c r="T29" s="183"/>
      <c r="U29" s="183"/>
      <c r="V29" s="183"/>
      <c r="W29" s="183"/>
      <c r="X29" s="183"/>
      <c r="Y29" s="183">
        <v>14</v>
      </c>
      <c r="Z29" s="183"/>
      <c r="AA29" s="183"/>
      <c r="AB29" s="183"/>
      <c r="AC29" s="183"/>
      <c r="AD29" s="183"/>
      <c r="AE29" s="184">
        <v>14</v>
      </c>
      <c r="AF29" s="180"/>
    </row>
    <row r="30" spans="1:32">
      <c r="A30" s="182" t="s">
        <v>156</v>
      </c>
      <c r="B30" s="183">
        <v>20</v>
      </c>
      <c r="C30" s="183">
        <v>20</v>
      </c>
      <c r="D30" s="183">
        <v>20</v>
      </c>
      <c r="E30" s="183">
        <v>20</v>
      </c>
      <c r="F30" s="183">
        <v>20</v>
      </c>
      <c r="G30" s="184">
        <v>24</v>
      </c>
      <c r="H30" s="183">
        <v>24</v>
      </c>
      <c r="I30" s="183">
        <v>24</v>
      </c>
      <c r="J30" s="183">
        <v>24</v>
      </c>
      <c r="K30" s="183">
        <v>24</v>
      </c>
      <c r="L30" s="183">
        <v>24</v>
      </c>
      <c r="M30" s="183">
        <v>28</v>
      </c>
      <c r="N30" s="183">
        <v>28</v>
      </c>
      <c r="O30" s="183">
        <v>28</v>
      </c>
      <c r="P30" s="183">
        <v>28</v>
      </c>
      <c r="Q30" s="183">
        <v>28</v>
      </c>
      <c r="R30" s="183">
        <v>28</v>
      </c>
      <c r="S30" s="183">
        <v>32</v>
      </c>
      <c r="T30" s="183">
        <v>32</v>
      </c>
      <c r="U30" s="183">
        <v>32</v>
      </c>
      <c r="V30" s="183">
        <v>32</v>
      </c>
      <c r="W30" s="183">
        <v>32</v>
      </c>
      <c r="X30" s="183">
        <v>32</v>
      </c>
      <c r="Y30" s="183">
        <v>36</v>
      </c>
      <c r="Z30" s="183">
        <v>36</v>
      </c>
      <c r="AA30" s="183">
        <v>36</v>
      </c>
      <c r="AB30" s="183">
        <v>36</v>
      </c>
      <c r="AC30" s="183">
        <v>36</v>
      </c>
      <c r="AD30" s="183">
        <v>36</v>
      </c>
      <c r="AE30" s="184">
        <v>40</v>
      </c>
      <c r="AF30" s="180"/>
    </row>
    <row r="31" spans="1:32">
      <c r="A31" s="182" t="s">
        <v>143</v>
      </c>
      <c r="B31" s="183">
        <v>14</v>
      </c>
      <c r="C31" s="183"/>
      <c r="D31" s="183"/>
      <c r="E31" s="183"/>
      <c r="F31" s="183"/>
      <c r="G31" s="183">
        <v>14</v>
      </c>
      <c r="H31" s="183"/>
      <c r="I31" s="183"/>
      <c r="J31" s="183"/>
      <c r="K31" s="183"/>
      <c r="L31" s="183"/>
      <c r="M31" s="183">
        <v>14</v>
      </c>
      <c r="N31" s="183"/>
      <c r="O31" s="183"/>
      <c r="P31" s="183"/>
      <c r="Q31" s="183"/>
      <c r="R31" s="183"/>
      <c r="S31" s="183">
        <v>14</v>
      </c>
      <c r="T31" s="183"/>
      <c r="U31" s="183"/>
      <c r="V31" s="183"/>
      <c r="W31" s="183"/>
      <c r="X31" s="183"/>
      <c r="Y31" s="183">
        <v>14</v>
      </c>
      <c r="Z31" s="183"/>
      <c r="AA31" s="183"/>
      <c r="AB31" s="183"/>
      <c r="AC31" s="183"/>
      <c r="AD31" s="183"/>
      <c r="AE31" s="183">
        <v>14</v>
      </c>
      <c r="AF31" s="180"/>
    </row>
    <row r="32" spans="1:32">
      <c r="A32" s="180"/>
      <c r="B32" s="185"/>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0"/>
    </row>
    <row r="33" spans="1:32">
      <c r="A33" s="223" t="s">
        <v>154</v>
      </c>
      <c r="B33" s="224"/>
      <c r="C33" s="224"/>
      <c r="D33" s="224"/>
      <c r="E33" s="224"/>
      <c r="F33" s="224"/>
      <c r="G33" s="224"/>
      <c r="H33" s="224"/>
      <c r="I33" s="224"/>
      <c r="J33" s="224"/>
      <c r="K33" s="224"/>
      <c r="L33" s="224"/>
      <c r="M33" s="224"/>
      <c r="N33" s="224"/>
      <c r="O33" s="224"/>
      <c r="P33" s="224"/>
      <c r="Q33" s="224"/>
      <c r="R33" s="224"/>
      <c r="S33" s="224"/>
      <c r="T33" s="224"/>
      <c r="U33" s="224"/>
      <c r="V33" s="224"/>
      <c r="W33" s="224"/>
      <c r="X33" s="224"/>
      <c r="Y33" s="224"/>
      <c r="Z33" s="224"/>
      <c r="AA33" s="224"/>
      <c r="AB33" s="224"/>
      <c r="AC33" s="224"/>
      <c r="AD33" s="224"/>
      <c r="AE33" s="224"/>
      <c r="AF33" s="180"/>
    </row>
    <row r="34" spans="1:32">
      <c r="A34" s="224"/>
      <c r="B34" s="224"/>
      <c r="C34" s="224"/>
      <c r="D34" s="224"/>
      <c r="E34" s="224"/>
      <c r="F34" s="224"/>
      <c r="G34" s="224"/>
      <c r="H34" s="224"/>
      <c r="I34" s="224"/>
      <c r="J34" s="224"/>
      <c r="K34" s="224"/>
      <c r="L34" s="224"/>
      <c r="M34" s="224"/>
      <c r="N34" s="224"/>
      <c r="O34" s="224"/>
      <c r="P34" s="224"/>
      <c r="Q34" s="224"/>
      <c r="R34" s="224"/>
      <c r="S34" s="224"/>
      <c r="T34" s="224"/>
      <c r="U34" s="224"/>
      <c r="V34" s="224"/>
      <c r="W34" s="224"/>
      <c r="X34" s="224"/>
      <c r="Y34" s="224"/>
      <c r="Z34" s="224"/>
      <c r="AA34" s="224"/>
      <c r="AB34" s="224"/>
      <c r="AC34" s="224"/>
      <c r="AD34" s="224"/>
      <c r="AE34" s="224"/>
      <c r="AF34" s="180"/>
    </row>
    <row r="35" spans="1:32" ht="14.5" customHeight="1">
      <c r="A35" s="212" t="s">
        <v>158</v>
      </c>
      <c r="B35" s="212"/>
      <c r="C35" s="212"/>
      <c r="D35" s="212"/>
      <c r="E35" s="212"/>
      <c r="F35" s="212"/>
      <c r="G35" s="212"/>
      <c r="H35" s="212"/>
      <c r="I35" s="212"/>
      <c r="J35" s="212"/>
      <c r="K35" s="212"/>
      <c r="L35" s="212"/>
      <c r="M35" s="212"/>
      <c r="N35" s="212"/>
      <c r="O35" s="212"/>
      <c r="P35" s="212"/>
      <c r="Q35" s="212"/>
      <c r="R35" s="212"/>
      <c r="S35" s="212"/>
      <c r="T35" s="212"/>
      <c r="U35" s="212"/>
      <c r="V35" s="212"/>
      <c r="W35" s="212"/>
      <c r="X35" s="212"/>
      <c r="Y35" s="212"/>
      <c r="Z35" s="212"/>
      <c r="AA35" s="212"/>
      <c r="AB35" s="212"/>
      <c r="AC35" s="212"/>
      <c r="AD35" s="212"/>
      <c r="AE35" s="212"/>
      <c r="AF35" s="180"/>
    </row>
    <row r="36" spans="1:32">
      <c r="A36" s="186"/>
      <c r="B36" s="201"/>
      <c r="C36" s="202"/>
      <c r="D36" s="203"/>
      <c r="E36" s="201" t="s">
        <v>168</v>
      </c>
      <c r="F36" s="202"/>
      <c r="G36" s="202"/>
      <c r="H36" s="202"/>
      <c r="I36" s="202"/>
      <c r="J36" s="202"/>
      <c r="K36" s="203"/>
      <c r="L36" s="201" t="s">
        <v>169</v>
      </c>
      <c r="M36" s="202"/>
      <c r="N36" s="202"/>
      <c r="O36" s="202"/>
      <c r="P36" s="202"/>
      <c r="Q36" s="202"/>
      <c r="R36" s="203"/>
      <c r="S36" s="201" t="s">
        <v>170</v>
      </c>
      <c r="T36" s="202"/>
      <c r="U36" s="202"/>
      <c r="V36" s="202"/>
      <c r="W36" s="202"/>
      <c r="X36" s="202"/>
      <c r="Y36" s="203"/>
      <c r="Z36" s="201" t="s">
        <v>171</v>
      </c>
      <c r="AA36" s="202"/>
      <c r="AB36" s="202"/>
      <c r="AC36" s="202"/>
      <c r="AD36" s="202"/>
      <c r="AE36" s="203"/>
      <c r="AF36" s="180"/>
    </row>
    <row r="37" spans="1:32">
      <c r="A37" s="182" t="s">
        <v>140</v>
      </c>
      <c r="B37" s="182">
        <v>1</v>
      </c>
      <c r="C37" s="182">
        <v>2</v>
      </c>
      <c r="D37" s="182">
        <v>3</v>
      </c>
      <c r="E37" s="182">
        <v>4</v>
      </c>
      <c r="F37" s="182">
        <v>5</v>
      </c>
      <c r="G37" s="182">
        <v>6</v>
      </c>
      <c r="H37" s="182">
        <v>7</v>
      </c>
      <c r="I37" s="182">
        <v>8</v>
      </c>
      <c r="J37" s="182">
        <v>9</v>
      </c>
      <c r="K37" s="182">
        <v>10</v>
      </c>
      <c r="L37" s="182">
        <v>11</v>
      </c>
      <c r="M37" s="182">
        <v>12</v>
      </c>
      <c r="N37" s="182">
        <v>13</v>
      </c>
      <c r="O37" s="182">
        <v>14</v>
      </c>
      <c r="P37" s="182">
        <v>15</v>
      </c>
      <c r="Q37" s="182">
        <v>16</v>
      </c>
      <c r="R37" s="182">
        <v>17</v>
      </c>
      <c r="S37" s="182">
        <v>18</v>
      </c>
      <c r="T37" s="182">
        <v>19</v>
      </c>
      <c r="U37" s="182">
        <v>20</v>
      </c>
      <c r="V37" s="182">
        <v>21</v>
      </c>
      <c r="W37" s="182">
        <v>22</v>
      </c>
      <c r="X37" s="182">
        <v>23</v>
      </c>
      <c r="Y37" s="182">
        <v>24</v>
      </c>
      <c r="Z37" s="182">
        <v>25</v>
      </c>
      <c r="AA37" s="182">
        <v>26</v>
      </c>
      <c r="AB37" s="182">
        <v>27</v>
      </c>
      <c r="AC37" s="182">
        <v>28</v>
      </c>
      <c r="AD37" s="182">
        <v>29</v>
      </c>
      <c r="AE37" s="182">
        <v>30</v>
      </c>
      <c r="AF37" s="180"/>
    </row>
    <row r="38" spans="1:32">
      <c r="A38" s="182" t="s">
        <v>141</v>
      </c>
      <c r="B38" s="183"/>
      <c r="C38" s="183"/>
      <c r="D38" s="183"/>
      <c r="E38" s="183"/>
      <c r="F38" s="183"/>
      <c r="G38" s="183">
        <v>10</v>
      </c>
      <c r="H38" s="183"/>
      <c r="I38" s="183"/>
      <c r="J38" s="183"/>
      <c r="K38" s="183"/>
      <c r="L38" s="183"/>
      <c r="M38" s="183">
        <v>10</v>
      </c>
      <c r="N38" s="183"/>
      <c r="O38" s="183"/>
      <c r="P38" s="183"/>
      <c r="Q38" s="183"/>
      <c r="R38" s="183"/>
      <c r="S38" s="183">
        <v>10</v>
      </c>
      <c r="T38" s="183"/>
      <c r="U38" s="183"/>
      <c r="V38" s="183"/>
      <c r="W38" s="183"/>
      <c r="X38" s="183"/>
      <c r="Y38" s="183">
        <v>10</v>
      </c>
      <c r="Z38" s="183"/>
      <c r="AA38" s="183"/>
      <c r="AB38" s="183"/>
      <c r="AC38" s="183"/>
      <c r="AD38" s="183"/>
      <c r="AE38" s="183">
        <v>10</v>
      </c>
      <c r="AF38" s="180"/>
    </row>
    <row r="39" spans="1:32">
      <c r="A39" s="182" t="s">
        <v>142</v>
      </c>
      <c r="B39" s="183"/>
      <c r="C39" s="183"/>
      <c r="D39" s="183"/>
      <c r="E39" s="183"/>
      <c r="F39" s="183"/>
      <c r="G39" s="184">
        <v>14</v>
      </c>
      <c r="H39" s="183"/>
      <c r="I39" s="183"/>
      <c r="J39" s="183"/>
      <c r="K39" s="183"/>
      <c r="L39" s="183"/>
      <c r="M39" s="183">
        <v>14</v>
      </c>
      <c r="N39" s="183"/>
      <c r="O39" s="183"/>
      <c r="P39" s="183"/>
      <c r="Q39" s="183"/>
      <c r="R39" s="183"/>
      <c r="S39" s="183">
        <v>10</v>
      </c>
      <c r="T39" s="183"/>
      <c r="U39" s="183"/>
      <c r="V39" s="183"/>
      <c r="W39" s="183"/>
      <c r="X39" s="183"/>
      <c r="Y39" s="183">
        <v>10</v>
      </c>
      <c r="Z39" s="183"/>
      <c r="AA39" s="183"/>
      <c r="AB39" s="183"/>
      <c r="AC39" s="183"/>
      <c r="AD39" s="183"/>
      <c r="AE39" s="184">
        <v>10</v>
      </c>
      <c r="AF39" s="180"/>
    </row>
    <row r="40" spans="1:32" ht="14.5" customHeight="1">
      <c r="A40" s="182" t="s">
        <v>155</v>
      </c>
      <c r="B40" s="183">
        <v>40</v>
      </c>
      <c r="C40" s="183">
        <v>40</v>
      </c>
      <c r="D40" s="183">
        <v>40</v>
      </c>
      <c r="E40" s="183">
        <v>40</v>
      </c>
      <c r="F40" s="183">
        <v>40</v>
      </c>
      <c r="G40" s="187">
        <v>44</v>
      </c>
      <c r="H40" s="183">
        <v>44</v>
      </c>
      <c r="I40" s="183">
        <v>44</v>
      </c>
      <c r="J40" s="183">
        <v>44</v>
      </c>
      <c r="K40" s="183">
        <v>44</v>
      </c>
      <c r="L40" s="183">
        <v>44</v>
      </c>
      <c r="M40" s="183">
        <v>48</v>
      </c>
      <c r="N40" s="183">
        <v>48</v>
      </c>
      <c r="O40" s="183">
        <v>48</v>
      </c>
      <c r="P40" s="183">
        <v>48</v>
      </c>
      <c r="Q40" s="183">
        <v>48</v>
      </c>
      <c r="R40" s="183">
        <v>48</v>
      </c>
      <c r="S40" s="183">
        <v>48</v>
      </c>
      <c r="T40" s="183">
        <v>48</v>
      </c>
      <c r="U40" s="183">
        <v>48</v>
      </c>
      <c r="V40" s="183">
        <v>48</v>
      </c>
      <c r="W40" s="183">
        <v>48</v>
      </c>
      <c r="X40" s="183">
        <v>48</v>
      </c>
      <c r="Y40" s="183">
        <v>48</v>
      </c>
      <c r="Z40" s="183">
        <v>48</v>
      </c>
      <c r="AA40" s="183">
        <v>48</v>
      </c>
      <c r="AB40" s="183">
        <v>48</v>
      </c>
      <c r="AC40" s="183">
        <v>48</v>
      </c>
      <c r="AD40" s="183">
        <v>48</v>
      </c>
      <c r="AE40" s="184">
        <v>48</v>
      </c>
      <c r="AF40" s="180"/>
    </row>
    <row r="41" spans="1:32" ht="14.5" customHeight="1">
      <c r="A41" s="182" t="s">
        <v>143</v>
      </c>
      <c r="B41" s="183">
        <v>14</v>
      </c>
      <c r="C41" s="183"/>
      <c r="D41" s="183"/>
      <c r="E41" s="183"/>
      <c r="F41" s="183"/>
      <c r="G41" s="183">
        <v>14</v>
      </c>
      <c r="H41" s="183"/>
      <c r="I41" s="183"/>
      <c r="J41" s="183"/>
      <c r="K41" s="183"/>
      <c r="L41" s="183"/>
      <c r="M41" s="183">
        <v>10</v>
      </c>
      <c r="N41" s="183"/>
      <c r="O41" s="183"/>
      <c r="P41" s="183"/>
      <c r="Q41" s="183"/>
      <c r="R41" s="183"/>
      <c r="S41" s="183">
        <v>10</v>
      </c>
      <c r="T41" s="183"/>
      <c r="U41" s="183"/>
      <c r="V41" s="183"/>
      <c r="W41" s="183"/>
      <c r="X41" s="183"/>
      <c r="Y41" s="183">
        <v>10</v>
      </c>
      <c r="Z41" s="183"/>
      <c r="AA41" s="183"/>
      <c r="AB41" s="183"/>
      <c r="AC41" s="183"/>
      <c r="AD41" s="183"/>
      <c r="AE41" s="183">
        <v>10</v>
      </c>
      <c r="AF41" s="180"/>
    </row>
    <row r="42" spans="1:32" ht="14.5" customHeight="1">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row>
    <row r="43" spans="1:32" ht="14.5" customHeight="1">
      <c r="A43" s="180"/>
      <c r="B43" s="180"/>
      <c r="C43" s="180"/>
      <c r="D43" s="180"/>
      <c r="E43" s="180"/>
      <c r="F43" s="180"/>
      <c r="G43" s="180"/>
      <c r="H43" s="180"/>
      <c r="I43" s="180"/>
      <c r="J43" s="180"/>
      <c r="K43" s="180"/>
      <c r="L43" s="180"/>
      <c r="M43" s="180"/>
      <c r="N43" s="180"/>
      <c r="O43" s="180"/>
      <c r="P43" s="180"/>
      <c r="Q43" s="180"/>
      <c r="R43" s="180"/>
      <c r="S43" s="180"/>
      <c r="T43" s="180"/>
      <c r="U43" s="180"/>
      <c r="V43" s="180"/>
      <c r="W43" s="204" t="s">
        <v>146</v>
      </c>
      <c r="X43" s="205"/>
      <c r="Y43" s="205"/>
      <c r="Z43" s="205"/>
      <c r="AA43" s="205"/>
      <c r="AB43" s="205"/>
      <c r="AC43" s="205"/>
      <c r="AD43" s="206"/>
      <c r="AE43" s="210"/>
      <c r="AF43" s="180"/>
    </row>
    <row r="44" spans="1:32" ht="14.5" customHeight="1">
      <c r="A44" s="219"/>
      <c r="B44" s="225" t="s">
        <v>152</v>
      </c>
      <c r="C44" s="226"/>
      <c r="D44" s="226"/>
      <c r="E44" s="226"/>
      <c r="F44" s="226"/>
      <c r="G44" s="226"/>
      <c r="H44" s="227"/>
      <c r="I44" s="225" t="s">
        <v>144</v>
      </c>
      <c r="J44" s="227"/>
      <c r="K44" s="180"/>
      <c r="L44" s="180"/>
      <c r="M44" s="180"/>
      <c r="N44" s="180"/>
      <c r="O44" s="180"/>
      <c r="P44" s="180"/>
      <c r="Q44" s="180"/>
      <c r="R44" s="180"/>
      <c r="S44" s="180"/>
      <c r="T44" s="180"/>
      <c r="U44" s="180"/>
      <c r="V44" s="180"/>
      <c r="W44" s="207"/>
      <c r="X44" s="208"/>
      <c r="Y44" s="208"/>
      <c r="Z44" s="208"/>
      <c r="AA44" s="208"/>
      <c r="AB44" s="208"/>
      <c r="AC44" s="208"/>
      <c r="AD44" s="209"/>
      <c r="AE44" s="211"/>
      <c r="AF44" s="180"/>
    </row>
    <row r="45" spans="1:32">
      <c r="A45" s="219"/>
      <c r="B45" s="228"/>
      <c r="C45" s="229"/>
      <c r="D45" s="229"/>
      <c r="E45" s="229"/>
      <c r="F45" s="229"/>
      <c r="G45" s="229"/>
      <c r="H45" s="230"/>
      <c r="I45" s="228"/>
      <c r="J45" s="230"/>
      <c r="K45" s="180"/>
      <c r="L45" s="180"/>
      <c r="M45" s="180"/>
      <c r="N45" s="180"/>
      <c r="O45" s="180"/>
      <c r="P45" s="180"/>
      <c r="Q45" s="180"/>
      <c r="R45" s="180"/>
      <c r="S45" s="180"/>
      <c r="T45" s="180"/>
      <c r="U45" s="180"/>
      <c r="V45" s="180"/>
      <c r="W45" s="180"/>
      <c r="X45" s="180"/>
      <c r="Y45" s="180"/>
      <c r="Z45" s="180"/>
      <c r="AA45" s="180"/>
      <c r="AB45" s="180"/>
      <c r="AC45" s="180"/>
      <c r="AD45" s="180"/>
      <c r="AE45" s="180"/>
      <c r="AF45" s="180"/>
    </row>
    <row r="46" spans="1:32">
      <c r="A46" s="188"/>
      <c r="B46" s="220" t="s">
        <v>151</v>
      </c>
      <c r="C46" s="221"/>
      <c r="D46" s="222"/>
      <c r="E46" s="220" t="s">
        <v>150</v>
      </c>
      <c r="F46" s="222"/>
      <c r="G46" s="220" t="s">
        <v>144</v>
      </c>
      <c r="H46" s="222"/>
      <c r="I46" s="212" t="s">
        <v>172</v>
      </c>
      <c r="J46" s="212"/>
      <c r="K46" s="180"/>
      <c r="L46" s="180"/>
      <c r="M46" s="180"/>
      <c r="N46" s="180"/>
      <c r="O46" s="180"/>
      <c r="P46" s="180"/>
      <c r="Q46" s="180"/>
      <c r="R46" s="180"/>
      <c r="S46" s="180"/>
      <c r="T46" s="180"/>
      <c r="U46" s="180"/>
      <c r="V46" s="180"/>
      <c r="W46" s="180"/>
      <c r="X46" s="180"/>
      <c r="Y46" s="180"/>
      <c r="Z46" s="180"/>
      <c r="AA46" s="180"/>
      <c r="AB46" s="180"/>
      <c r="AC46" s="180"/>
      <c r="AD46" s="180"/>
      <c r="AE46" s="180"/>
      <c r="AF46" s="180"/>
    </row>
    <row r="47" spans="1:32">
      <c r="A47" s="182" t="s">
        <v>148</v>
      </c>
      <c r="B47" s="213">
        <f>SUM(B7:AE7)</f>
        <v>50</v>
      </c>
      <c r="C47" s="213"/>
      <c r="D47" s="213"/>
      <c r="E47" s="213">
        <v>48</v>
      </c>
      <c r="F47" s="213"/>
      <c r="G47" s="213">
        <f>SUM(B15:AE15)</f>
        <v>5</v>
      </c>
      <c r="H47" s="213"/>
      <c r="I47" s="218">
        <f>SUM(B15:AE15)</f>
        <v>5</v>
      </c>
      <c r="J47" s="218"/>
      <c r="K47" s="180"/>
      <c r="L47" s="180"/>
      <c r="M47" s="180"/>
      <c r="N47" s="180"/>
      <c r="O47" s="180"/>
      <c r="P47" s="180"/>
      <c r="Q47" s="180"/>
      <c r="R47" s="180"/>
      <c r="S47" s="180"/>
      <c r="T47" s="180"/>
      <c r="U47" s="180"/>
      <c r="V47" s="180"/>
      <c r="W47" s="180"/>
      <c r="X47" s="180"/>
      <c r="Y47" s="180"/>
      <c r="Z47" s="180"/>
      <c r="AA47" s="180"/>
      <c r="AB47" s="180"/>
      <c r="AC47" s="180"/>
      <c r="AD47" s="180"/>
      <c r="AE47" s="180"/>
      <c r="AF47" s="180"/>
    </row>
    <row r="48" spans="1:32">
      <c r="A48" s="182" t="s">
        <v>149</v>
      </c>
      <c r="B48" s="213">
        <f>B47*12</f>
        <v>600</v>
      </c>
      <c r="C48" s="213"/>
      <c r="D48" s="213"/>
      <c r="E48" s="213">
        <f>E47</f>
        <v>48</v>
      </c>
      <c r="F48" s="213"/>
      <c r="G48" s="213">
        <f>G47*12</f>
        <v>60</v>
      </c>
      <c r="H48" s="213"/>
      <c r="I48" s="218">
        <f>I47*12</f>
        <v>60</v>
      </c>
      <c r="J48" s="218"/>
      <c r="K48" s="180"/>
      <c r="L48" s="180"/>
      <c r="M48" s="180"/>
      <c r="N48" s="180"/>
      <c r="O48" s="180"/>
      <c r="P48" s="180"/>
      <c r="Q48" s="180"/>
      <c r="R48" s="180"/>
      <c r="S48" s="180"/>
      <c r="T48" s="180"/>
      <c r="U48" s="180"/>
      <c r="V48" s="180"/>
      <c r="W48" s="180"/>
      <c r="X48" s="180"/>
      <c r="Y48" s="180"/>
      <c r="Z48" s="180"/>
      <c r="AA48" s="180"/>
      <c r="AB48" s="180"/>
      <c r="AC48" s="180"/>
      <c r="AD48" s="180"/>
      <c r="AE48" s="180"/>
      <c r="AF48" s="180"/>
    </row>
    <row r="49" spans="1:32">
      <c r="A49" s="214" t="s">
        <v>41</v>
      </c>
      <c r="B49" s="215">
        <f>B48+E48</f>
        <v>648</v>
      </c>
      <c r="C49" s="216"/>
      <c r="D49" s="216"/>
      <c r="E49" s="216"/>
      <c r="F49" s="217"/>
      <c r="G49" s="213">
        <f>G48</f>
        <v>60</v>
      </c>
      <c r="H49" s="213"/>
      <c r="I49" s="218">
        <f>I48</f>
        <v>60</v>
      </c>
      <c r="J49" s="218"/>
      <c r="K49" s="180"/>
      <c r="L49" s="180"/>
      <c r="M49" s="180"/>
      <c r="N49" s="180"/>
      <c r="O49" s="180"/>
      <c r="P49" s="180"/>
      <c r="Q49" s="180"/>
      <c r="R49" s="180"/>
      <c r="S49" s="180"/>
      <c r="T49" s="180"/>
      <c r="U49" s="180"/>
      <c r="V49" s="180"/>
      <c r="W49" s="180"/>
      <c r="X49" s="180"/>
      <c r="Y49" s="180"/>
      <c r="Z49" s="180"/>
      <c r="AA49" s="180"/>
      <c r="AB49" s="180"/>
      <c r="AC49" s="180"/>
      <c r="AD49" s="180"/>
      <c r="AE49" s="180"/>
      <c r="AF49" s="180"/>
    </row>
    <row r="50" spans="1:32">
      <c r="A50" s="214"/>
      <c r="B50" s="215">
        <f>B49+G49</f>
        <v>708</v>
      </c>
      <c r="C50" s="216"/>
      <c r="D50" s="216"/>
      <c r="E50" s="216"/>
      <c r="F50" s="216"/>
      <c r="G50" s="216"/>
      <c r="H50" s="217"/>
      <c r="I50" s="218"/>
      <c r="J50" s="218"/>
      <c r="K50" s="180"/>
      <c r="L50" s="180"/>
      <c r="M50" s="180"/>
      <c r="N50" s="180"/>
      <c r="O50" s="180"/>
      <c r="P50" s="180"/>
      <c r="Q50" s="180"/>
      <c r="R50" s="180"/>
      <c r="S50" s="180"/>
      <c r="T50" s="180"/>
      <c r="U50" s="180"/>
      <c r="V50" s="180"/>
      <c r="W50" s="180"/>
      <c r="X50" s="180"/>
      <c r="Y50" s="180"/>
      <c r="Z50" s="180"/>
      <c r="AA50" s="180"/>
      <c r="AB50" s="180"/>
      <c r="AC50" s="180"/>
      <c r="AD50" s="180"/>
      <c r="AE50" s="180"/>
      <c r="AF50" s="180"/>
    </row>
    <row r="51" spans="1:32">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0"/>
      <c r="AB51" s="180"/>
      <c r="AC51" s="180"/>
      <c r="AD51" s="180"/>
      <c r="AE51" s="180"/>
      <c r="AF51" s="180"/>
    </row>
  </sheetData>
  <mergeCells count="59">
    <mergeCell ref="AC35:AE35"/>
    <mergeCell ref="A2:AE3"/>
    <mergeCell ref="A23:AE24"/>
    <mergeCell ref="AC4:AE4"/>
    <mergeCell ref="Z4:AB4"/>
    <mergeCell ref="AC12:AE12"/>
    <mergeCell ref="Z12:AB12"/>
    <mergeCell ref="A12:Y12"/>
    <mergeCell ref="A4:Y4"/>
    <mergeCell ref="B5:H5"/>
    <mergeCell ref="I5:O5"/>
    <mergeCell ref="P5:V5"/>
    <mergeCell ref="W5:AC5"/>
    <mergeCell ref="AD5:AE5"/>
    <mergeCell ref="B26:F26"/>
    <mergeCell ref="G26:M26"/>
    <mergeCell ref="E48:F48"/>
    <mergeCell ref="G48:H48"/>
    <mergeCell ref="B36:D36"/>
    <mergeCell ref="E36:K36"/>
    <mergeCell ref="Z25:AB25"/>
    <mergeCell ref="A25:Y25"/>
    <mergeCell ref="A33:AE34"/>
    <mergeCell ref="A35:Y35"/>
    <mergeCell ref="AE43:AE44"/>
    <mergeCell ref="B44:H45"/>
    <mergeCell ref="L36:R36"/>
    <mergeCell ref="S36:Y36"/>
    <mergeCell ref="Z36:AE36"/>
    <mergeCell ref="I44:J45"/>
    <mergeCell ref="I46:J46"/>
    <mergeCell ref="I47:J47"/>
    <mergeCell ref="G49:H49"/>
    <mergeCell ref="A49:A50"/>
    <mergeCell ref="B49:F49"/>
    <mergeCell ref="B50:H50"/>
    <mergeCell ref="Z35:AB35"/>
    <mergeCell ref="I48:J48"/>
    <mergeCell ref="I49:J50"/>
    <mergeCell ref="A44:A45"/>
    <mergeCell ref="B46:D46"/>
    <mergeCell ref="E46:F46"/>
    <mergeCell ref="G46:H46"/>
    <mergeCell ref="B47:D47"/>
    <mergeCell ref="B48:D48"/>
    <mergeCell ref="E47:F47"/>
    <mergeCell ref="G47:H47"/>
    <mergeCell ref="W43:AD44"/>
    <mergeCell ref="N26:T26"/>
    <mergeCell ref="U26:AA26"/>
    <mergeCell ref="AB26:AE26"/>
    <mergeCell ref="P13:V13"/>
    <mergeCell ref="W13:AC13"/>
    <mergeCell ref="AD13:AE13"/>
    <mergeCell ref="B13:H13"/>
    <mergeCell ref="I13:O13"/>
    <mergeCell ref="W20:AD21"/>
    <mergeCell ref="AE20:AE21"/>
    <mergeCell ref="AC25:AE25"/>
  </mergeCells>
  <pageMargins left="0.7" right="0.7" top="0.75" bottom="0.75" header="0.3" footer="0.3"/>
  <pageSetup paperSize="8"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62"/>
  <sheetViews>
    <sheetView zoomScale="70" zoomScaleNormal="70" workbookViewId="0">
      <selection activeCell="Q22" sqref="Q22"/>
    </sheetView>
  </sheetViews>
  <sheetFormatPr baseColWidth="10" defaultColWidth="8.83203125" defaultRowHeight="13"/>
  <cols>
    <col min="1" max="8" width="3.6640625" style="34" customWidth="1"/>
    <col min="9" max="9" width="5.1640625" style="34" customWidth="1"/>
    <col min="10" max="24" width="3.6640625" style="34" customWidth="1"/>
    <col min="25" max="25" width="3.1640625" style="34" customWidth="1"/>
    <col min="26" max="27" width="3.6640625" style="34" customWidth="1"/>
    <col min="28" max="28" width="5.1640625" style="34" customWidth="1"/>
    <col min="29" max="37" width="3.6640625" style="34" customWidth="1"/>
    <col min="38" max="38" width="5.1640625" style="34" customWidth="1"/>
    <col min="39" max="42" width="3.6640625" style="34" customWidth="1"/>
    <col min="43" max="43" width="8.5" style="34" customWidth="1"/>
    <col min="44" max="44" width="9" style="34" customWidth="1"/>
    <col min="45" max="45" width="11.5" style="34" customWidth="1"/>
    <col min="46" max="46" width="10" style="34" customWidth="1"/>
    <col min="47" max="54" width="8.83203125" style="34"/>
    <col min="55" max="55" width="26.1640625" style="34" customWidth="1"/>
    <col min="56" max="16384" width="8.83203125" style="34"/>
  </cols>
  <sheetData>
    <row r="1" spans="1:45" ht="31" thickBot="1">
      <c r="A1" s="159" t="s">
        <v>284</v>
      </c>
      <c r="B1" s="160"/>
      <c r="C1" s="160"/>
      <c r="D1" s="160"/>
      <c r="E1" s="160"/>
      <c r="F1" s="160"/>
      <c r="G1" s="160"/>
      <c r="H1" s="160"/>
      <c r="I1" s="160"/>
      <c r="J1" s="160"/>
      <c r="K1" s="160"/>
      <c r="L1" s="160"/>
      <c r="M1" s="160"/>
      <c r="N1" s="160"/>
      <c r="O1" s="35"/>
      <c r="P1" s="35"/>
      <c r="Q1" s="35"/>
      <c r="R1" s="35"/>
      <c r="S1" s="35"/>
      <c r="T1" s="35"/>
      <c r="U1" s="35"/>
      <c r="V1" s="35"/>
      <c r="W1" s="35"/>
      <c r="X1" s="35"/>
      <c r="Y1" s="35"/>
      <c r="Z1" s="304" t="s">
        <v>309</v>
      </c>
      <c r="AA1" s="304"/>
      <c r="AB1" s="304"/>
      <c r="AC1" s="304" t="s">
        <v>308</v>
      </c>
      <c r="AD1" s="304"/>
      <c r="AE1" s="304"/>
      <c r="AF1" s="304"/>
      <c r="AG1" s="304"/>
      <c r="AH1" s="304"/>
      <c r="AI1" s="35"/>
      <c r="AJ1" s="35"/>
      <c r="AK1" s="35"/>
      <c r="AL1" s="36" t="s">
        <v>283</v>
      </c>
      <c r="AM1" s="35"/>
      <c r="AN1" s="301"/>
      <c r="AO1" s="301"/>
      <c r="AP1" s="302"/>
      <c r="AQ1" s="131" t="s">
        <v>282</v>
      </c>
      <c r="AR1" s="132" t="s">
        <v>281</v>
      </c>
      <c r="AS1" s="131" t="s">
        <v>280</v>
      </c>
    </row>
    <row r="2" spans="1:45">
      <c r="A2" s="144"/>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2"/>
      <c r="AQ2" s="133" t="s">
        <v>279</v>
      </c>
      <c r="AR2" s="106" t="s">
        <v>139</v>
      </c>
      <c r="AS2" s="105" t="s">
        <v>278</v>
      </c>
    </row>
    <row r="3" spans="1:45">
      <c r="A3" s="145"/>
      <c r="AP3" s="146"/>
      <c r="AQ3" s="134"/>
      <c r="AR3" s="107"/>
      <c r="AS3" s="79"/>
    </row>
    <row r="4" spans="1:45">
      <c r="A4" s="145"/>
      <c r="AP4" s="146"/>
      <c r="AQ4" s="55" t="s">
        <v>195</v>
      </c>
      <c r="AR4" s="102" t="s">
        <v>196</v>
      </c>
      <c r="AS4" s="103" t="s">
        <v>197</v>
      </c>
    </row>
    <row r="5" spans="1:45">
      <c r="A5" s="145"/>
      <c r="AP5" s="146"/>
      <c r="AQ5" s="52"/>
      <c r="AR5" s="39"/>
      <c r="AS5" s="46"/>
    </row>
    <row r="6" spans="1:45">
      <c r="A6" s="145"/>
      <c r="AP6" s="146"/>
      <c r="AQ6" s="135"/>
      <c r="AR6" s="40" t="s">
        <v>139</v>
      </c>
      <c r="AS6" s="79"/>
    </row>
    <row r="7" spans="1:45">
      <c r="A7" s="145"/>
      <c r="AP7" s="146"/>
      <c r="AQ7" s="55" t="s">
        <v>198</v>
      </c>
      <c r="AR7" s="102" t="s">
        <v>199</v>
      </c>
      <c r="AS7" s="47" t="s">
        <v>200</v>
      </c>
    </row>
    <row r="8" spans="1:45">
      <c r="A8" s="145"/>
      <c r="AP8" s="146"/>
      <c r="AQ8" s="52"/>
      <c r="AR8" s="39"/>
      <c r="AS8" s="47" t="s">
        <v>138</v>
      </c>
    </row>
    <row r="9" spans="1:45">
      <c r="A9" s="145"/>
      <c r="AE9" s="303" t="s">
        <v>287</v>
      </c>
      <c r="AF9" s="303"/>
      <c r="AG9" s="303"/>
      <c r="AH9" s="303"/>
      <c r="AI9" s="303"/>
      <c r="AP9" s="146"/>
      <c r="AQ9" s="54" t="s">
        <v>139</v>
      </c>
      <c r="AR9" s="40" t="s">
        <v>139</v>
      </c>
      <c r="AS9" s="79"/>
    </row>
    <row r="10" spans="1:45">
      <c r="A10" s="145"/>
      <c r="AE10" s="303">
        <f>ROUNDUP(J13/4,0)</f>
        <v>14</v>
      </c>
      <c r="AF10" s="303"/>
      <c r="AG10" s="303"/>
      <c r="AH10" s="303"/>
      <c r="AI10" s="303"/>
      <c r="AP10" s="146"/>
      <c r="AQ10" s="68" t="s">
        <v>201</v>
      </c>
      <c r="AR10" s="73" t="s">
        <v>202</v>
      </c>
      <c r="AS10" s="64" t="s">
        <v>202</v>
      </c>
    </row>
    <row r="11" spans="1:45">
      <c r="A11" s="145"/>
      <c r="AP11" s="146"/>
      <c r="AQ11" s="53"/>
      <c r="AR11" s="37"/>
      <c r="AS11" s="46"/>
    </row>
    <row r="12" spans="1:45">
      <c r="A12" s="145"/>
      <c r="J12" s="303" t="s">
        <v>285</v>
      </c>
      <c r="K12" s="303"/>
      <c r="L12" s="303"/>
      <c r="M12" s="303"/>
      <c r="N12" s="303"/>
      <c r="AP12" s="146"/>
      <c r="AQ12" s="54" t="s">
        <v>139</v>
      </c>
      <c r="AR12" s="38" t="s">
        <v>139</v>
      </c>
      <c r="AS12" s="46"/>
    </row>
    <row r="13" spans="1:45">
      <c r="A13" s="145"/>
      <c r="J13" s="303">
        <v>55</v>
      </c>
      <c r="K13" s="303"/>
      <c r="L13" s="303"/>
      <c r="M13" s="303"/>
      <c r="N13" s="303"/>
      <c r="AB13" s="303" t="s">
        <v>286</v>
      </c>
      <c r="AC13" s="305"/>
      <c r="AD13" s="305"/>
      <c r="AE13" s="305"/>
      <c r="AF13" s="305"/>
      <c r="AG13" s="305"/>
      <c r="AP13" s="146"/>
      <c r="AQ13" s="63" t="s">
        <v>203</v>
      </c>
      <c r="AR13" s="72" t="s">
        <v>204</v>
      </c>
      <c r="AS13" s="78"/>
    </row>
    <row r="14" spans="1:45">
      <c r="A14" s="145"/>
      <c r="AB14" s="305"/>
      <c r="AC14" s="305"/>
      <c r="AD14" s="305"/>
      <c r="AE14" s="305"/>
      <c r="AF14" s="305"/>
      <c r="AG14" s="305"/>
      <c r="AP14" s="146"/>
      <c r="AQ14" s="55"/>
      <c r="AR14" s="71" t="s">
        <v>139</v>
      </c>
      <c r="AS14" s="79"/>
    </row>
    <row r="15" spans="1:45">
      <c r="A15" s="145"/>
      <c r="AP15" s="146"/>
      <c r="AQ15" s="69" t="s">
        <v>205</v>
      </c>
      <c r="AR15" s="90" t="s">
        <v>206</v>
      </c>
      <c r="AS15" s="65" t="s">
        <v>207</v>
      </c>
    </row>
    <row r="16" spans="1:45">
      <c r="A16" s="145"/>
      <c r="AP16" s="146"/>
      <c r="AQ16" s="55" t="s">
        <v>208</v>
      </c>
      <c r="AR16" s="37"/>
      <c r="AS16" s="47" t="s">
        <v>209</v>
      </c>
    </row>
    <row r="17" spans="1:45">
      <c r="A17" s="145"/>
      <c r="AP17" s="146"/>
      <c r="AQ17" s="55"/>
      <c r="AR17" s="37"/>
      <c r="AS17" s="47"/>
    </row>
    <row r="18" spans="1:45" ht="14" thickBot="1">
      <c r="A18" s="145"/>
      <c r="AP18" s="146"/>
      <c r="AQ18" s="54" t="s">
        <v>139</v>
      </c>
      <c r="AR18" s="37"/>
      <c r="AS18" s="48"/>
    </row>
    <row r="19" spans="1:45">
      <c r="A19" s="145"/>
      <c r="AP19" s="146"/>
      <c r="AQ19" s="70" t="s">
        <v>210</v>
      </c>
      <c r="AR19" s="74" t="s">
        <v>211</v>
      </c>
      <c r="AS19" s="87" t="s">
        <v>212</v>
      </c>
    </row>
    <row r="20" spans="1:45">
      <c r="A20" s="145"/>
      <c r="AP20" s="146"/>
      <c r="AQ20" s="56" t="s">
        <v>213</v>
      </c>
      <c r="AR20" s="75" t="s">
        <v>214</v>
      </c>
      <c r="AS20" s="88" t="s">
        <v>215</v>
      </c>
    </row>
    <row r="21" spans="1:45">
      <c r="A21" s="145"/>
      <c r="AP21" s="146"/>
      <c r="AQ21" s="56" t="s">
        <v>139</v>
      </c>
      <c r="AR21" s="76" t="s">
        <v>216</v>
      </c>
      <c r="AS21" s="88"/>
    </row>
    <row r="22" spans="1:45">
      <c r="A22" s="145"/>
      <c r="AP22" s="146"/>
      <c r="AQ22" s="57" t="s">
        <v>139</v>
      </c>
      <c r="AR22" s="77" t="s">
        <v>139</v>
      </c>
      <c r="AS22" s="49"/>
    </row>
    <row r="23" spans="1:45">
      <c r="A23" s="145"/>
      <c r="AP23" s="146"/>
      <c r="AQ23" s="58" t="s">
        <v>217</v>
      </c>
      <c r="AR23" s="100" t="s">
        <v>218</v>
      </c>
      <c r="AS23" s="98" t="s">
        <v>210</v>
      </c>
    </row>
    <row r="24" spans="1:45">
      <c r="A24" s="145"/>
      <c r="AP24" s="146"/>
      <c r="AQ24" s="58" t="s">
        <v>219</v>
      </c>
      <c r="AR24" s="101" t="s">
        <v>217</v>
      </c>
      <c r="AS24" s="98" t="s">
        <v>217</v>
      </c>
    </row>
    <row r="25" spans="1:45">
      <c r="A25" s="145"/>
      <c r="AP25" s="146"/>
      <c r="AQ25" s="58"/>
      <c r="AR25" s="44"/>
      <c r="AS25" s="98"/>
    </row>
    <row r="26" spans="1:45">
      <c r="A26" s="145"/>
      <c r="AP26" s="146"/>
      <c r="AQ26" s="59" t="s">
        <v>139</v>
      </c>
      <c r="AR26" s="45"/>
      <c r="AS26" s="99"/>
    </row>
    <row r="27" spans="1:45">
      <c r="A27" s="145"/>
      <c r="AP27" s="146"/>
      <c r="AQ27" s="58" t="s">
        <v>209</v>
      </c>
      <c r="AR27" s="44" t="s">
        <v>220</v>
      </c>
      <c r="AS27" s="84" t="s">
        <v>221</v>
      </c>
    </row>
    <row r="28" spans="1:45">
      <c r="A28" s="145"/>
      <c r="AP28" s="146"/>
      <c r="AQ28" s="58" t="s">
        <v>217</v>
      </c>
      <c r="AR28" s="44" t="s">
        <v>222</v>
      </c>
      <c r="AS28" s="89"/>
    </row>
    <row r="29" spans="1:45">
      <c r="A29" s="145"/>
      <c r="AP29" s="146"/>
      <c r="AQ29" s="58"/>
      <c r="AR29" s="44"/>
      <c r="AS29" s="85"/>
    </row>
    <row r="30" spans="1:45">
      <c r="A30" s="145"/>
      <c r="AP30" s="146"/>
      <c r="AQ30" s="59"/>
      <c r="AR30" s="45"/>
      <c r="AS30" s="86"/>
    </row>
    <row r="31" spans="1:45">
      <c r="A31" s="145"/>
      <c r="AP31" s="146"/>
      <c r="AQ31" s="67" t="s">
        <v>223</v>
      </c>
      <c r="AR31" s="67" t="s">
        <v>224</v>
      </c>
      <c r="AS31" s="50" t="s">
        <v>225</v>
      </c>
    </row>
    <row r="32" spans="1:45">
      <c r="A32" s="145"/>
      <c r="AP32" s="146"/>
      <c r="AQ32" s="61" t="s">
        <v>226</v>
      </c>
      <c r="AR32" s="61" t="s">
        <v>139</v>
      </c>
      <c r="AS32" s="66" t="s">
        <v>227</v>
      </c>
    </row>
    <row r="33" spans="1:45">
      <c r="A33" s="145"/>
      <c r="AP33" s="146"/>
      <c r="AQ33" s="61"/>
      <c r="AR33" s="61"/>
      <c r="AS33" s="50"/>
    </row>
    <row r="34" spans="1:45" ht="15">
      <c r="A34" s="145"/>
      <c r="H34" s="299" t="s">
        <v>291</v>
      </c>
      <c r="I34" s="300"/>
      <c r="J34" s="295" t="s">
        <v>296</v>
      </c>
      <c r="K34" s="295"/>
      <c r="O34" s="299" t="s">
        <v>291</v>
      </c>
      <c r="P34" s="300"/>
      <c r="Q34" s="295" t="s">
        <v>288</v>
      </c>
      <c r="R34" s="295"/>
      <c r="U34" s="299" t="s">
        <v>291</v>
      </c>
      <c r="V34" s="300"/>
      <c r="W34" s="295" t="s">
        <v>289</v>
      </c>
      <c r="X34" s="295"/>
      <c r="AA34" s="299" t="s">
        <v>291</v>
      </c>
      <c r="AB34" s="300"/>
      <c r="AC34" s="295" t="s">
        <v>290</v>
      </c>
      <c r="AD34" s="295"/>
      <c r="AG34" s="299" t="s">
        <v>291</v>
      </c>
      <c r="AH34" s="300"/>
      <c r="AI34" s="295" t="s">
        <v>288</v>
      </c>
      <c r="AJ34" s="295"/>
      <c r="AP34" s="146"/>
      <c r="AQ34" s="62"/>
      <c r="AR34" s="62"/>
      <c r="AS34" s="51"/>
    </row>
    <row r="35" spans="1:45" ht="15">
      <c r="A35" s="145"/>
      <c r="H35" s="299" t="s">
        <v>292</v>
      </c>
      <c r="I35" s="300"/>
      <c r="J35" s="295"/>
      <c r="K35" s="295"/>
      <c r="O35" s="299" t="s">
        <v>292</v>
      </c>
      <c r="P35" s="300"/>
      <c r="Q35" s="295"/>
      <c r="R35" s="295"/>
      <c r="U35" s="299" t="s">
        <v>292</v>
      </c>
      <c r="V35" s="300"/>
      <c r="W35" s="295"/>
      <c r="X35" s="295"/>
      <c r="AA35" s="299" t="s">
        <v>292</v>
      </c>
      <c r="AB35" s="300"/>
      <c r="AC35" s="295"/>
      <c r="AD35" s="295"/>
      <c r="AG35" s="299" t="s">
        <v>292</v>
      </c>
      <c r="AH35" s="300"/>
      <c r="AI35" s="295"/>
      <c r="AJ35" s="295"/>
      <c r="AP35" s="146"/>
      <c r="AQ35" s="61" t="s">
        <v>228</v>
      </c>
      <c r="AR35" s="80" t="s">
        <v>229</v>
      </c>
      <c r="AS35" s="84"/>
    </row>
    <row r="36" spans="1:45" ht="15">
      <c r="A36" s="145"/>
      <c r="H36" s="299" t="s">
        <v>293</v>
      </c>
      <c r="I36" s="300"/>
      <c r="J36" s="295"/>
      <c r="K36" s="295"/>
      <c r="O36" s="299" t="s">
        <v>293</v>
      </c>
      <c r="P36" s="300"/>
      <c r="Q36" s="295"/>
      <c r="R36" s="295"/>
      <c r="U36" s="299" t="s">
        <v>293</v>
      </c>
      <c r="V36" s="300"/>
      <c r="W36" s="295"/>
      <c r="X36" s="295"/>
      <c r="AA36" s="299" t="s">
        <v>293</v>
      </c>
      <c r="AB36" s="300"/>
      <c r="AC36" s="295"/>
      <c r="AD36" s="295"/>
      <c r="AG36" s="299" t="s">
        <v>293</v>
      </c>
      <c r="AH36" s="300"/>
      <c r="AI36" s="295"/>
      <c r="AJ36" s="295"/>
      <c r="AP36" s="146"/>
      <c r="AQ36" s="60"/>
      <c r="AR36" s="81"/>
      <c r="AS36" s="85"/>
    </row>
    <row r="37" spans="1:45" ht="15">
      <c r="A37" s="145"/>
      <c r="H37" s="299" t="s">
        <v>294</v>
      </c>
      <c r="I37" s="300"/>
      <c r="J37" s="295"/>
      <c r="K37" s="295"/>
      <c r="O37" s="299" t="s">
        <v>294</v>
      </c>
      <c r="P37" s="300"/>
      <c r="Q37" s="295"/>
      <c r="R37" s="295"/>
      <c r="U37" s="299" t="s">
        <v>294</v>
      </c>
      <c r="V37" s="300"/>
      <c r="W37" s="295"/>
      <c r="X37" s="295"/>
      <c r="AA37" s="299" t="s">
        <v>294</v>
      </c>
      <c r="AB37" s="300"/>
      <c r="AC37" s="295"/>
      <c r="AD37" s="295"/>
      <c r="AG37" s="299" t="s">
        <v>294</v>
      </c>
      <c r="AH37" s="300"/>
      <c r="AI37" s="295"/>
      <c r="AJ37" s="295"/>
      <c r="AP37" s="146"/>
      <c r="AQ37" s="62" t="s">
        <v>139</v>
      </c>
      <c r="AR37" s="82"/>
      <c r="AS37" s="86"/>
    </row>
    <row r="38" spans="1:45" ht="15">
      <c r="A38" s="145"/>
      <c r="H38" s="299" t="s">
        <v>295</v>
      </c>
      <c r="I38" s="300"/>
      <c r="J38" s="295"/>
      <c r="K38" s="295"/>
      <c r="O38" s="299" t="s">
        <v>295</v>
      </c>
      <c r="P38" s="300"/>
      <c r="Q38" s="295"/>
      <c r="R38" s="295"/>
      <c r="U38" s="299" t="s">
        <v>295</v>
      </c>
      <c r="V38" s="300"/>
      <c r="W38" s="295"/>
      <c r="X38" s="295"/>
      <c r="AA38" s="299" t="s">
        <v>295</v>
      </c>
      <c r="AB38" s="300"/>
      <c r="AC38" s="295"/>
      <c r="AD38" s="295"/>
      <c r="AG38" s="299" t="s">
        <v>295</v>
      </c>
      <c r="AH38" s="300"/>
      <c r="AI38" s="295"/>
      <c r="AJ38" s="295"/>
      <c r="AP38" s="146"/>
      <c r="AQ38" s="61" t="s">
        <v>230</v>
      </c>
      <c r="AR38" s="93" t="s">
        <v>231</v>
      </c>
      <c r="AS38" s="85" t="s">
        <v>232</v>
      </c>
    </row>
    <row r="39" spans="1:45">
      <c r="A39" s="145"/>
      <c r="AP39" s="146"/>
      <c r="AQ39" s="61" t="s">
        <v>233</v>
      </c>
      <c r="AR39" s="41"/>
      <c r="AS39" s="85" t="s">
        <v>234</v>
      </c>
    </row>
    <row r="40" spans="1:45">
      <c r="A40" s="145"/>
      <c r="AP40" s="146"/>
      <c r="AQ40" s="61"/>
      <c r="AR40" s="42"/>
      <c r="AS40" s="91" t="s">
        <v>206</v>
      </c>
    </row>
    <row r="41" spans="1:45">
      <c r="A41" s="145"/>
      <c r="AP41" s="146"/>
      <c r="AQ41" s="62"/>
      <c r="AR41" s="43"/>
      <c r="AS41" s="92"/>
    </row>
    <row r="42" spans="1:45">
      <c r="A42" s="145"/>
      <c r="H42" s="161"/>
      <c r="AP42" s="146"/>
      <c r="AQ42" s="136" t="s">
        <v>235</v>
      </c>
      <c r="AR42" s="94"/>
      <c r="AS42" s="89"/>
    </row>
    <row r="43" spans="1:45">
      <c r="A43" s="145"/>
      <c r="C43" s="296"/>
      <c r="D43" s="296"/>
      <c r="E43" s="296"/>
      <c r="F43" s="296"/>
      <c r="G43" s="296"/>
      <c r="L43" s="296"/>
      <c r="M43" s="296"/>
      <c r="N43" s="296"/>
      <c r="R43" s="296"/>
      <c r="S43" s="296"/>
      <c r="T43" s="296"/>
      <c r="U43" s="296"/>
      <c r="Y43" s="303"/>
      <c r="Z43" s="303"/>
      <c r="AA43" s="303"/>
      <c r="AE43" s="303"/>
      <c r="AF43" s="303"/>
      <c r="AG43" s="303"/>
      <c r="AP43" s="146"/>
      <c r="AQ43" s="95"/>
      <c r="AR43" s="95"/>
      <c r="AS43" s="89"/>
    </row>
    <row r="44" spans="1:45">
      <c r="A44" s="145"/>
      <c r="G44" s="152"/>
      <c r="H44" s="164"/>
      <c r="K44" s="152"/>
      <c r="L44" s="164"/>
      <c r="N44" s="152"/>
      <c r="O44" s="164"/>
      <c r="Q44" s="152"/>
      <c r="R44" s="165"/>
      <c r="S44" s="150"/>
      <c r="T44" s="150"/>
      <c r="U44" s="151"/>
      <c r="X44" s="152"/>
      <c r="Y44" s="165"/>
      <c r="Z44" s="150"/>
      <c r="AA44" s="151"/>
      <c r="AB44" s="164"/>
      <c r="AD44" s="152"/>
      <c r="AE44" s="165"/>
      <c r="AF44" s="150"/>
      <c r="AG44" s="151"/>
      <c r="AH44" s="164"/>
      <c r="AP44" s="146"/>
      <c r="AQ44" s="83"/>
      <c r="AR44" s="95"/>
      <c r="AS44" s="89"/>
    </row>
    <row r="45" spans="1:45">
      <c r="A45" s="145"/>
      <c r="G45" s="152"/>
      <c r="H45" s="164"/>
      <c r="K45" s="152"/>
      <c r="L45" s="164"/>
      <c r="N45" s="152"/>
      <c r="O45" s="164"/>
      <c r="Q45" s="152"/>
      <c r="R45" s="164"/>
      <c r="U45" s="152"/>
      <c r="X45" s="152"/>
      <c r="Y45" s="164"/>
      <c r="AA45" s="152"/>
      <c r="AB45" s="164"/>
      <c r="AD45" s="152"/>
      <c r="AE45" s="164"/>
      <c r="AG45" s="152"/>
      <c r="AH45" s="164"/>
      <c r="AP45" s="146"/>
      <c r="AQ45" s="137" t="s">
        <v>139</v>
      </c>
      <c r="AR45" s="96"/>
      <c r="AS45" s="97"/>
    </row>
    <row r="46" spans="1:45">
      <c r="A46" s="145"/>
      <c r="G46" s="152"/>
      <c r="H46" s="163"/>
      <c r="I46" s="161"/>
      <c r="J46" s="161"/>
      <c r="K46" s="162"/>
      <c r="L46" s="164"/>
      <c r="N46" s="152"/>
      <c r="O46" s="164"/>
      <c r="Q46" s="152"/>
      <c r="R46" s="164"/>
      <c r="U46" s="152"/>
      <c r="X46" s="152"/>
      <c r="Y46" s="164"/>
      <c r="AA46" s="152"/>
      <c r="AB46" s="164"/>
      <c r="AD46" s="152"/>
      <c r="AE46" s="164"/>
      <c r="AG46" s="152"/>
      <c r="AH46" s="164"/>
      <c r="AK46" s="154"/>
      <c r="AL46" s="154"/>
      <c r="AM46" s="154"/>
      <c r="AN46" s="154"/>
      <c r="AP46" s="146"/>
      <c r="AQ46" s="136" t="s">
        <v>236</v>
      </c>
      <c r="AR46" s="80" t="s">
        <v>237</v>
      </c>
      <c r="AS46" s="89"/>
    </row>
    <row r="47" spans="1:45">
      <c r="A47" s="145"/>
      <c r="H47" s="298" t="s">
        <v>296</v>
      </c>
      <c r="I47" s="296"/>
      <c r="J47" s="296"/>
      <c r="K47" s="297"/>
      <c r="N47" s="152"/>
      <c r="O47" s="298" t="s">
        <v>288</v>
      </c>
      <c r="P47" s="296"/>
      <c r="Q47" s="297"/>
      <c r="R47" s="164"/>
      <c r="U47" s="152"/>
      <c r="V47" s="296" t="s">
        <v>289</v>
      </c>
      <c r="W47" s="296"/>
      <c r="X47" s="297"/>
      <c r="Y47" s="164"/>
      <c r="AA47" s="152"/>
      <c r="AB47" s="298" t="s">
        <v>290</v>
      </c>
      <c r="AC47" s="296"/>
      <c r="AD47" s="297"/>
      <c r="AE47" s="164"/>
      <c r="AG47" s="152"/>
      <c r="AH47" s="298" t="s">
        <v>288</v>
      </c>
      <c r="AI47" s="296"/>
      <c r="AJ47" s="296"/>
      <c r="AK47" s="158" t="s">
        <v>238</v>
      </c>
      <c r="AL47" s="156"/>
      <c r="AM47" s="156"/>
      <c r="AN47" s="157"/>
      <c r="AP47" s="146"/>
      <c r="AQ47" s="83" t="s">
        <v>239</v>
      </c>
      <c r="AR47" s="108"/>
      <c r="AS47" s="89"/>
    </row>
    <row r="48" spans="1:45">
      <c r="A48" s="145"/>
      <c r="AK48" s="153"/>
      <c r="AL48" s="154"/>
      <c r="AM48" s="154"/>
      <c r="AN48" s="155"/>
      <c r="AP48" s="146"/>
      <c r="AQ48" s="95"/>
      <c r="AR48" s="108"/>
      <c r="AS48" s="89"/>
    </row>
    <row r="49" spans="1:45" ht="14" thickBot="1">
      <c r="A49" s="145"/>
      <c r="AP49" s="146"/>
      <c r="AQ49" s="138"/>
      <c r="AR49" s="108"/>
      <c r="AS49" s="89"/>
    </row>
    <row r="50" spans="1:45" ht="15">
      <c r="A50" s="145"/>
      <c r="AG50" s="294" t="s">
        <v>240</v>
      </c>
      <c r="AH50" s="294"/>
      <c r="AI50" s="294"/>
      <c r="AJ50" s="294"/>
      <c r="AK50" s="294"/>
      <c r="AL50" s="294"/>
      <c r="AM50" s="295"/>
      <c r="AN50" s="295"/>
      <c r="AO50" s="295"/>
      <c r="AP50" s="146"/>
      <c r="AQ50" s="139" t="s">
        <v>241</v>
      </c>
      <c r="AR50" s="109" t="s">
        <v>242</v>
      </c>
      <c r="AS50" s="110"/>
    </row>
    <row r="51" spans="1:45" ht="16" thickBot="1">
      <c r="A51" s="145"/>
      <c r="H51" s="148"/>
      <c r="I51" s="148"/>
      <c r="J51" s="148"/>
      <c r="K51" s="148"/>
      <c r="AG51" s="294" t="s">
        <v>243</v>
      </c>
      <c r="AH51" s="294"/>
      <c r="AI51" s="294"/>
      <c r="AJ51" s="294"/>
      <c r="AK51" s="294"/>
      <c r="AL51" s="294"/>
      <c r="AM51" s="295"/>
      <c r="AN51" s="295"/>
      <c r="AO51" s="295"/>
      <c r="AP51" s="146"/>
      <c r="AQ51" s="140" t="s">
        <v>244</v>
      </c>
      <c r="AR51" s="111"/>
      <c r="AS51" s="112"/>
    </row>
    <row r="52" spans="1:45" ht="14" thickBot="1">
      <c r="A52" s="147"/>
      <c r="B52" s="148"/>
      <c r="C52" s="148"/>
      <c r="D52" s="148"/>
      <c r="E52" s="148"/>
      <c r="F52" s="148"/>
      <c r="G52" s="148"/>
      <c r="H52" s="121"/>
      <c r="I52" s="121"/>
      <c r="J52" s="121"/>
      <c r="K52" s="121"/>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9"/>
      <c r="AQ52" s="140" t="s">
        <v>139</v>
      </c>
      <c r="AR52" s="111"/>
      <c r="AS52" s="112"/>
    </row>
    <row r="53" spans="1:45" ht="14" thickBot="1">
      <c r="A53" s="143" t="s">
        <v>245</v>
      </c>
      <c r="B53" s="121"/>
      <c r="C53" s="121"/>
      <c r="D53" s="121"/>
      <c r="E53" s="121"/>
      <c r="F53" s="121"/>
      <c r="G53" s="121"/>
      <c r="H53" s="120" t="s">
        <v>250</v>
      </c>
      <c r="I53" s="120"/>
      <c r="J53" s="120"/>
      <c r="K53" s="121"/>
      <c r="L53" s="121"/>
      <c r="M53" s="121"/>
      <c r="N53" s="121"/>
      <c r="O53" s="121"/>
      <c r="P53" s="128" t="s">
        <v>246</v>
      </c>
      <c r="Q53" s="121"/>
      <c r="R53" s="121"/>
      <c r="S53" s="121"/>
      <c r="T53" s="121"/>
      <c r="U53" s="121"/>
      <c r="V53" s="121"/>
      <c r="W53" s="121"/>
      <c r="X53" s="121"/>
      <c r="Y53" s="121"/>
      <c r="Z53" s="121"/>
      <c r="AA53" s="121"/>
      <c r="AB53" s="121"/>
      <c r="AC53" s="120"/>
      <c r="AD53" s="121"/>
      <c r="AE53" s="121"/>
      <c r="AF53" s="121"/>
      <c r="AG53" s="121"/>
      <c r="AH53" s="121"/>
      <c r="AI53" s="121"/>
      <c r="AJ53" s="121"/>
      <c r="AK53" s="121"/>
      <c r="AL53" s="121"/>
      <c r="AM53" s="121"/>
      <c r="AN53" s="121"/>
      <c r="AO53" s="121"/>
      <c r="AP53" s="123"/>
      <c r="AQ53" s="115" t="s">
        <v>139</v>
      </c>
      <c r="AR53" s="113"/>
      <c r="AS53" s="114"/>
    </row>
    <row r="54" spans="1:45">
      <c r="A54" s="119" t="s">
        <v>247</v>
      </c>
      <c r="B54" s="120"/>
      <c r="C54" s="120" t="s">
        <v>248</v>
      </c>
      <c r="D54" s="120"/>
      <c r="E54" s="121"/>
      <c r="F54" s="120" t="s">
        <v>249</v>
      </c>
      <c r="G54" s="120"/>
      <c r="H54" s="120" t="s">
        <v>260</v>
      </c>
      <c r="I54" s="120"/>
      <c r="J54" s="120"/>
      <c r="K54" s="121"/>
      <c r="L54" s="121"/>
      <c r="M54" s="121"/>
      <c r="N54" s="120" t="s">
        <v>251</v>
      </c>
      <c r="O54" s="121"/>
      <c r="P54" s="120" t="s">
        <v>252</v>
      </c>
      <c r="Q54" s="120"/>
      <c r="R54" s="120"/>
      <c r="S54" s="121"/>
      <c r="T54" s="120" t="s">
        <v>253</v>
      </c>
      <c r="U54" s="120"/>
      <c r="V54" s="120" t="s">
        <v>254</v>
      </c>
      <c r="W54" s="120"/>
      <c r="X54" s="120"/>
      <c r="Y54" s="120"/>
      <c r="Z54" s="121"/>
      <c r="AA54" s="121"/>
      <c r="AB54" s="121"/>
      <c r="AC54" s="120"/>
      <c r="AD54" s="121"/>
      <c r="AE54" s="120" t="s">
        <v>255</v>
      </c>
      <c r="AF54" s="121"/>
      <c r="AG54" s="122" t="s">
        <v>256</v>
      </c>
      <c r="AH54" s="121"/>
      <c r="AI54" s="122"/>
      <c r="AJ54" s="121"/>
      <c r="AK54" s="121"/>
      <c r="AL54" s="121"/>
      <c r="AM54" s="121"/>
      <c r="AN54" s="121"/>
      <c r="AO54" s="121"/>
      <c r="AP54" s="121"/>
      <c r="AQ54" s="117" t="s">
        <v>257</v>
      </c>
      <c r="AR54" s="116"/>
      <c r="AS54" s="118"/>
    </row>
    <row r="55" spans="1:45" ht="14" thickBot="1">
      <c r="A55" s="119" t="s">
        <v>258</v>
      </c>
      <c r="B55" s="120"/>
      <c r="C55" s="120" t="s">
        <v>259</v>
      </c>
      <c r="D55" s="120"/>
      <c r="E55" s="121"/>
      <c r="F55" s="120" t="s">
        <v>249</v>
      </c>
      <c r="G55" s="120"/>
      <c r="H55" s="125" t="s">
        <v>270</v>
      </c>
      <c r="I55" s="125"/>
      <c r="J55" s="125"/>
      <c r="K55" s="126"/>
      <c r="L55" s="121"/>
      <c r="M55" s="121"/>
      <c r="N55" s="120" t="s">
        <v>261</v>
      </c>
      <c r="O55" s="121"/>
      <c r="P55" s="120" t="s">
        <v>262</v>
      </c>
      <c r="Q55" s="120"/>
      <c r="R55" s="120"/>
      <c r="S55" s="121"/>
      <c r="T55" s="120" t="s">
        <v>261</v>
      </c>
      <c r="U55" s="120"/>
      <c r="V55" s="120" t="s">
        <v>263</v>
      </c>
      <c r="W55" s="120"/>
      <c r="X55" s="120"/>
      <c r="Y55" s="120"/>
      <c r="Z55" s="120" t="s">
        <v>264</v>
      </c>
      <c r="AA55" s="121"/>
      <c r="AB55" s="121"/>
      <c r="AC55" s="120"/>
      <c r="AD55" s="121"/>
      <c r="AE55" s="120" t="s">
        <v>138</v>
      </c>
      <c r="AF55" s="121"/>
      <c r="AG55" s="120" t="s">
        <v>265</v>
      </c>
      <c r="AH55" s="121"/>
      <c r="AI55" s="120"/>
      <c r="AJ55" s="121"/>
      <c r="AK55" s="121"/>
      <c r="AL55" s="121"/>
      <c r="AM55" s="121"/>
      <c r="AN55" s="121"/>
      <c r="AO55" s="121"/>
      <c r="AP55" s="121"/>
      <c r="AQ55" s="128" t="s">
        <v>266</v>
      </c>
      <c r="AR55" s="121"/>
      <c r="AS55" s="123"/>
    </row>
    <row r="56" spans="1:45" ht="14" thickBot="1">
      <c r="A56" s="124" t="s">
        <v>267</v>
      </c>
      <c r="B56" s="125"/>
      <c r="C56" s="125" t="s">
        <v>268</v>
      </c>
      <c r="D56" s="125"/>
      <c r="E56" s="126"/>
      <c r="F56" s="125" t="s">
        <v>269</v>
      </c>
      <c r="G56" s="125"/>
      <c r="L56" s="126"/>
      <c r="M56" s="126"/>
      <c r="N56" s="125" t="s">
        <v>271</v>
      </c>
      <c r="O56" s="126"/>
      <c r="P56" s="125" t="s">
        <v>272</v>
      </c>
      <c r="Q56" s="125"/>
      <c r="R56" s="125"/>
      <c r="S56" s="126"/>
      <c r="T56" s="125" t="s">
        <v>273</v>
      </c>
      <c r="U56" s="125"/>
      <c r="V56" s="125" t="s">
        <v>274</v>
      </c>
      <c r="W56" s="125"/>
      <c r="X56" s="126"/>
      <c r="Y56" s="125"/>
      <c r="Z56" s="126" t="s">
        <v>275</v>
      </c>
      <c r="AA56" s="126"/>
      <c r="AB56" s="126"/>
      <c r="AC56" s="125"/>
      <c r="AD56" s="126"/>
      <c r="AE56" s="130" t="s">
        <v>276</v>
      </c>
      <c r="AF56" s="126"/>
      <c r="AG56" s="126"/>
      <c r="AH56" s="126"/>
      <c r="AI56" s="126"/>
      <c r="AJ56" s="126"/>
      <c r="AK56" s="126"/>
      <c r="AL56" s="126"/>
      <c r="AM56" s="126"/>
      <c r="AN56" s="126"/>
      <c r="AO56" s="126"/>
      <c r="AP56" s="126"/>
      <c r="AQ56" s="129" t="s">
        <v>277</v>
      </c>
      <c r="AR56" s="126"/>
      <c r="AS56" s="127"/>
    </row>
    <row r="61" spans="1:45">
      <c r="H61" s="104"/>
      <c r="I61" s="104"/>
      <c r="J61" s="104"/>
      <c r="K61" s="104"/>
    </row>
    <row r="62" spans="1:45">
      <c r="G62" s="104"/>
    </row>
  </sheetData>
  <mergeCells count="73">
    <mergeCell ref="C43:G43"/>
    <mergeCell ref="O47:Q47"/>
    <mergeCell ref="J12:N12"/>
    <mergeCell ref="J13:N13"/>
    <mergeCell ref="AB13:AG13"/>
    <mergeCell ref="AB14:AG14"/>
    <mergeCell ref="L43:N43"/>
    <mergeCell ref="Y43:AA43"/>
    <mergeCell ref="AE43:AG43"/>
    <mergeCell ref="H36:I36"/>
    <mergeCell ref="J36:K36"/>
    <mergeCell ref="O34:P34"/>
    <mergeCell ref="Q34:R34"/>
    <mergeCell ref="O35:P35"/>
    <mergeCell ref="O36:P36"/>
    <mergeCell ref="Q36:R36"/>
    <mergeCell ref="AN1:AP1"/>
    <mergeCell ref="H34:I34"/>
    <mergeCell ref="J34:K34"/>
    <mergeCell ref="H35:I35"/>
    <mergeCell ref="J35:K35"/>
    <mergeCell ref="AE9:AI9"/>
    <mergeCell ref="AE10:AI10"/>
    <mergeCell ref="Q35:R35"/>
    <mergeCell ref="AC1:AH1"/>
    <mergeCell ref="Z1:AB1"/>
    <mergeCell ref="O37:P37"/>
    <mergeCell ref="Q37:R37"/>
    <mergeCell ref="AA36:AB36"/>
    <mergeCell ref="AC36:AD36"/>
    <mergeCell ref="U34:V34"/>
    <mergeCell ref="W34:X34"/>
    <mergeCell ref="U35:V35"/>
    <mergeCell ref="W35:X35"/>
    <mergeCell ref="U36:V36"/>
    <mergeCell ref="W36:X36"/>
    <mergeCell ref="AA34:AB34"/>
    <mergeCell ref="AC34:AD34"/>
    <mergeCell ref="AA35:AB35"/>
    <mergeCell ref="AC35:AD35"/>
    <mergeCell ref="H47:K47"/>
    <mergeCell ref="AG50:AL50"/>
    <mergeCell ref="AA37:AB37"/>
    <mergeCell ref="AC37:AD37"/>
    <mergeCell ref="AA38:AB38"/>
    <mergeCell ref="AC38:AD38"/>
    <mergeCell ref="U37:V37"/>
    <mergeCell ref="W37:X37"/>
    <mergeCell ref="U38:V38"/>
    <mergeCell ref="W38:X38"/>
    <mergeCell ref="O38:P38"/>
    <mergeCell ref="Q38:R38"/>
    <mergeCell ref="H37:I37"/>
    <mergeCell ref="J37:K37"/>
    <mergeCell ref="H38:I38"/>
    <mergeCell ref="J38:K38"/>
    <mergeCell ref="AG37:AH37"/>
    <mergeCell ref="AI37:AJ37"/>
    <mergeCell ref="AG38:AH38"/>
    <mergeCell ref="AI38:AJ38"/>
    <mergeCell ref="AG34:AH34"/>
    <mergeCell ref="AI34:AJ34"/>
    <mergeCell ref="AG35:AH35"/>
    <mergeCell ref="AI35:AJ35"/>
    <mergeCell ref="AG36:AH36"/>
    <mergeCell ref="AI36:AJ36"/>
    <mergeCell ref="AG51:AL51"/>
    <mergeCell ref="AM50:AO50"/>
    <mergeCell ref="AM51:AO51"/>
    <mergeCell ref="V47:X47"/>
    <mergeCell ref="R43:U43"/>
    <mergeCell ref="AH47:AJ47"/>
    <mergeCell ref="AB47:AD47"/>
  </mergeCells>
  <pageMargins left="0.62" right="0.25" top="0.75" bottom="0.75" header="0.3" footer="0.3"/>
  <pageSetup scale="7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58" r:id="rId4" name="Check Box 38">
              <controlPr defaultSize="0" autoFill="0" autoLine="0" autoPict="0">
                <anchor moveWithCells="1">
                  <from>
                    <xdr:col>34</xdr:col>
                    <xdr:colOff>25400</xdr:colOff>
                    <xdr:row>0</xdr:row>
                    <xdr:rowOff>101600</xdr:rowOff>
                  </from>
                  <to>
                    <xdr:col>36</xdr:col>
                    <xdr:colOff>12700</xdr:colOff>
                    <xdr:row>0</xdr:row>
                    <xdr:rowOff>101600</xdr:rowOff>
                  </to>
                </anchor>
              </controlPr>
            </control>
          </mc:Choice>
        </mc:AlternateContent>
        <mc:AlternateContent xmlns:mc="http://schemas.openxmlformats.org/markup-compatibility/2006">
          <mc:Choice Requires="x14">
            <control shapeId="5159" r:id="rId5" name="Check Box 39">
              <controlPr defaultSize="0" autoFill="0" autoLine="0" autoPict="0">
                <anchor moveWithCells="1">
                  <from>
                    <xdr:col>29</xdr:col>
                    <xdr:colOff>12700</xdr:colOff>
                    <xdr:row>0</xdr:row>
                    <xdr:rowOff>25400</xdr:rowOff>
                  </from>
                  <to>
                    <xdr:col>29</xdr:col>
                    <xdr:colOff>12700</xdr:colOff>
                    <xdr:row>0</xdr:row>
                    <xdr:rowOff>165100</xdr:rowOff>
                  </to>
                </anchor>
              </controlPr>
            </control>
          </mc:Choice>
        </mc:AlternateContent>
        <mc:AlternateContent xmlns:mc="http://schemas.openxmlformats.org/markup-compatibility/2006">
          <mc:Choice Requires="x14">
            <control shapeId="5160" r:id="rId6" name="Check Box 40">
              <controlPr defaultSize="0" autoFill="0" autoLine="0" autoPict="0">
                <anchor moveWithCells="1">
                  <from>
                    <xdr:col>30</xdr:col>
                    <xdr:colOff>38100</xdr:colOff>
                    <xdr:row>0</xdr:row>
                    <xdr:rowOff>25400</xdr:rowOff>
                  </from>
                  <to>
                    <xdr:col>30</xdr:col>
                    <xdr:colOff>38100</xdr:colOff>
                    <xdr:row>0</xdr:row>
                    <xdr:rowOff>165100</xdr:rowOff>
                  </to>
                </anchor>
              </controlPr>
            </control>
          </mc:Choice>
        </mc:AlternateContent>
        <mc:AlternateContent xmlns:mc="http://schemas.openxmlformats.org/markup-compatibility/2006">
          <mc:Choice Requires="x14">
            <control shapeId="5161" r:id="rId7" name="Check Box 41">
              <controlPr defaultSize="0" autoFill="0" autoLine="0" autoPict="0">
                <anchor moveWithCells="1">
                  <from>
                    <xdr:col>32</xdr:col>
                    <xdr:colOff>12700</xdr:colOff>
                    <xdr:row>0</xdr:row>
                    <xdr:rowOff>12700</xdr:rowOff>
                  </from>
                  <to>
                    <xdr:col>32</xdr:col>
                    <xdr:colOff>50800</xdr:colOff>
                    <xdr:row>0</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opLeftCell="B32" zoomScaleNormal="100" workbookViewId="0">
      <selection activeCell="L53" sqref="L53"/>
    </sheetView>
  </sheetViews>
  <sheetFormatPr baseColWidth="10" defaultColWidth="8.83203125" defaultRowHeight="15"/>
  <cols>
    <col min="2" max="2" width="35.1640625" customWidth="1"/>
    <col min="3" max="3" width="23" customWidth="1"/>
    <col min="4" max="4" width="19.83203125" customWidth="1"/>
    <col min="5" max="5" width="20" customWidth="1"/>
    <col min="6" max="6" width="29.5" customWidth="1"/>
    <col min="7" max="7" width="18" customWidth="1"/>
    <col min="8" max="8" width="16" customWidth="1"/>
    <col min="9" max="9" width="38.1640625" customWidth="1"/>
    <col min="10" max="10" width="29.1640625" customWidth="1"/>
    <col min="11" max="11" width="16.83203125" customWidth="1"/>
    <col min="12" max="12" width="15.83203125" customWidth="1"/>
  </cols>
  <sheetData>
    <row r="1" spans="1:12">
      <c r="A1" s="240" t="s">
        <v>73</v>
      </c>
      <c r="B1" s="241"/>
      <c r="C1" s="241"/>
      <c r="D1" s="241"/>
      <c r="E1" s="241"/>
      <c r="F1" s="241"/>
      <c r="G1" s="241"/>
      <c r="H1" s="241"/>
    </row>
    <row r="2" spans="1:12" ht="17.5" customHeight="1">
      <c r="A2" s="241"/>
      <c r="B2" s="241"/>
      <c r="C2" s="241"/>
      <c r="D2" s="241"/>
      <c r="E2" s="241"/>
      <c r="F2" s="241"/>
      <c r="G2" s="241"/>
      <c r="H2" s="241"/>
    </row>
    <row r="3" spans="1:12" ht="15.5" customHeight="1" thickBot="1">
      <c r="A3" s="13"/>
      <c r="B3" s="2"/>
      <c r="C3" s="2"/>
      <c r="D3" s="2"/>
      <c r="E3" s="2"/>
      <c r="F3" s="2"/>
      <c r="G3" s="2"/>
      <c r="H3" s="14"/>
      <c r="I3" s="2"/>
      <c r="J3" s="2"/>
      <c r="K3" s="2"/>
    </row>
    <row r="4" spans="1:12" ht="14.5" customHeight="1" thickTop="1">
      <c r="A4" s="15"/>
      <c r="B4" s="232" t="s">
        <v>38</v>
      </c>
      <c r="C4" s="232"/>
      <c r="D4" s="232"/>
      <c r="F4" s="232" t="s">
        <v>46</v>
      </c>
      <c r="G4" s="241"/>
      <c r="H4" s="241"/>
      <c r="I4" s="4" t="s">
        <v>33</v>
      </c>
    </row>
    <row r="5" spans="1:12" ht="16.75" customHeight="1">
      <c r="A5" s="15"/>
      <c r="B5" s="232"/>
      <c r="C5" s="232"/>
      <c r="D5" s="232"/>
      <c r="F5" s="241"/>
      <c r="G5" s="241"/>
      <c r="H5" s="241"/>
    </row>
    <row r="6" spans="1:12" ht="16" thickBot="1">
      <c r="A6" s="15"/>
      <c r="B6" s="3" t="s">
        <v>11</v>
      </c>
      <c r="C6" s="253">
        <f>11200*0.000247105*2700000</f>
        <v>7472455.2000000002</v>
      </c>
      <c r="D6" s="253"/>
      <c r="F6" s="5" t="s">
        <v>25</v>
      </c>
      <c r="G6" s="8" t="s">
        <v>32</v>
      </c>
      <c r="H6" s="9" t="s">
        <v>31</v>
      </c>
    </row>
    <row r="7" spans="1:12" ht="17" thickTop="1" thickBot="1">
      <c r="A7" s="15"/>
      <c r="B7" s="3" t="s">
        <v>39</v>
      </c>
      <c r="C7" s="253">
        <f>C6*0.6/0.4</f>
        <v>11208682.799999999</v>
      </c>
      <c r="D7" s="253"/>
      <c r="F7" s="6" t="s">
        <v>28</v>
      </c>
      <c r="G7" s="10">
        <v>679</v>
      </c>
      <c r="H7" s="10">
        <v>5</v>
      </c>
    </row>
    <row r="8" spans="1:12" ht="17" thickTop="1" thickBot="1">
      <c r="A8" s="15"/>
      <c r="B8" s="3" t="s">
        <v>94</v>
      </c>
      <c r="C8" s="253">
        <f>J57+C33+C39+C45+C54+G18</f>
        <v>43311600</v>
      </c>
      <c r="D8" s="253"/>
      <c r="F8" s="6" t="s">
        <v>29</v>
      </c>
      <c r="G8" s="10">
        <v>738</v>
      </c>
      <c r="H8" s="10">
        <v>4</v>
      </c>
    </row>
    <row r="9" spans="1:12" ht="17" thickTop="1" thickBot="1">
      <c r="A9" s="15"/>
      <c r="B9" s="3" t="s">
        <v>40</v>
      </c>
      <c r="C9" s="254">
        <f>SUM(MHR!B6:'MHR'!J6)</f>
        <v>7282320</v>
      </c>
      <c r="D9" s="254"/>
      <c r="F9" s="6" t="s">
        <v>30</v>
      </c>
      <c r="G9" s="10">
        <v>558</v>
      </c>
      <c r="H9" s="10">
        <v>5</v>
      </c>
    </row>
    <row r="10" spans="1:12" ht="17" thickTop="1" thickBot="1">
      <c r="A10" s="15"/>
      <c r="B10" s="3" t="s">
        <v>93</v>
      </c>
      <c r="C10" s="253">
        <f>C19+C27</f>
        <v>1104950</v>
      </c>
      <c r="D10" s="253"/>
      <c r="F10" s="6" t="s">
        <v>26</v>
      </c>
      <c r="G10" s="10">
        <v>558</v>
      </c>
      <c r="H10" s="10"/>
    </row>
    <row r="11" spans="1:12" ht="16" thickTop="1">
      <c r="A11" s="15"/>
      <c r="B11" s="3" t="s">
        <v>41</v>
      </c>
      <c r="C11" s="253">
        <f>SUM(C6:C10)</f>
        <v>70380008</v>
      </c>
      <c r="D11" s="253"/>
      <c r="F11" s="7" t="s">
        <v>27</v>
      </c>
      <c r="G11" s="10">
        <v>660</v>
      </c>
      <c r="H11" s="10"/>
    </row>
    <row r="12" spans="1:12">
      <c r="A12" s="15"/>
      <c r="C12" s="239"/>
      <c r="D12" s="239"/>
      <c r="G12" s="1"/>
      <c r="H12" s="16"/>
    </row>
    <row r="13" spans="1:12" ht="14.5" customHeight="1">
      <c r="A13" s="15"/>
      <c r="B13" s="232" t="s">
        <v>42</v>
      </c>
      <c r="C13" s="232"/>
      <c r="D13" s="232"/>
      <c r="F13" s="244" t="s">
        <v>67</v>
      </c>
      <c r="G13" s="245"/>
      <c r="H13" s="246"/>
      <c r="L13" s="1"/>
    </row>
    <row r="14" spans="1:12" ht="14.5" customHeight="1">
      <c r="A14" s="15"/>
      <c r="B14" s="232"/>
      <c r="C14" s="232"/>
      <c r="D14" s="232"/>
      <c r="F14" s="247"/>
      <c r="G14" s="248"/>
      <c r="H14" s="249"/>
      <c r="L14" s="1"/>
    </row>
    <row r="15" spans="1:12" ht="16" thickBot="1">
      <c r="A15" s="15"/>
      <c r="B15" s="3" t="s">
        <v>95</v>
      </c>
      <c r="C15" s="231">
        <v>14000</v>
      </c>
      <c r="D15" s="231"/>
      <c r="F15" s="5" t="s">
        <v>34</v>
      </c>
      <c r="G15" s="8" t="s">
        <v>35</v>
      </c>
      <c r="H15" s="9" t="s">
        <v>31</v>
      </c>
    </row>
    <row r="16" spans="1:12" ht="17" thickTop="1" thickBot="1">
      <c r="A16" s="15"/>
      <c r="B16" s="3" t="s">
        <v>43</v>
      </c>
      <c r="C16" s="258">
        <v>124000</v>
      </c>
      <c r="D16" s="235"/>
      <c r="F16" s="6" t="s">
        <v>36</v>
      </c>
      <c r="G16" s="10">
        <v>80000</v>
      </c>
      <c r="H16" s="10">
        <v>1</v>
      </c>
    </row>
    <row r="17" spans="1:8" ht="16" thickTop="1">
      <c r="A17" s="15"/>
      <c r="B17" s="3" t="s">
        <v>44</v>
      </c>
      <c r="C17" s="231">
        <v>600000</v>
      </c>
      <c r="D17" s="231"/>
      <c r="F17" s="7" t="s">
        <v>37</v>
      </c>
      <c r="G17" s="10">
        <v>35000</v>
      </c>
      <c r="H17" s="10">
        <v>1</v>
      </c>
    </row>
    <row r="18" spans="1:8">
      <c r="A18" s="15"/>
      <c r="B18" s="3" t="s">
        <v>45</v>
      </c>
      <c r="C18" s="231">
        <v>10950</v>
      </c>
      <c r="D18" s="231"/>
      <c r="F18" s="12" t="s">
        <v>41</v>
      </c>
      <c r="G18" s="251">
        <f>(G16*H16)+(G17*H17)</f>
        <v>115000</v>
      </c>
      <c r="H18" s="252"/>
    </row>
    <row r="19" spans="1:8">
      <c r="A19" s="15"/>
      <c r="B19" s="3" t="s">
        <v>41</v>
      </c>
      <c r="C19" s="231">
        <f>SUM(C15:C18)</f>
        <v>748950</v>
      </c>
      <c r="D19" s="231"/>
      <c r="H19" s="17"/>
    </row>
    <row r="20" spans="1:8" ht="12.5" customHeight="1">
      <c r="A20" s="15"/>
      <c r="C20" s="239"/>
      <c r="D20" s="239"/>
      <c r="F20" s="243" t="s">
        <v>80</v>
      </c>
      <c r="G20" s="243"/>
      <c r="H20" s="12" t="s">
        <v>31</v>
      </c>
    </row>
    <row r="21" spans="1:8" ht="13.25" customHeight="1">
      <c r="A21" s="15"/>
      <c r="B21" s="232" t="s">
        <v>92</v>
      </c>
      <c r="C21" s="232"/>
      <c r="D21" s="232"/>
      <c r="F21" s="250" t="s">
        <v>65</v>
      </c>
      <c r="G21" s="250"/>
      <c r="H21" s="10">
        <v>1</v>
      </c>
    </row>
    <row r="22" spans="1:8" ht="17" customHeight="1">
      <c r="A22" s="15"/>
      <c r="B22" s="232"/>
      <c r="C22" s="232"/>
      <c r="D22" s="232"/>
      <c r="F22" s="250" t="s">
        <v>61</v>
      </c>
      <c r="G22" s="250"/>
      <c r="H22" s="10">
        <v>1</v>
      </c>
    </row>
    <row r="23" spans="1:8" ht="14.5" customHeight="1">
      <c r="A23" s="15"/>
      <c r="B23" s="26" t="s">
        <v>87</v>
      </c>
      <c r="C23" s="26" t="s">
        <v>88</v>
      </c>
      <c r="D23" s="26" t="s">
        <v>31</v>
      </c>
      <c r="F23" s="250" t="s">
        <v>63</v>
      </c>
      <c r="G23" s="250"/>
      <c r="H23" s="10">
        <v>1</v>
      </c>
    </row>
    <row r="24" spans="1:8">
      <c r="A24" s="15"/>
      <c r="B24" s="3" t="s">
        <v>89</v>
      </c>
      <c r="C24" s="11">
        <v>70000</v>
      </c>
      <c r="D24" s="11">
        <v>2</v>
      </c>
      <c r="F24" s="250" t="s">
        <v>64</v>
      </c>
      <c r="G24" s="250"/>
      <c r="H24" s="10">
        <v>1</v>
      </c>
    </row>
    <row r="25" spans="1:8">
      <c r="A25" s="15"/>
      <c r="B25" s="23" t="s">
        <v>90</v>
      </c>
      <c r="C25" s="1">
        <v>12000</v>
      </c>
      <c r="D25" s="24">
        <v>3</v>
      </c>
      <c r="F25" s="250" t="s">
        <v>62</v>
      </c>
      <c r="G25" s="250"/>
      <c r="H25" s="10">
        <v>1</v>
      </c>
    </row>
    <row r="26" spans="1:8">
      <c r="A26" s="15"/>
      <c r="B26" s="3" t="s">
        <v>91</v>
      </c>
      <c r="C26" s="11">
        <v>180000</v>
      </c>
      <c r="D26" s="11">
        <v>1</v>
      </c>
      <c r="F26" s="242" t="s">
        <v>51</v>
      </c>
      <c r="G26" s="242"/>
      <c r="H26" s="10">
        <v>1</v>
      </c>
    </row>
    <row r="27" spans="1:8" ht="14.5" customHeight="1">
      <c r="A27" s="15"/>
      <c r="B27" s="3" t="s">
        <v>41</v>
      </c>
      <c r="C27" s="255">
        <f>(C24*D24)+(C25*D25)+(C26*D26)</f>
        <v>356000</v>
      </c>
      <c r="D27" s="256"/>
      <c r="F27" s="257" t="s">
        <v>68</v>
      </c>
      <c r="G27" s="257"/>
      <c r="H27" s="10">
        <v>1</v>
      </c>
    </row>
    <row r="28" spans="1:8" ht="13.25" customHeight="1">
      <c r="A28" s="15"/>
      <c r="C28" s="238"/>
      <c r="D28" s="238"/>
      <c r="F28" s="242" t="s">
        <v>54</v>
      </c>
      <c r="G28" s="242"/>
      <c r="H28" s="10">
        <v>1</v>
      </c>
    </row>
    <row r="29" spans="1:8">
      <c r="A29" s="15"/>
      <c r="B29" s="232" t="s">
        <v>311</v>
      </c>
      <c r="C29" s="232"/>
      <c r="D29" s="232"/>
      <c r="F29" s="242" t="s">
        <v>55</v>
      </c>
      <c r="G29" s="242"/>
      <c r="H29" s="10">
        <v>1</v>
      </c>
    </row>
    <row r="30" spans="1:8">
      <c r="A30" s="15"/>
      <c r="B30" s="232"/>
      <c r="C30" s="232"/>
      <c r="D30" s="232"/>
      <c r="F30" s="242" t="s">
        <v>78</v>
      </c>
      <c r="G30" s="242"/>
      <c r="H30" s="10">
        <v>1</v>
      </c>
    </row>
    <row r="31" spans="1:8">
      <c r="A31" s="15"/>
      <c r="B31" s="19" t="s">
        <v>48</v>
      </c>
      <c r="C31" s="231">
        <v>3</v>
      </c>
      <c r="D31" s="231"/>
      <c r="F31" s="237" t="s">
        <v>50</v>
      </c>
      <c r="G31" s="237"/>
      <c r="H31" s="10">
        <v>2</v>
      </c>
    </row>
    <row r="32" spans="1:8">
      <c r="A32" s="15"/>
      <c r="B32" s="19" t="s">
        <v>49</v>
      </c>
      <c r="C32" s="231">
        <f>1500000*5</f>
        <v>7500000</v>
      </c>
      <c r="D32" s="231"/>
      <c r="F32" s="237" t="s">
        <v>56</v>
      </c>
      <c r="G32" s="237"/>
      <c r="H32" s="10">
        <v>2</v>
      </c>
    </row>
    <row r="33" spans="1:8" ht="16.25" customHeight="1">
      <c r="A33" s="15"/>
      <c r="B33" s="19" t="s">
        <v>41</v>
      </c>
      <c r="C33" s="231">
        <f>C31*C32</f>
        <v>22500000</v>
      </c>
      <c r="D33" s="231"/>
      <c r="F33" s="237" t="s">
        <v>57</v>
      </c>
      <c r="G33" s="237"/>
      <c r="H33" s="10">
        <v>1</v>
      </c>
    </row>
    <row r="34" spans="1:8" ht="14.5" customHeight="1">
      <c r="A34" s="15"/>
      <c r="C34" s="239"/>
      <c r="D34" s="239"/>
      <c r="E34" s="1"/>
      <c r="F34" s="237" t="s">
        <v>59</v>
      </c>
      <c r="G34" s="237"/>
      <c r="H34" s="10">
        <v>1</v>
      </c>
    </row>
    <row r="35" spans="1:8">
      <c r="A35" s="15"/>
      <c r="B35" s="232" t="s">
        <v>47</v>
      </c>
      <c r="C35" s="232"/>
      <c r="D35" s="232"/>
      <c r="F35" s="237" t="s">
        <v>60</v>
      </c>
      <c r="G35" s="237"/>
      <c r="H35" s="10">
        <v>3</v>
      </c>
    </row>
    <row r="36" spans="1:8">
      <c r="A36" s="15"/>
      <c r="B36" s="232"/>
      <c r="C36" s="232"/>
      <c r="D36" s="232"/>
      <c r="F36" s="237" t="s">
        <v>71</v>
      </c>
      <c r="G36" s="237"/>
      <c r="H36" s="10">
        <v>1</v>
      </c>
    </row>
    <row r="37" spans="1:8">
      <c r="A37" s="15"/>
      <c r="B37" s="20" t="s">
        <v>48</v>
      </c>
      <c r="C37" s="231">
        <v>4</v>
      </c>
      <c r="D37" s="231"/>
      <c r="F37" s="237" t="s">
        <v>53</v>
      </c>
      <c r="G37" s="237"/>
      <c r="H37" s="10">
        <v>2</v>
      </c>
    </row>
    <row r="38" spans="1:8">
      <c r="A38" s="15"/>
      <c r="B38" s="20" t="s">
        <v>49</v>
      </c>
      <c r="C38" s="231">
        <f>120000*5</f>
        <v>600000</v>
      </c>
      <c r="D38" s="231"/>
      <c r="F38" s="236" t="s">
        <v>312</v>
      </c>
      <c r="G38" s="236"/>
      <c r="H38" s="10">
        <v>1</v>
      </c>
    </row>
    <row r="39" spans="1:8" ht="14.5" customHeight="1">
      <c r="A39" s="15"/>
      <c r="B39" s="20" t="s">
        <v>41</v>
      </c>
      <c r="C39" s="231">
        <f>C37*C38</f>
        <v>2400000</v>
      </c>
      <c r="D39" s="231"/>
      <c r="F39" s="236" t="s">
        <v>52</v>
      </c>
      <c r="G39" s="236"/>
      <c r="H39" s="10">
        <v>1</v>
      </c>
    </row>
    <row r="40" spans="1:8">
      <c r="A40" s="15"/>
      <c r="C40" s="233"/>
      <c r="D40" s="233"/>
      <c r="F40" s="236" t="s">
        <v>58</v>
      </c>
      <c r="G40" s="236"/>
      <c r="H40" s="10">
        <v>2</v>
      </c>
    </row>
    <row r="41" spans="1:8">
      <c r="A41" s="15"/>
      <c r="B41" s="232" t="s">
        <v>75</v>
      </c>
      <c r="C41" s="232"/>
      <c r="D41" s="232"/>
      <c r="F41" s="236" t="s">
        <v>76</v>
      </c>
      <c r="G41" s="236"/>
      <c r="H41" s="10">
        <v>1</v>
      </c>
    </row>
    <row r="42" spans="1:8">
      <c r="A42" s="15"/>
      <c r="B42" s="232"/>
      <c r="C42" s="232"/>
      <c r="D42" s="232"/>
      <c r="F42" s="236" t="s">
        <v>77</v>
      </c>
      <c r="G42" s="236"/>
      <c r="H42" s="10">
        <v>1</v>
      </c>
    </row>
    <row r="43" spans="1:8">
      <c r="A43" s="15"/>
      <c r="B43" s="21" t="s">
        <v>48</v>
      </c>
      <c r="C43" s="231">
        <v>3</v>
      </c>
      <c r="D43" s="231"/>
      <c r="F43" s="236" t="s">
        <v>69</v>
      </c>
      <c r="G43" s="236"/>
      <c r="H43" s="10">
        <v>1</v>
      </c>
    </row>
    <row r="44" spans="1:8">
      <c r="A44" s="15"/>
      <c r="B44" s="21" t="s">
        <v>49</v>
      </c>
      <c r="C44" s="231">
        <f>100000*5</f>
        <v>500000</v>
      </c>
      <c r="D44" s="231"/>
      <c r="F44" s="236" t="s">
        <v>70</v>
      </c>
      <c r="G44" s="236"/>
      <c r="H44" s="10">
        <v>2</v>
      </c>
    </row>
    <row r="45" spans="1:8" ht="14.5" customHeight="1">
      <c r="A45" s="15"/>
      <c r="B45" s="21" t="s">
        <v>41</v>
      </c>
      <c r="C45" s="231">
        <f>C43*C44</f>
        <v>1500000</v>
      </c>
      <c r="D45" s="231"/>
      <c r="F45" s="236" t="s">
        <v>66</v>
      </c>
      <c r="G45" s="236"/>
      <c r="H45" s="10">
        <v>2</v>
      </c>
    </row>
    <row r="46" spans="1:8">
      <c r="A46" s="15"/>
      <c r="F46" s="236" t="s">
        <v>79</v>
      </c>
      <c r="G46" s="236"/>
      <c r="H46" s="10">
        <v>2</v>
      </c>
    </row>
    <row r="47" spans="1:8">
      <c r="A47" s="15"/>
      <c r="B47" s="232" t="s">
        <v>72</v>
      </c>
      <c r="C47" s="232"/>
      <c r="D47" s="232"/>
    </row>
    <row r="48" spans="1:8">
      <c r="A48" s="15"/>
      <c r="B48" s="232"/>
      <c r="C48" s="232"/>
      <c r="D48" s="232"/>
    </row>
    <row r="49" spans="1:11">
      <c r="A49" s="15"/>
      <c r="B49" s="25" t="s">
        <v>28</v>
      </c>
      <c r="C49" s="231">
        <f>G7*30*12*5*H7</f>
        <v>6111000</v>
      </c>
      <c r="D49" s="231"/>
    </row>
    <row r="50" spans="1:11">
      <c r="A50" s="15"/>
      <c r="B50" s="25" t="s">
        <v>29</v>
      </c>
      <c r="C50" s="231">
        <f>G8*30*12*5*H8</f>
        <v>5313600</v>
      </c>
      <c r="D50" s="231"/>
    </row>
    <row r="51" spans="1:11" ht="14.5" customHeight="1">
      <c r="A51" s="15"/>
      <c r="B51" s="25" t="s">
        <v>30</v>
      </c>
      <c r="C51" s="231">
        <f>G9*30*12*5*H9</f>
        <v>5022000</v>
      </c>
      <c r="D51" s="231"/>
    </row>
    <row r="52" spans="1:11">
      <c r="A52" s="15"/>
      <c r="B52" s="33" t="s">
        <v>27</v>
      </c>
      <c r="C52" s="234">
        <f>(MHR!H27+MHR!H30+MHR!H32+MHR!H33)*G11*24*12*5</f>
        <v>10454400</v>
      </c>
      <c r="D52" s="235"/>
    </row>
    <row r="53" spans="1:11">
      <c r="A53" s="15"/>
      <c r="B53" s="33" t="s">
        <v>26</v>
      </c>
      <c r="C53" s="234">
        <f>(MHR!H28+MHR!H29+MHR!H35)*G10*24*12*5</f>
        <v>7231680</v>
      </c>
      <c r="D53" s="235"/>
      <c r="I53" s="232" t="s">
        <v>74</v>
      </c>
      <c r="J53" s="232"/>
      <c r="K53" s="232"/>
    </row>
    <row r="54" spans="1:11">
      <c r="A54" s="15"/>
      <c r="B54" s="25" t="s">
        <v>41</v>
      </c>
      <c r="C54" s="231">
        <f>C49+C50+C51</f>
        <v>16446600</v>
      </c>
      <c r="D54" s="231"/>
      <c r="I54" s="232"/>
      <c r="J54" s="232"/>
      <c r="K54" s="232"/>
    </row>
    <row r="55" spans="1:11">
      <c r="A55" s="15"/>
      <c r="I55" s="18" t="s">
        <v>48</v>
      </c>
      <c r="J55" s="231">
        <v>2</v>
      </c>
      <c r="K55" s="231"/>
    </row>
    <row r="56" spans="1:11">
      <c r="A56" s="15"/>
      <c r="I56" s="18" t="s">
        <v>49</v>
      </c>
      <c r="J56" s="231">
        <v>175000</v>
      </c>
      <c r="K56" s="231"/>
    </row>
    <row r="57" spans="1:11">
      <c r="A57" s="15"/>
      <c r="I57" s="18" t="s">
        <v>41</v>
      </c>
      <c r="J57" s="231">
        <f>J55*J56</f>
        <v>350000</v>
      </c>
      <c r="K57" s="231"/>
    </row>
    <row r="58" spans="1:11">
      <c r="A58" s="15"/>
    </row>
    <row r="59" spans="1:11">
      <c r="A59" s="15"/>
    </row>
  </sheetData>
  <mergeCells count="74">
    <mergeCell ref="F30:G30"/>
    <mergeCell ref="F32:G32"/>
    <mergeCell ref="B4:D5"/>
    <mergeCell ref="C6:D6"/>
    <mergeCell ref="C7:D7"/>
    <mergeCell ref="B13:D14"/>
    <mergeCell ref="C20:D20"/>
    <mergeCell ref="C12:D12"/>
    <mergeCell ref="C19:D19"/>
    <mergeCell ref="B21:D22"/>
    <mergeCell ref="C16:D16"/>
    <mergeCell ref="J56:K56"/>
    <mergeCell ref="J57:K57"/>
    <mergeCell ref="C27:D27"/>
    <mergeCell ref="I53:K54"/>
    <mergeCell ref="C15:D15"/>
    <mergeCell ref="C17:D17"/>
    <mergeCell ref="C18:D18"/>
    <mergeCell ref="F43:G43"/>
    <mergeCell ref="F44:G44"/>
    <mergeCell ref="F46:G46"/>
    <mergeCell ref="F45:G45"/>
    <mergeCell ref="F27:G27"/>
    <mergeCell ref="F28:G28"/>
    <mergeCell ref="F38:G38"/>
    <mergeCell ref="F31:G31"/>
    <mergeCell ref="F39:G39"/>
    <mergeCell ref="A1:H2"/>
    <mergeCell ref="F29:G29"/>
    <mergeCell ref="F20:G20"/>
    <mergeCell ref="F26:G26"/>
    <mergeCell ref="F4:H5"/>
    <mergeCell ref="F13:H14"/>
    <mergeCell ref="F21:G21"/>
    <mergeCell ref="F25:G25"/>
    <mergeCell ref="F23:G23"/>
    <mergeCell ref="F24:G24"/>
    <mergeCell ref="F22:G22"/>
    <mergeCell ref="G18:H18"/>
    <mergeCell ref="C8:D8"/>
    <mergeCell ref="C9:D9"/>
    <mergeCell ref="C10:D10"/>
    <mergeCell ref="C11:D11"/>
    <mergeCell ref="F37:G37"/>
    <mergeCell ref="F34:G34"/>
    <mergeCell ref="F33:G33"/>
    <mergeCell ref="F40:G40"/>
    <mergeCell ref="F41:G41"/>
    <mergeCell ref="F36:G36"/>
    <mergeCell ref="C38:D38"/>
    <mergeCell ref="C39:D39"/>
    <mergeCell ref="C28:D28"/>
    <mergeCell ref="C34:D34"/>
    <mergeCell ref="C31:D31"/>
    <mergeCell ref="C32:D32"/>
    <mergeCell ref="C33:D33"/>
    <mergeCell ref="B35:D36"/>
    <mergeCell ref="C37:D37"/>
    <mergeCell ref="J55:K55"/>
    <mergeCell ref="B29:D30"/>
    <mergeCell ref="C40:D40"/>
    <mergeCell ref="B41:D42"/>
    <mergeCell ref="C43:D43"/>
    <mergeCell ref="C44:D44"/>
    <mergeCell ref="C45:D45"/>
    <mergeCell ref="B47:D48"/>
    <mergeCell ref="C49:D49"/>
    <mergeCell ref="C50:D50"/>
    <mergeCell ref="C51:D51"/>
    <mergeCell ref="C54:D54"/>
    <mergeCell ref="C52:D52"/>
    <mergeCell ref="C53:D53"/>
    <mergeCell ref="F42:G42"/>
    <mergeCell ref="F35:G3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9"/>
  <sheetViews>
    <sheetView topLeftCell="A30" zoomScaleNormal="100" workbookViewId="0">
      <selection activeCell="I60" sqref="I60"/>
    </sheetView>
  </sheetViews>
  <sheetFormatPr baseColWidth="10" defaultColWidth="8.83203125" defaultRowHeight="15"/>
  <cols>
    <col min="2" max="2" width="35.1640625" customWidth="1"/>
    <col min="3" max="3" width="23" customWidth="1"/>
    <col min="4" max="4" width="19.83203125" customWidth="1"/>
    <col min="5" max="5" width="20" customWidth="1"/>
    <col min="6" max="6" width="29.5" customWidth="1"/>
    <col min="7" max="7" width="18" customWidth="1"/>
    <col min="8" max="8" width="16" customWidth="1"/>
    <col min="9" max="9" width="38.1640625" customWidth="1"/>
    <col min="10" max="10" width="29.1640625" customWidth="1"/>
    <col min="11" max="11" width="16.83203125" customWidth="1"/>
    <col min="12" max="12" width="15.83203125" customWidth="1"/>
  </cols>
  <sheetData>
    <row r="1" spans="1:12">
      <c r="A1" s="240" t="s">
        <v>73</v>
      </c>
      <c r="B1" s="241"/>
      <c r="C1" s="241"/>
      <c r="D1" s="241"/>
      <c r="E1" s="241"/>
      <c r="F1" s="241"/>
      <c r="G1" s="241"/>
      <c r="H1" s="241"/>
    </row>
    <row r="2" spans="1:12" ht="17.5" customHeight="1">
      <c r="A2" s="241"/>
      <c r="B2" s="241"/>
      <c r="C2" s="241"/>
      <c r="D2" s="241"/>
      <c r="E2" s="241"/>
      <c r="F2" s="241"/>
      <c r="G2" s="241"/>
      <c r="H2" s="241"/>
    </row>
    <row r="3" spans="1:12" ht="15.5" customHeight="1" thickBot="1">
      <c r="A3" s="13"/>
      <c r="B3" s="2"/>
      <c r="C3" s="2"/>
      <c r="D3" s="2"/>
      <c r="E3" s="2"/>
      <c r="F3" s="2"/>
      <c r="G3" s="2"/>
      <c r="H3" s="14"/>
      <c r="I3" s="2"/>
      <c r="J3" s="2"/>
      <c r="K3" s="2"/>
    </row>
    <row r="4" spans="1:12" ht="14.5" customHeight="1" thickTop="1">
      <c r="A4" s="15"/>
      <c r="B4" s="232" t="s">
        <v>38</v>
      </c>
      <c r="C4" s="232"/>
      <c r="D4" s="232"/>
      <c r="F4" s="232" t="s">
        <v>46</v>
      </c>
      <c r="G4" s="241"/>
      <c r="H4" s="241"/>
      <c r="I4" s="4" t="s">
        <v>33</v>
      </c>
    </row>
    <row r="5" spans="1:12" ht="16.75" customHeight="1">
      <c r="A5" s="15"/>
      <c r="B5" s="232"/>
      <c r="C5" s="232"/>
      <c r="D5" s="232"/>
      <c r="F5" s="241"/>
      <c r="G5" s="241"/>
      <c r="H5" s="241"/>
    </row>
    <row r="6" spans="1:12" ht="16" thickBot="1">
      <c r="A6" s="15"/>
      <c r="B6" s="3" t="s">
        <v>11</v>
      </c>
      <c r="C6" s="306">
        <f>'Industry Setup'!C6/'Industry Setup (2)'!$G$51</f>
        <v>106749.36</v>
      </c>
      <c r="D6" s="306"/>
      <c r="F6" s="5" t="s">
        <v>25</v>
      </c>
      <c r="G6" s="8" t="s">
        <v>323</v>
      </c>
      <c r="H6" s="9" t="s">
        <v>31</v>
      </c>
    </row>
    <row r="7" spans="1:12" ht="17" thickTop="1" thickBot="1">
      <c r="A7" s="15"/>
      <c r="B7" s="3" t="s">
        <v>39</v>
      </c>
      <c r="C7" s="306">
        <f>'Industry Setup'!C7/'Industry Setup (2)'!$G$51</f>
        <v>160124.03999999998</v>
      </c>
      <c r="D7" s="306"/>
      <c r="F7" s="6" t="s">
        <v>28</v>
      </c>
      <c r="G7" s="310">
        <f>'Industry Setup'!G7:H7/'Industry Setup (2)'!$G$51</f>
        <v>9.6999999999999993</v>
      </c>
      <c r="H7" s="10">
        <v>5</v>
      </c>
    </row>
    <row r="8" spans="1:12" ht="17" thickTop="1" thickBot="1">
      <c r="A8" s="15"/>
      <c r="B8" s="3" t="s">
        <v>94</v>
      </c>
      <c r="C8" s="306">
        <f>'Industry Setup'!C8/'Industry Setup (2)'!$G$51</f>
        <v>618737.14285714284</v>
      </c>
      <c r="D8" s="306"/>
      <c r="F8" s="6" t="s">
        <v>29</v>
      </c>
      <c r="G8" s="310">
        <f>'Industry Setup'!G8:H8/'Industry Setup (2)'!$G$51</f>
        <v>10.542857142857143</v>
      </c>
      <c r="H8" s="10">
        <v>4</v>
      </c>
    </row>
    <row r="9" spans="1:12" ht="17" thickTop="1" thickBot="1">
      <c r="A9" s="15"/>
      <c r="B9" s="3" t="s">
        <v>40</v>
      </c>
      <c r="C9" s="306">
        <f>'Industry Setup'!C9/'Industry Setup (2)'!$G$51</f>
        <v>104033.14285714286</v>
      </c>
      <c r="D9" s="306"/>
      <c r="F9" s="6" t="s">
        <v>30</v>
      </c>
      <c r="G9" s="310">
        <f>'Industry Setup'!G9:H9/'Industry Setup (2)'!$G$51</f>
        <v>7.9714285714285715</v>
      </c>
      <c r="H9" s="10">
        <v>5</v>
      </c>
    </row>
    <row r="10" spans="1:12" ht="17" thickTop="1" thickBot="1">
      <c r="A10" s="15"/>
      <c r="B10" s="3" t="s">
        <v>93</v>
      </c>
      <c r="C10" s="306">
        <f>'Industry Setup'!C10/'Industry Setup (2)'!$G$51</f>
        <v>15785</v>
      </c>
      <c r="D10" s="306"/>
      <c r="F10" s="6" t="s">
        <v>26</v>
      </c>
      <c r="G10" s="310">
        <f>'Industry Setup'!G10:H10/'Industry Setup (2)'!$G$51</f>
        <v>7.9714285714285715</v>
      </c>
      <c r="H10" s="10"/>
    </row>
    <row r="11" spans="1:12" ht="16" thickTop="1">
      <c r="A11" s="15"/>
      <c r="B11" s="3" t="s">
        <v>41</v>
      </c>
      <c r="C11" s="306">
        <f>'Industry Setup'!C11/'Industry Setup (2)'!$G$51</f>
        <v>1005428.6857142857</v>
      </c>
      <c r="D11" s="306"/>
      <c r="F11" s="7" t="s">
        <v>27</v>
      </c>
      <c r="G11" s="310">
        <f>'Industry Setup'!G11:H11/'Industry Setup (2)'!$G$51</f>
        <v>9.4285714285714288</v>
      </c>
      <c r="H11" s="10"/>
    </row>
    <row r="12" spans="1:12">
      <c r="A12" s="15"/>
      <c r="C12" s="239"/>
      <c r="D12" s="239"/>
      <c r="G12" s="1"/>
      <c r="H12" s="16"/>
    </row>
    <row r="13" spans="1:12" ht="14.5" customHeight="1">
      <c r="A13" s="15"/>
      <c r="B13" s="232" t="s">
        <v>42</v>
      </c>
      <c r="C13" s="232"/>
      <c r="D13" s="232"/>
      <c r="F13" s="244" t="s">
        <v>67</v>
      </c>
      <c r="G13" s="245"/>
      <c r="H13" s="246"/>
      <c r="L13" s="1"/>
    </row>
    <row r="14" spans="1:12" ht="14.5" customHeight="1">
      <c r="A14" s="15"/>
      <c r="B14" s="232"/>
      <c r="C14" s="232"/>
      <c r="D14" s="232"/>
      <c r="F14" s="247"/>
      <c r="G14" s="248"/>
      <c r="H14" s="249"/>
      <c r="L14" s="1"/>
    </row>
    <row r="15" spans="1:12" ht="16" thickBot="1">
      <c r="A15" s="15"/>
      <c r="B15" s="3" t="s">
        <v>95</v>
      </c>
      <c r="C15" s="306">
        <f>'Industry Setup'!C15:D15/'Industry Setup (2)'!$G$51</f>
        <v>200</v>
      </c>
      <c r="D15" s="306"/>
      <c r="F15" s="5" t="s">
        <v>34</v>
      </c>
      <c r="G15" s="8" t="s">
        <v>35</v>
      </c>
      <c r="H15" s="9" t="s">
        <v>31</v>
      </c>
    </row>
    <row r="16" spans="1:12" ht="17" thickTop="1" thickBot="1">
      <c r="A16" s="15"/>
      <c r="B16" s="3" t="s">
        <v>43</v>
      </c>
      <c r="C16" s="306">
        <f>'Industry Setup'!C16:D16/'Industry Setup (2)'!$G$51</f>
        <v>1771.4285714285713</v>
      </c>
      <c r="D16" s="306"/>
      <c r="F16" s="6" t="s">
        <v>36</v>
      </c>
      <c r="G16" s="310">
        <f>'Industry Setup'!G16:H16/'Industry Setup (2)'!$G$51</f>
        <v>1142.8571428571429</v>
      </c>
      <c r="H16" s="10">
        <v>1</v>
      </c>
    </row>
    <row r="17" spans="1:8" ht="16" thickTop="1">
      <c r="A17" s="15"/>
      <c r="B17" s="3" t="s">
        <v>44</v>
      </c>
      <c r="C17" s="306">
        <f>'Industry Setup'!C17:D17/'Industry Setup (2)'!$G$51</f>
        <v>8571.4285714285706</v>
      </c>
      <c r="D17" s="306"/>
      <c r="F17" s="7" t="s">
        <v>37</v>
      </c>
      <c r="G17" s="310">
        <f>'Industry Setup'!G17:H17/'Industry Setup (2)'!$G$51</f>
        <v>500</v>
      </c>
      <c r="H17" s="10">
        <v>1</v>
      </c>
    </row>
    <row r="18" spans="1:8">
      <c r="A18" s="15"/>
      <c r="B18" s="3" t="s">
        <v>45</v>
      </c>
      <c r="C18" s="306">
        <f>'Industry Setup'!C18:D18/'Industry Setup (2)'!$G$51</f>
        <v>156.42857142857142</v>
      </c>
      <c r="D18" s="306"/>
      <c r="F18" s="12" t="s">
        <v>41</v>
      </c>
      <c r="G18" s="311">
        <f>(G16*H16)+(G17*H17)</f>
        <v>1642.8571428571429</v>
      </c>
      <c r="H18" s="312"/>
    </row>
    <row r="19" spans="1:8">
      <c r="A19" s="15"/>
      <c r="B19" s="3" t="s">
        <v>41</v>
      </c>
      <c r="C19" s="306">
        <f>'Industry Setup'!C19:D19/'Industry Setup (2)'!$G$51</f>
        <v>10699.285714285714</v>
      </c>
      <c r="D19" s="306"/>
      <c r="H19" s="17"/>
    </row>
    <row r="20" spans="1:8" ht="12.5" customHeight="1">
      <c r="A20" s="15"/>
      <c r="C20" s="239"/>
      <c r="D20" s="239"/>
      <c r="F20" s="243" t="s">
        <v>80</v>
      </c>
      <c r="G20" s="243"/>
      <c r="H20" s="12" t="s">
        <v>31</v>
      </c>
    </row>
    <row r="21" spans="1:8" ht="13.25" customHeight="1">
      <c r="A21" s="15"/>
      <c r="B21" s="232" t="s">
        <v>92</v>
      </c>
      <c r="C21" s="232"/>
      <c r="D21" s="232"/>
      <c r="F21" s="250" t="s">
        <v>65</v>
      </c>
      <c r="G21" s="250"/>
      <c r="H21" s="10">
        <v>1</v>
      </c>
    </row>
    <row r="22" spans="1:8" ht="17" customHeight="1">
      <c r="A22" s="15"/>
      <c r="B22" s="232"/>
      <c r="C22" s="232"/>
      <c r="D22" s="232"/>
      <c r="F22" s="250" t="s">
        <v>61</v>
      </c>
      <c r="G22" s="250"/>
      <c r="H22" s="10">
        <v>1</v>
      </c>
    </row>
    <row r="23" spans="1:8" ht="14.5" customHeight="1">
      <c r="A23" s="15"/>
      <c r="B23" s="26" t="s">
        <v>87</v>
      </c>
      <c r="C23" s="26" t="s">
        <v>88</v>
      </c>
      <c r="D23" s="26" t="s">
        <v>31</v>
      </c>
      <c r="F23" s="250" t="s">
        <v>63</v>
      </c>
      <c r="G23" s="250"/>
      <c r="H23" s="10">
        <v>1</v>
      </c>
    </row>
    <row r="24" spans="1:8">
      <c r="A24" s="15"/>
      <c r="B24" s="3" t="s">
        <v>89</v>
      </c>
      <c r="C24" s="307">
        <f>'Industry Setup'!C24:D24/'Industry Setup (2)'!$G$51</f>
        <v>1000</v>
      </c>
      <c r="D24" s="11"/>
      <c r="F24" s="250" t="s">
        <v>64</v>
      </c>
      <c r="G24" s="250"/>
      <c r="H24" s="10">
        <v>1</v>
      </c>
    </row>
    <row r="25" spans="1:8">
      <c r="A25" s="15"/>
      <c r="B25" s="23" t="s">
        <v>90</v>
      </c>
      <c r="C25" s="307">
        <f>'Industry Setup'!C25:D25/'Industry Setup (2)'!$G$51</f>
        <v>171.42857142857142</v>
      </c>
      <c r="D25" s="24">
        <v>3</v>
      </c>
      <c r="F25" s="250" t="s">
        <v>62</v>
      </c>
      <c r="G25" s="250"/>
      <c r="H25" s="10">
        <v>1</v>
      </c>
    </row>
    <row r="26" spans="1:8">
      <c r="A26" s="15"/>
      <c r="B26" s="3" t="s">
        <v>91</v>
      </c>
      <c r="C26" s="307">
        <f>'Industry Setup'!C26:D26/'Industry Setup (2)'!$G$51</f>
        <v>2571.4285714285716</v>
      </c>
      <c r="D26" s="11">
        <v>1</v>
      </c>
      <c r="F26" s="242" t="s">
        <v>51</v>
      </c>
      <c r="G26" s="242"/>
      <c r="H26" s="10">
        <v>1</v>
      </c>
    </row>
    <row r="27" spans="1:8" ht="14.5" customHeight="1">
      <c r="A27" s="15"/>
      <c r="B27" s="3" t="s">
        <v>41</v>
      </c>
      <c r="C27" s="308">
        <f>(C24*D24)+(C25*D25)+(C26*D26)</f>
        <v>3085.7142857142858</v>
      </c>
      <c r="D27" s="309"/>
      <c r="F27" s="257" t="s">
        <v>68</v>
      </c>
      <c r="G27" s="257"/>
      <c r="H27" s="10">
        <v>1</v>
      </c>
    </row>
    <row r="28" spans="1:8" ht="13.25" customHeight="1">
      <c r="A28" s="15"/>
      <c r="C28" s="238"/>
      <c r="D28" s="238"/>
      <c r="F28" s="242" t="s">
        <v>54</v>
      </c>
      <c r="G28" s="242"/>
      <c r="H28" s="10">
        <v>1</v>
      </c>
    </row>
    <row r="29" spans="1:8">
      <c r="A29" s="15"/>
      <c r="B29" s="232" t="s">
        <v>311</v>
      </c>
      <c r="C29" s="232"/>
      <c r="D29" s="232"/>
      <c r="F29" s="242" t="s">
        <v>55</v>
      </c>
      <c r="G29" s="242"/>
      <c r="H29" s="10">
        <v>1</v>
      </c>
    </row>
    <row r="30" spans="1:8">
      <c r="A30" s="15"/>
      <c r="B30" s="232"/>
      <c r="C30" s="232"/>
      <c r="D30" s="232"/>
      <c r="F30" s="242" t="s">
        <v>78</v>
      </c>
      <c r="G30" s="242"/>
      <c r="H30" s="10">
        <v>1</v>
      </c>
    </row>
    <row r="31" spans="1:8">
      <c r="A31" s="15"/>
      <c r="B31" s="19" t="s">
        <v>48</v>
      </c>
      <c r="C31" s="231">
        <v>3</v>
      </c>
      <c r="D31" s="231"/>
      <c r="F31" s="237" t="s">
        <v>50</v>
      </c>
      <c r="G31" s="237"/>
      <c r="H31" s="10">
        <v>2</v>
      </c>
    </row>
    <row r="32" spans="1:8">
      <c r="A32" s="15"/>
      <c r="B32" s="19" t="s">
        <v>49</v>
      </c>
      <c r="C32" s="306">
        <f>'Industry Setup'!C32:D32/'Industry Setup (2)'!$G$51</f>
        <v>107142.85714285714</v>
      </c>
      <c r="D32" s="306">
        <f>'Industry Setup'!D32:E32/'Industry Setup (2)'!$G$51</f>
        <v>0</v>
      </c>
      <c r="F32" s="237" t="s">
        <v>56</v>
      </c>
      <c r="G32" s="237"/>
      <c r="H32" s="10">
        <v>2</v>
      </c>
    </row>
    <row r="33" spans="1:8" ht="16.25" customHeight="1">
      <c r="A33" s="15"/>
      <c r="B33" s="19" t="s">
        <v>41</v>
      </c>
      <c r="C33" s="306">
        <f>C31*C32</f>
        <v>321428.57142857142</v>
      </c>
      <c r="D33" s="306"/>
      <c r="F33" s="237" t="s">
        <v>57</v>
      </c>
      <c r="G33" s="237"/>
      <c r="H33" s="10">
        <v>1</v>
      </c>
    </row>
    <row r="34" spans="1:8" ht="14.5" customHeight="1">
      <c r="A34" s="15"/>
      <c r="C34" s="239"/>
      <c r="D34" s="239"/>
      <c r="E34" s="1"/>
      <c r="F34" s="237" t="s">
        <v>59</v>
      </c>
      <c r="G34" s="237"/>
      <c r="H34" s="10">
        <v>1</v>
      </c>
    </row>
    <row r="35" spans="1:8">
      <c r="A35" s="15"/>
      <c r="B35" s="232" t="s">
        <v>47</v>
      </c>
      <c r="C35" s="232"/>
      <c r="D35" s="232"/>
      <c r="F35" s="237" t="s">
        <v>60</v>
      </c>
      <c r="G35" s="237"/>
      <c r="H35" s="10">
        <v>3</v>
      </c>
    </row>
    <row r="36" spans="1:8">
      <c r="A36" s="15"/>
      <c r="B36" s="232"/>
      <c r="C36" s="232"/>
      <c r="D36" s="232"/>
      <c r="F36" s="237" t="s">
        <v>71</v>
      </c>
      <c r="G36" s="237"/>
      <c r="H36" s="10">
        <v>1</v>
      </c>
    </row>
    <row r="37" spans="1:8">
      <c r="A37" s="15"/>
      <c r="B37" s="20" t="s">
        <v>48</v>
      </c>
      <c r="C37" s="231">
        <v>4</v>
      </c>
      <c r="D37" s="231"/>
      <c r="F37" s="237" t="s">
        <v>53</v>
      </c>
      <c r="G37" s="237"/>
      <c r="H37" s="10">
        <v>2</v>
      </c>
    </row>
    <row r="38" spans="1:8">
      <c r="A38" s="15"/>
      <c r="B38" s="20" t="s">
        <v>49</v>
      </c>
      <c r="C38" s="306">
        <f>'Industry Setup'!C38:D38/'Industry Setup (2)'!$G$51</f>
        <v>8571.4285714285706</v>
      </c>
      <c r="D38" s="306">
        <f>'Industry Setup'!D38:E38/'Industry Setup (2)'!$G$51</f>
        <v>0</v>
      </c>
      <c r="F38" s="236" t="s">
        <v>312</v>
      </c>
      <c r="G38" s="236"/>
      <c r="H38" s="10">
        <v>1</v>
      </c>
    </row>
    <row r="39" spans="1:8" ht="14.5" customHeight="1">
      <c r="A39" s="15"/>
      <c r="B39" s="20" t="s">
        <v>41</v>
      </c>
      <c r="C39" s="306">
        <f>C37*C38</f>
        <v>34285.714285714283</v>
      </c>
      <c r="D39" s="306"/>
      <c r="F39" s="236" t="s">
        <v>52</v>
      </c>
      <c r="G39" s="236"/>
      <c r="H39" s="10">
        <v>1</v>
      </c>
    </row>
    <row r="40" spans="1:8">
      <c r="A40" s="15"/>
      <c r="C40" s="233"/>
      <c r="D40" s="233"/>
      <c r="F40" s="236" t="s">
        <v>58</v>
      </c>
      <c r="G40" s="236"/>
      <c r="H40" s="10">
        <v>2</v>
      </c>
    </row>
    <row r="41" spans="1:8">
      <c r="A41" s="15"/>
      <c r="B41" s="232" t="s">
        <v>75</v>
      </c>
      <c r="C41" s="232"/>
      <c r="D41" s="232"/>
      <c r="F41" s="236" t="s">
        <v>76</v>
      </c>
      <c r="G41" s="236"/>
      <c r="H41" s="10">
        <v>1</v>
      </c>
    </row>
    <row r="42" spans="1:8">
      <c r="A42" s="15"/>
      <c r="B42" s="232"/>
      <c r="C42" s="232"/>
      <c r="D42" s="232"/>
      <c r="F42" s="236" t="s">
        <v>77</v>
      </c>
      <c r="G42" s="236"/>
      <c r="H42" s="10">
        <v>1</v>
      </c>
    </row>
    <row r="43" spans="1:8">
      <c r="A43" s="15"/>
      <c r="B43" s="21" t="s">
        <v>48</v>
      </c>
      <c r="C43" s="231">
        <v>3</v>
      </c>
      <c r="D43" s="231"/>
      <c r="F43" s="236" t="s">
        <v>69</v>
      </c>
      <c r="G43" s="236"/>
      <c r="H43" s="10">
        <v>1</v>
      </c>
    </row>
    <row r="44" spans="1:8">
      <c r="A44" s="15"/>
      <c r="B44" s="21" t="s">
        <v>49</v>
      </c>
      <c r="C44" s="306">
        <f>'Industry Setup'!C44:D44/'Industry Setup (2)'!$G$51</f>
        <v>7142.8571428571431</v>
      </c>
      <c r="D44" s="306">
        <f>'Industry Setup'!D44:E44/'Industry Setup (2)'!$G$51</f>
        <v>0</v>
      </c>
      <c r="F44" s="236" t="s">
        <v>70</v>
      </c>
      <c r="G44" s="236"/>
      <c r="H44" s="10">
        <v>2</v>
      </c>
    </row>
    <row r="45" spans="1:8" ht="14.5" customHeight="1">
      <c r="A45" s="15"/>
      <c r="B45" s="21" t="s">
        <v>41</v>
      </c>
      <c r="C45" s="306">
        <f>C43*C44</f>
        <v>21428.571428571428</v>
      </c>
      <c r="D45" s="306"/>
      <c r="F45" s="236" t="s">
        <v>66</v>
      </c>
      <c r="G45" s="236"/>
      <c r="H45" s="10">
        <v>2</v>
      </c>
    </row>
    <row r="46" spans="1:8">
      <c r="A46" s="15"/>
      <c r="F46" s="236" t="s">
        <v>79</v>
      </c>
      <c r="G46" s="236"/>
      <c r="H46" s="10">
        <v>2</v>
      </c>
    </row>
    <row r="47" spans="1:8">
      <c r="A47" s="15"/>
      <c r="B47" s="232" t="s">
        <v>72</v>
      </c>
      <c r="C47" s="232"/>
      <c r="D47" s="232"/>
    </row>
    <row r="48" spans="1:8">
      <c r="A48" s="15"/>
      <c r="B48" s="232"/>
      <c r="C48" s="232"/>
      <c r="D48" s="232"/>
    </row>
    <row r="49" spans="1:8">
      <c r="A49" s="15"/>
      <c r="B49" s="25" t="s">
        <v>28</v>
      </c>
      <c r="C49" s="306">
        <f>G7*30*12*5*H7</f>
        <v>87300</v>
      </c>
      <c r="D49" s="306"/>
    </row>
    <row r="50" spans="1:8">
      <c r="A50" s="15"/>
      <c r="B50" s="25" t="s">
        <v>29</v>
      </c>
      <c r="C50" s="306">
        <f>G8*30*12*5*H8</f>
        <v>75908.571428571435</v>
      </c>
      <c r="D50" s="306"/>
    </row>
    <row r="51" spans="1:8" ht="14.5" customHeight="1">
      <c r="A51" s="15"/>
      <c r="B51" s="25" t="s">
        <v>30</v>
      </c>
      <c r="C51" s="306">
        <f>G9*30*12*5*H9</f>
        <v>71742.857142857145</v>
      </c>
      <c r="D51" s="306"/>
      <c r="F51" t="s">
        <v>321</v>
      </c>
      <c r="G51">
        <v>70</v>
      </c>
    </row>
    <row r="52" spans="1:8">
      <c r="A52" s="15"/>
      <c r="B52" s="33" t="s">
        <v>27</v>
      </c>
      <c r="C52" s="313">
        <f>(MHR!H27+MHR!H30+MHR!H32+MHR!H33)*G11*24*12*5</f>
        <v>149348.57142857145</v>
      </c>
      <c r="D52" s="314"/>
    </row>
    <row r="53" spans="1:8" ht="14.5" customHeight="1">
      <c r="A53" s="15"/>
      <c r="B53" s="33" t="s">
        <v>26</v>
      </c>
      <c r="C53" s="313">
        <f>(MHR!H28+MHR!H29+MHR!H35)*G10*24*12*5</f>
        <v>103309.71428571429</v>
      </c>
      <c r="D53" s="314"/>
      <c r="F53" s="232" t="s">
        <v>74</v>
      </c>
      <c r="G53" s="232"/>
      <c r="H53" s="232"/>
    </row>
    <row r="54" spans="1:8" ht="14.5" customHeight="1">
      <c r="A54" s="15"/>
      <c r="B54" s="25" t="s">
        <v>41</v>
      </c>
      <c r="C54" s="306">
        <f>C49+C50+C51</f>
        <v>234951.42857142858</v>
      </c>
      <c r="D54" s="306"/>
      <c r="F54" s="232"/>
      <c r="G54" s="232"/>
      <c r="H54" s="232"/>
    </row>
    <row r="55" spans="1:8">
      <c r="A55" s="15"/>
      <c r="F55" s="18" t="s">
        <v>48</v>
      </c>
      <c r="G55" s="231">
        <v>2</v>
      </c>
      <c r="H55" s="231"/>
    </row>
    <row r="56" spans="1:8">
      <c r="A56" s="15"/>
      <c r="F56" s="18" t="s">
        <v>49</v>
      </c>
      <c r="G56" s="306">
        <v>2500</v>
      </c>
      <c r="H56" s="306"/>
    </row>
    <row r="57" spans="1:8">
      <c r="A57" s="15"/>
      <c r="F57" s="18" t="s">
        <v>41</v>
      </c>
      <c r="G57" s="306">
        <f>G55*G56</f>
        <v>5000</v>
      </c>
      <c r="H57" s="306"/>
    </row>
    <row r="58" spans="1:8">
      <c r="A58" s="15"/>
    </row>
    <row r="59" spans="1:8">
      <c r="A59" s="15"/>
    </row>
  </sheetData>
  <mergeCells count="74">
    <mergeCell ref="C54:D54"/>
    <mergeCell ref="F53:H54"/>
    <mergeCell ref="G55:H55"/>
    <mergeCell ref="G56:H56"/>
    <mergeCell ref="G57:H57"/>
    <mergeCell ref="C49:D49"/>
    <mergeCell ref="C50:D50"/>
    <mergeCell ref="C51:D51"/>
    <mergeCell ref="C52:D52"/>
    <mergeCell ref="C53:D53"/>
    <mergeCell ref="B47:D48"/>
    <mergeCell ref="C40:D40"/>
    <mergeCell ref="F40:G40"/>
    <mergeCell ref="B41:D42"/>
    <mergeCell ref="F41:G41"/>
    <mergeCell ref="F42:G42"/>
    <mergeCell ref="C43:D43"/>
    <mergeCell ref="F43:G43"/>
    <mergeCell ref="C44:D44"/>
    <mergeCell ref="F44:G44"/>
    <mergeCell ref="C45:D45"/>
    <mergeCell ref="F45:G45"/>
    <mergeCell ref="F46:G46"/>
    <mergeCell ref="C37:D37"/>
    <mergeCell ref="F37:G37"/>
    <mergeCell ref="C38:D38"/>
    <mergeCell ref="F38:G38"/>
    <mergeCell ref="C39:D39"/>
    <mergeCell ref="F39:G39"/>
    <mergeCell ref="C33:D33"/>
    <mergeCell ref="F33:G33"/>
    <mergeCell ref="C34:D34"/>
    <mergeCell ref="F34:G34"/>
    <mergeCell ref="B35:D36"/>
    <mergeCell ref="F35:G35"/>
    <mergeCell ref="F36:G36"/>
    <mergeCell ref="C32:D32"/>
    <mergeCell ref="F32:G32"/>
    <mergeCell ref="F24:G24"/>
    <mergeCell ref="F25:G25"/>
    <mergeCell ref="F26:G26"/>
    <mergeCell ref="C27:D27"/>
    <mergeCell ref="F27:G27"/>
    <mergeCell ref="C28:D28"/>
    <mergeCell ref="F28:G28"/>
    <mergeCell ref="B29:D30"/>
    <mergeCell ref="F29:G29"/>
    <mergeCell ref="F30:G30"/>
    <mergeCell ref="C31:D31"/>
    <mergeCell ref="F31:G31"/>
    <mergeCell ref="F23:G23"/>
    <mergeCell ref="C15:D15"/>
    <mergeCell ref="C16:D16"/>
    <mergeCell ref="C17:D17"/>
    <mergeCell ref="C18:D18"/>
    <mergeCell ref="G18:H18"/>
    <mergeCell ref="C19:D19"/>
    <mergeCell ref="C20:D20"/>
    <mergeCell ref="F20:G20"/>
    <mergeCell ref="B21:D22"/>
    <mergeCell ref="F21:G21"/>
    <mergeCell ref="F22:G22"/>
    <mergeCell ref="F13:H14"/>
    <mergeCell ref="A1:H2"/>
    <mergeCell ref="B4:D5"/>
    <mergeCell ref="F4:H5"/>
    <mergeCell ref="C6:D6"/>
    <mergeCell ref="C7:D7"/>
    <mergeCell ref="C8:D8"/>
    <mergeCell ref="C9:D9"/>
    <mergeCell ref="C10:D10"/>
    <mergeCell ref="C11:D11"/>
    <mergeCell ref="C12:D12"/>
    <mergeCell ref="B13:D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36"/>
  <sheetViews>
    <sheetView zoomScale="85" zoomScaleNormal="85" workbookViewId="0">
      <selection activeCell="E14" sqref="E14"/>
    </sheetView>
  </sheetViews>
  <sheetFormatPr baseColWidth="10" defaultColWidth="8.83203125" defaultRowHeight="15"/>
  <cols>
    <col min="1" max="1" width="35.5" customWidth="1"/>
    <col min="2" max="2" width="26.6640625" customWidth="1"/>
    <col min="3" max="3" width="26.83203125" customWidth="1"/>
    <col min="4" max="4" width="22.5" customWidth="1"/>
    <col min="5" max="5" width="19.5" customWidth="1"/>
    <col min="6" max="6" width="26.5" bestFit="1" customWidth="1"/>
    <col min="7" max="7" width="19.33203125" bestFit="1" customWidth="1"/>
    <col min="8" max="8" width="16.5" customWidth="1"/>
    <col min="9" max="9" width="25.6640625" customWidth="1"/>
    <col min="10" max="10" width="15.6640625" bestFit="1" customWidth="1"/>
    <col min="11" max="11" width="16.83203125" customWidth="1"/>
    <col min="12" max="12" width="18.33203125" customWidth="1"/>
    <col min="13" max="13" width="22.6640625" customWidth="1"/>
    <col min="14" max="14" width="21.6640625" customWidth="1"/>
  </cols>
  <sheetData>
    <row r="1" spans="1:11" ht="23.5" customHeight="1">
      <c r="A1" s="241"/>
      <c r="B1" s="241"/>
      <c r="C1" s="241"/>
      <c r="D1" s="241"/>
      <c r="E1" s="241"/>
      <c r="F1" s="241"/>
      <c r="G1" s="241"/>
      <c r="H1" s="241"/>
      <c r="I1" s="241"/>
      <c r="J1" s="241"/>
      <c r="K1" s="176"/>
    </row>
    <row r="2" spans="1:11" ht="14" customHeight="1">
      <c r="A2" s="241"/>
      <c r="B2" s="241"/>
      <c r="C2" s="241"/>
      <c r="D2" s="241"/>
      <c r="E2" s="241"/>
      <c r="F2" s="241"/>
      <c r="G2" s="241"/>
      <c r="H2" s="241"/>
      <c r="I2" s="241"/>
      <c r="J2" s="241"/>
    </row>
    <row r="3" spans="1:11">
      <c r="A3" s="3" t="s">
        <v>24</v>
      </c>
      <c r="B3" s="3" t="s">
        <v>19</v>
      </c>
      <c r="C3" s="3" t="s">
        <v>20</v>
      </c>
      <c r="D3" s="3" t="s">
        <v>179</v>
      </c>
      <c r="E3" s="3" t="s">
        <v>82</v>
      </c>
      <c r="F3" s="3" t="s">
        <v>313</v>
      </c>
      <c r="G3" s="3" t="s">
        <v>83</v>
      </c>
      <c r="H3" s="3" t="s">
        <v>86</v>
      </c>
      <c r="I3" s="3" t="s">
        <v>157</v>
      </c>
      <c r="J3" s="177" t="s">
        <v>101</v>
      </c>
      <c r="K3" s="15"/>
    </row>
    <row r="4" spans="1:11">
      <c r="A4" s="3" t="s">
        <v>0</v>
      </c>
      <c r="B4" s="29">
        <v>2000000</v>
      </c>
      <c r="C4" s="29">
        <v>1650000</v>
      </c>
      <c r="D4" s="29">
        <v>1800000</v>
      </c>
      <c r="E4" s="29">
        <v>68000</v>
      </c>
      <c r="F4" s="29">
        <v>286000</v>
      </c>
      <c r="G4" s="29">
        <v>144660</v>
      </c>
      <c r="H4" s="29">
        <v>250000</v>
      </c>
      <c r="I4" s="171">
        <v>261000</v>
      </c>
      <c r="J4" s="171">
        <v>55000</v>
      </c>
    </row>
    <row r="5" spans="1:11">
      <c r="A5" s="3" t="s">
        <v>1</v>
      </c>
      <c r="B5" s="29">
        <v>1</v>
      </c>
      <c r="C5" s="29">
        <v>1</v>
      </c>
      <c r="D5" s="29">
        <v>1</v>
      </c>
      <c r="E5" s="29">
        <v>2</v>
      </c>
      <c r="F5" s="29">
        <v>1</v>
      </c>
      <c r="G5" s="29">
        <v>2</v>
      </c>
      <c r="H5" s="29">
        <v>3</v>
      </c>
      <c r="I5" s="29">
        <v>1</v>
      </c>
      <c r="J5" s="29">
        <v>2</v>
      </c>
    </row>
    <row r="6" spans="1:11">
      <c r="A6" s="3" t="s">
        <v>2</v>
      </c>
      <c r="B6" s="29">
        <f>B4*B5</f>
        <v>2000000</v>
      </c>
      <c r="C6" s="29">
        <f t="shared" ref="C6:J6" si="0">C4*C5</f>
        <v>1650000</v>
      </c>
      <c r="D6" s="29">
        <f t="shared" si="0"/>
        <v>1800000</v>
      </c>
      <c r="E6" s="29">
        <f t="shared" si="0"/>
        <v>136000</v>
      </c>
      <c r="F6" s="29">
        <f t="shared" si="0"/>
        <v>286000</v>
      </c>
      <c r="G6" s="29">
        <f t="shared" si="0"/>
        <v>289320</v>
      </c>
      <c r="H6" s="29">
        <f t="shared" si="0"/>
        <v>750000</v>
      </c>
      <c r="I6" s="29">
        <f t="shared" si="0"/>
        <v>261000</v>
      </c>
      <c r="J6" s="29">
        <f t="shared" si="0"/>
        <v>110000</v>
      </c>
    </row>
    <row r="7" spans="1:11">
      <c r="A7" s="3" t="s">
        <v>3</v>
      </c>
      <c r="B7" s="29">
        <f>B6*J27</f>
        <v>100000</v>
      </c>
      <c r="C7" s="29">
        <f>C6*J28</f>
        <v>82500</v>
      </c>
      <c r="D7" s="29">
        <f>D6*J29</f>
        <v>90000</v>
      </c>
      <c r="E7" s="29">
        <f>E6*J30</f>
        <v>6800</v>
      </c>
      <c r="F7" s="29">
        <f>F6*J31</f>
        <v>14300</v>
      </c>
      <c r="G7" s="29">
        <f>G6*J32</f>
        <v>0</v>
      </c>
      <c r="H7" s="29">
        <f>H6*J33</f>
        <v>37500</v>
      </c>
      <c r="I7" s="29">
        <f>I6*J34</f>
        <v>13050</v>
      </c>
      <c r="J7" s="29">
        <f>J6*J35</f>
        <v>5500</v>
      </c>
    </row>
    <row r="8" spans="1:11">
      <c r="A8" s="3" t="s">
        <v>4</v>
      </c>
      <c r="B8" s="29">
        <f>(B6-B6*(POWER((1-0.15),F27)))</f>
        <v>1112589.3750000002</v>
      </c>
      <c r="C8" s="29">
        <f>(C6-C6*(POWER((1-0.15),F28)))</f>
        <v>917886.23437500023</v>
      </c>
      <c r="D8" s="29">
        <f>(D6-D6*(POWER((1-0.15),F29)))</f>
        <v>1001330.4375000002</v>
      </c>
      <c r="E8" s="29">
        <f>(E6-E6*(POWER((1-0.15),F30)))</f>
        <v>75656.077500000014</v>
      </c>
      <c r="F8" s="29">
        <f>(F6-F6*(POWER((1-0.15),F31)))</f>
        <v>159100.28062500001</v>
      </c>
      <c r="G8" s="29">
        <f>(G6-G6*(POWER((1-0.15),F32)))</f>
        <v>160947.17898750002</v>
      </c>
      <c r="H8" s="29">
        <f>(H6-H6*(POWER((1-0.15),F33)))</f>
        <v>417221.01562500006</v>
      </c>
      <c r="I8" s="29">
        <f>(I6-I6*(POWER((1-0.15),F34)))</f>
        <v>145192.91343750001</v>
      </c>
      <c r="J8" s="29">
        <f>(J6-J6*(POWER((1-0.15),F35)))</f>
        <v>61192.415625000009</v>
      </c>
    </row>
    <row r="9" spans="1:11">
      <c r="A9" s="3" t="s">
        <v>84</v>
      </c>
      <c r="B9" s="29">
        <f t="shared" ref="B9:G9" si="1">B6*0.08</f>
        <v>160000</v>
      </c>
      <c r="C9" s="29">
        <f t="shared" si="1"/>
        <v>132000</v>
      </c>
      <c r="D9" s="29">
        <f t="shared" si="1"/>
        <v>144000</v>
      </c>
      <c r="E9" s="29">
        <f t="shared" si="1"/>
        <v>10880</v>
      </c>
      <c r="F9" s="29">
        <f t="shared" si="1"/>
        <v>22880</v>
      </c>
      <c r="G9" s="29">
        <f t="shared" si="1"/>
        <v>23145.600000000002</v>
      </c>
      <c r="H9" s="29">
        <f>H6*0.08</f>
        <v>60000</v>
      </c>
      <c r="I9" s="29">
        <f>I6*0.08</f>
        <v>20880</v>
      </c>
      <c r="J9" s="29">
        <f>J6*0.08</f>
        <v>8800</v>
      </c>
    </row>
    <row r="10" spans="1:11">
      <c r="A10" s="3" t="s">
        <v>14</v>
      </c>
      <c r="B10" s="29">
        <v>50</v>
      </c>
      <c r="C10" s="29">
        <v>300</v>
      </c>
      <c r="D10" s="29">
        <v>7.5</v>
      </c>
      <c r="E10" s="29">
        <v>7.5</v>
      </c>
      <c r="F10" s="29">
        <v>6</v>
      </c>
      <c r="G10" s="29">
        <v>0.35</v>
      </c>
      <c r="H10" s="29">
        <v>3.6999999999999998E-2</v>
      </c>
      <c r="I10" s="29">
        <v>35</v>
      </c>
      <c r="J10" s="29">
        <v>0.75</v>
      </c>
    </row>
    <row r="11" spans="1:11">
      <c r="A11" s="3" t="s">
        <v>5</v>
      </c>
      <c r="B11" s="29">
        <f t="shared" ref="B11:H11" si="2">B10*B5</f>
        <v>50</v>
      </c>
      <c r="C11" s="29">
        <f t="shared" si="2"/>
        <v>300</v>
      </c>
      <c r="D11" s="29">
        <f t="shared" si="2"/>
        <v>7.5</v>
      </c>
      <c r="E11" s="29">
        <f t="shared" si="2"/>
        <v>15</v>
      </c>
      <c r="F11" s="29">
        <f t="shared" si="2"/>
        <v>6</v>
      </c>
      <c r="G11" s="29">
        <f t="shared" si="2"/>
        <v>0.7</v>
      </c>
      <c r="H11" s="29">
        <f t="shared" si="2"/>
        <v>0.11099999999999999</v>
      </c>
      <c r="I11" s="29">
        <f>I10*I5</f>
        <v>35</v>
      </c>
      <c r="J11" s="29">
        <f>J10*J5</f>
        <v>1.5</v>
      </c>
    </row>
    <row r="12" spans="1:11">
      <c r="A12" s="3" t="s">
        <v>6</v>
      </c>
      <c r="B12" s="29">
        <v>6.5</v>
      </c>
      <c r="C12" s="29">
        <v>6.5</v>
      </c>
      <c r="D12" s="29">
        <v>6.5</v>
      </c>
      <c r="E12" s="29">
        <v>6.5</v>
      </c>
      <c r="F12" s="29">
        <v>6.5</v>
      </c>
      <c r="G12" s="29">
        <v>6.5</v>
      </c>
      <c r="H12" s="29">
        <v>6.5</v>
      </c>
      <c r="I12" s="29">
        <v>6.5</v>
      </c>
      <c r="J12" s="29">
        <v>6.5</v>
      </c>
    </row>
    <row r="13" spans="1:11">
      <c r="A13" s="3" t="s">
        <v>7</v>
      </c>
      <c r="B13" s="29">
        <v>0.8</v>
      </c>
      <c r="C13" s="29">
        <v>0.8</v>
      </c>
      <c r="D13" s="29">
        <v>0.8</v>
      </c>
      <c r="E13" s="29">
        <v>0.8</v>
      </c>
      <c r="F13" s="29">
        <v>0.8</v>
      </c>
      <c r="G13" s="29">
        <v>0.8</v>
      </c>
      <c r="H13" s="29">
        <v>0.8</v>
      </c>
      <c r="I13" s="29">
        <v>0.8</v>
      </c>
      <c r="J13" s="29">
        <v>0.8</v>
      </c>
    </row>
    <row r="14" spans="1:11">
      <c r="A14" s="3" t="s">
        <v>8</v>
      </c>
      <c r="B14" s="29">
        <f>B11*B12*C27*E27*F27/B13</f>
        <v>4241250</v>
      </c>
      <c r="C14" s="29">
        <f>C11*C12*C28*E28*F28/C13</f>
        <v>12723750</v>
      </c>
      <c r="D14" s="29">
        <f>D11*D12*C29*E29*F29/D13</f>
        <v>159046.875</v>
      </c>
      <c r="E14" s="29">
        <f>E11*E12*C30*E30*F30/E13</f>
        <v>636187.5</v>
      </c>
      <c r="F14" s="29">
        <f>F11*F12*C31*E31*F31/F13</f>
        <v>190856.25</v>
      </c>
      <c r="G14" s="29">
        <f>G11*G12*C32*E32*F32/G13</f>
        <v>37110.9375</v>
      </c>
      <c r="H14" s="29">
        <f>H11*H12*C33*E33*F33/H13</f>
        <v>4707.7874999999995</v>
      </c>
      <c r="I14" s="29">
        <f>I11*I12*D34*E34*F34/I13</f>
        <v>5937750</v>
      </c>
      <c r="J14" s="29">
        <f>J11*J12*D35*E35*F35/J13</f>
        <v>254475</v>
      </c>
    </row>
    <row r="15" spans="1:11">
      <c r="A15" s="3" t="s">
        <v>9</v>
      </c>
      <c r="B15" s="29">
        <f>B6*G27</f>
        <v>40000</v>
      </c>
      <c r="C15" s="29">
        <f>C6*G28</f>
        <v>33000</v>
      </c>
      <c r="D15" s="29">
        <f>D6*G29</f>
        <v>36000</v>
      </c>
      <c r="E15" s="29">
        <f>E6*G30</f>
        <v>2720</v>
      </c>
      <c r="F15" s="29">
        <f>F6*G31</f>
        <v>5720</v>
      </c>
      <c r="G15" s="29">
        <f>G6*G32</f>
        <v>5786.4000000000005</v>
      </c>
      <c r="H15" s="29">
        <f>H6*G33</f>
        <v>15000</v>
      </c>
      <c r="I15" s="29">
        <f>I6*G34</f>
        <v>5220</v>
      </c>
      <c r="J15" s="29">
        <f>J6*G35</f>
        <v>2200</v>
      </c>
    </row>
    <row r="16" spans="1:11">
      <c r="A16" s="3" t="s">
        <v>10</v>
      </c>
      <c r="B16" s="29">
        <f>'Industry Setup'!G11*22*H27*F27*B5*12</f>
        <v>1742400</v>
      </c>
      <c r="C16" s="29">
        <f>F28*H28*'Industry Setup'!G10*22*C5*12</f>
        <v>2209680</v>
      </c>
      <c r="D16" s="29">
        <f>F29*H29*'Industry Setup'!G10*22*D5*12</f>
        <v>2209680</v>
      </c>
      <c r="E16" s="29">
        <f>F30*H30*'Industry Setup'!G10*22*E5*12</f>
        <v>4419360</v>
      </c>
      <c r="F16" s="29">
        <f>F31*H31*'Industry Setup'!G10*22*F5*12</f>
        <v>2209680</v>
      </c>
      <c r="G16" s="29">
        <f>F32*H32*'Industry Setup'!G10*22*G5*12</f>
        <v>4419360</v>
      </c>
      <c r="H16" s="29">
        <f>F33*H33*'Industry Setup'!G10*22*H5*12</f>
        <v>6629040</v>
      </c>
      <c r="I16" s="29">
        <f>F34*H34*'Industry Setup'!G10*22*I5*12</f>
        <v>2209680</v>
      </c>
      <c r="J16" s="29">
        <f>F35*H35*'Industry Setup'!G10*22*J5*12</f>
        <v>4419360</v>
      </c>
    </row>
    <row r="17" spans="1:12">
      <c r="A17" s="3" t="s">
        <v>13</v>
      </c>
      <c r="B17" s="175">
        <f>B6*I27</f>
        <v>10000</v>
      </c>
      <c r="C17" s="172">
        <f>C6*I28</f>
        <v>8250</v>
      </c>
      <c r="D17" s="175">
        <f>D6*I29</f>
        <v>9000</v>
      </c>
      <c r="E17" s="175">
        <f>E6*I30</f>
        <v>680</v>
      </c>
      <c r="F17" s="175">
        <f>F6*I31</f>
        <v>1430</v>
      </c>
      <c r="G17" s="175">
        <f>G6*I32</f>
        <v>578.64</v>
      </c>
      <c r="H17" s="175">
        <f>H6*I33</f>
        <v>3750</v>
      </c>
      <c r="I17" s="175">
        <f>I6*I34</f>
        <v>1305</v>
      </c>
      <c r="J17" s="175">
        <f>J6*I35</f>
        <v>550</v>
      </c>
    </row>
    <row r="18" spans="1:12">
      <c r="A18" s="3" t="s">
        <v>11</v>
      </c>
      <c r="B18" s="10">
        <f>K36*8*0.000247105*3500000</f>
        <v>802597.04</v>
      </c>
      <c r="C18" s="10">
        <f>K36*8*0.000247105*3500000</f>
        <v>802597.04</v>
      </c>
      <c r="D18" s="10">
        <f>K36*8*0.000247105*3500000</f>
        <v>802597.04</v>
      </c>
      <c r="E18" s="10">
        <f>K36*8*0.000247105*3500000</f>
        <v>802597.04</v>
      </c>
      <c r="F18" s="10">
        <f>K36*8*0.000247105*3500000</f>
        <v>802597.04</v>
      </c>
      <c r="G18" s="10">
        <f>K36*8*0.000247105*3500000</f>
        <v>802597.04</v>
      </c>
      <c r="H18" s="10">
        <f>K36*8*0.000247105*3500000</f>
        <v>802597.04</v>
      </c>
      <c r="I18" s="10">
        <f>K36*8*0.000247105*3500000</f>
        <v>802597.04</v>
      </c>
      <c r="J18" s="10">
        <f>K36*8*0.000247105*3500000</f>
        <v>802597.04</v>
      </c>
    </row>
    <row r="19" spans="1:12">
      <c r="A19" s="3"/>
      <c r="B19" s="29"/>
      <c r="C19" s="29"/>
      <c r="D19" s="29"/>
      <c r="E19" s="29"/>
      <c r="F19" s="29"/>
      <c r="G19" s="29"/>
      <c r="H19" s="29"/>
      <c r="I19" s="29"/>
      <c r="J19" s="29"/>
    </row>
    <row r="20" spans="1:12">
      <c r="A20" s="3" t="s">
        <v>41</v>
      </c>
      <c r="B20" s="29">
        <f>SUM(B7:B9,B14:B18)</f>
        <v>8208836.415</v>
      </c>
      <c r="C20" s="29">
        <f t="shared" ref="C20:J20" si="3">SUM(C7:C9,C14:C18)</f>
        <v>16909663.274374999</v>
      </c>
      <c r="D20" s="29">
        <f t="shared" si="3"/>
        <v>4451654.3525</v>
      </c>
      <c r="E20" s="29">
        <f t="shared" si="3"/>
        <v>5954880.6174999997</v>
      </c>
      <c r="F20" s="29">
        <f t="shared" si="3"/>
        <v>3406563.5706250002</v>
      </c>
      <c r="G20" s="29">
        <f t="shared" si="3"/>
        <v>5449525.7964875</v>
      </c>
      <c r="H20" s="29">
        <f t="shared" si="3"/>
        <v>7969815.8431249997</v>
      </c>
      <c r="I20" s="29">
        <f t="shared" si="3"/>
        <v>9135674.9534374997</v>
      </c>
      <c r="J20" s="29">
        <f t="shared" si="3"/>
        <v>5554674.4556250004</v>
      </c>
    </row>
    <row r="21" spans="1:12">
      <c r="A21" s="3"/>
      <c r="B21" s="29"/>
      <c r="C21" s="29"/>
      <c r="D21" s="29"/>
      <c r="E21" s="29"/>
      <c r="F21" s="29"/>
      <c r="G21" s="29"/>
      <c r="H21" s="29"/>
      <c r="I21" s="29"/>
      <c r="J21" s="29"/>
    </row>
    <row r="22" spans="1:12">
      <c r="A22" s="3" t="s">
        <v>12</v>
      </c>
      <c r="B22" s="29">
        <f>ROUNDUP(B20/(C27*E27*F27),0)</f>
        <v>787</v>
      </c>
      <c r="C22" s="29">
        <f>ROUNDUP(C20/(C28*E28*F28),0)</f>
        <v>3240</v>
      </c>
      <c r="D22" s="29">
        <f>ROUNDUP(D20/(C29*E29*F29),0)</f>
        <v>1706</v>
      </c>
      <c r="E22" s="29">
        <f>ROUNDUP(E20/(C30*E30*F30),0)</f>
        <v>1141</v>
      </c>
      <c r="F22" s="29">
        <f>ROUNDUP(F20/(C31*E31*F31),0)</f>
        <v>871</v>
      </c>
      <c r="G22" s="29">
        <f>ROUNDUP(G20/(C32*E32*F32),0)</f>
        <v>836</v>
      </c>
      <c r="H22" s="29">
        <f>ROUNDUP(H20/(C33*E33*F33),0)</f>
        <v>1527</v>
      </c>
      <c r="I22" s="29">
        <f>ROUNDUP(I20/(C34*E34*F34),0)</f>
        <v>1401</v>
      </c>
      <c r="J22" s="29">
        <f>ROUNDUP(J20/(C35*E35*F35),0)</f>
        <v>2129</v>
      </c>
    </row>
    <row r="23" spans="1:12">
      <c r="B23" s="1"/>
      <c r="C23" s="1"/>
      <c r="D23" s="1"/>
      <c r="E23" s="1"/>
      <c r="F23" s="1"/>
      <c r="G23" s="1"/>
      <c r="H23" s="1"/>
      <c r="I23" s="1"/>
    </row>
    <row r="24" spans="1:12">
      <c r="C24" t="s">
        <v>81</v>
      </c>
    </row>
    <row r="26" spans="1:12">
      <c r="A26" s="12" t="s">
        <v>180</v>
      </c>
      <c r="B26" s="12" t="s">
        <v>314</v>
      </c>
      <c r="C26" s="12" t="s">
        <v>177</v>
      </c>
      <c r="D26" s="12" t="s">
        <v>176</v>
      </c>
      <c r="E26" s="12" t="s">
        <v>17</v>
      </c>
      <c r="F26" s="12" t="s">
        <v>16</v>
      </c>
      <c r="G26" s="12" t="s">
        <v>21</v>
      </c>
      <c r="H26" s="12" t="s">
        <v>15</v>
      </c>
      <c r="I26" s="12" t="s">
        <v>18</v>
      </c>
      <c r="J26" s="12" t="s">
        <v>22</v>
      </c>
      <c r="K26" s="12" t="s">
        <v>315</v>
      </c>
    </row>
    <row r="27" spans="1:12" ht="13.75" customHeight="1">
      <c r="A27" s="12" t="s">
        <v>23</v>
      </c>
      <c r="B27" s="29">
        <f t="shared" ref="B27:B35" si="4">C27/D27*100</f>
        <v>50</v>
      </c>
      <c r="C27" s="29">
        <f>ROUNDUP('Part Cost'!D20*2.5+'Part Cost'!E20*2.5+'Part Cost'!F20*7.5+'Part Cost'!G20*7.5+'Part Cost'!Q20*2.5,0)</f>
        <v>8</v>
      </c>
      <c r="D27" s="29">
        <v>16</v>
      </c>
      <c r="E27" s="29">
        <v>261</v>
      </c>
      <c r="F27" s="29">
        <v>5</v>
      </c>
      <c r="G27" s="29">
        <v>0.02</v>
      </c>
      <c r="H27" s="29">
        <v>2</v>
      </c>
      <c r="I27" s="29">
        <v>5.0000000000000001E-3</v>
      </c>
      <c r="J27" s="29">
        <v>0.05</v>
      </c>
      <c r="K27" s="178">
        <f>6.8*B5</f>
        <v>6.8</v>
      </c>
      <c r="L27" s="179">
        <f>1.6*1.7*2.5</f>
        <v>6.8000000000000007</v>
      </c>
    </row>
    <row r="28" spans="1:12">
      <c r="A28" s="12" t="s">
        <v>20</v>
      </c>
      <c r="B28" s="29">
        <f t="shared" si="4"/>
        <v>25</v>
      </c>
      <c r="C28" s="29">
        <f>ROUNDUP('Part Cost'!E21*2.5+'Part Cost'!F21*7.5+'Part Cost'!G21*7.5,0)</f>
        <v>4</v>
      </c>
      <c r="D28" s="29">
        <v>16</v>
      </c>
      <c r="E28" s="29">
        <v>261</v>
      </c>
      <c r="F28" s="29">
        <v>5</v>
      </c>
      <c r="G28" s="29">
        <v>0.02</v>
      </c>
      <c r="H28" s="29">
        <v>3</v>
      </c>
      <c r="I28" s="29">
        <v>5.0000000000000001E-3</v>
      </c>
      <c r="J28" s="29">
        <v>0.05</v>
      </c>
      <c r="K28" s="178">
        <f>8.72*C5</f>
        <v>8.7200000000000006</v>
      </c>
      <c r="L28" s="179">
        <f>2.1*1.66*2.5</f>
        <v>8.7149999999999999</v>
      </c>
    </row>
    <row r="29" spans="1:12">
      <c r="A29" s="12" t="s">
        <v>179</v>
      </c>
      <c r="B29" s="29">
        <f t="shared" si="4"/>
        <v>12.5</v>
      </c>
      <c r="C29" s="29">
        <f>ROUNDUP('Part Cost'!E22*2.5+'Part Cost'!F22*7.5+'Part Cost'!G22*7.5,0)</f>
        <v>2</v>
      </c>
      <c r="D29" s="29">
        <v>16</v>
      </c>
      <c r="E29" s="29">
        <v>261</v>
      </c>
      <c r="F29" s="29">
        <v>5</v>
      </c>
      <c r="G29" s="29">
        <v>0.02</v>
      </c>
      <c r="H29" s="29">
        <v>3</v>
      </c>
      <c r="I29" s="29">
        <v>5.0000000000000001E-3</v>
      </c>
      <c r="J29" s="29">
        <v>0.05</v>
      </c>
      <c r="K29" s="178">
        <f>30.63*D5</f>
        <v>30.63</v>
      </c>
      <c r="L29" s="179">
        <f>4.9*2.5*2.5</f>
        <v>30.625</v>
      </c>
    </row>
    <row r="30" spans="1:12">
      <c r="A30" s="12" t="str">
        <f>(E3)</f>
        <v xml:space="preserve">TIG Welding </v>
      </c>
      <c r="B30" s="29">
        <f t="shared" si="4"/>
        <v>25</v>
      </c>
      <c r="C30" s="29">
        <v>4</v>
      </c>
      <c r="D30" s="29">
        <v>16</v>
      </c>
      <c r="E30" s="29">
        <v>261</v>
      </c>
      <c r="F30" s="29">
        <v>5</v>
      </c>
      <c r="G30" s="29">
        <v>0.02</v>
      </c>
      <c r="H30" s="29">
        <v>3</v>
      </c>
      <c r="I30" s="29">
        <v>5.0000000000000001E-3</v>
      </c>
      <c r="J30" s="29">
        <v>0.05</v>
      </c>
      <c r="K30" s="178">
        <f>0.62*E5</f>
        <v>1.24</v>
      </c>
      <c r="L30" s="179">
        <f>0.65*0.32*3</f>
        <v>0.62400000000000011</v>
      </c>
    </row>
    <row r="31" spans="1:12">
      <c r="A31" s="12" t="str">
        <f>(F3)</f>
        <v xml:space="preserve">Sheet Moulding Compound </v>
      </c>
      <c r="B31" s="29">
        <f t="shared" si="4"/>
        <v>18.75</v>
      </c>
      <c r="C31" s="29">
        <f>ROUNDUP('Part Cost'!H23*2.5+'Part Cost'!I23*7.5+'Part Cost'!J23*7.5+'Part Cost'!K23*2.5+'Part Cost'!M23,0)</f>
        <v>3</v>
      </c>
      <c r="D31" s="29">
        <v>16</v>
      </c>
      <c r="E31" s="29">
        <v>261</v>
      </c>
      <c r="F31" s="29">
        <v>5</v>
      </c>
      <c r="G31" s="29">
        <v>0.02</v>
      </c>
      <c r="H31" s="29">
        <v>3</v>
      </c>
      <c r="I31" s="29">
        <v>5.0000000000000001E-3</v>
      </c>
      <c r="J31" s="29">
        <v>0.05</v>
      </c>
      <c r="K31" s="178">
        <f>30*F5</f>
        <v>30</v>
      </c>
      <c r="L31" s="179">
        <f>5*2.4*2.5</f>
        <v>30</v>
      </c>
    </row>
    <row r="32" spans="1:12">
      <c r="A32" s="12" t="str">
        <f>(G3)</f>
        <v xml:space="preserve">3D Printing </v>
      </c>
      <c r="B32" s="29">
        <f t="shared" si="4"/>
        <v>31.25</v>
      </c>
      <c r="C32" s="29">
        <f>ROUNDUP('Part Cost'!O24*2.5,0)</f>
        <v>5</v>
      </c>
      <c r="D32" s="29">
        <v>16</v>
      </c>
      <c r="E32" s="29">
        <v>261</v>
      </c>
      <c r="F32" s="29">
        <v>5</v>
      </c>
      <c r="G32" s="29">
        <v>0.02</v>
      </c>
      <c r="H32" s="29">
        <v>3</v>
      </c>
      <c r="I32" s="29">
        <v>2E-3</v>
      </c>
      <c r="J32" s="29">
        <v>0</v>
      </c>
      <c r="K32" s="178">
        <f>1.07*G5</f>
        <v>2.14</v>
      </c>
      <c r="L32" s="179">
        <f>0.65*0.55*3</f>
        <v>1.0725000000000002</v>
      </c>
    </row>
    <row r="33" spans="1:12">
      <c r="A33" s="12" t="s">
        <v>86</v>
      </c>
      <c r="B33" s="29">
        <f t="shared" si="4"/>
        <v>25</v>
      </c>
      <c r="C33" s="29">
        <f>ROUNDUP('Part Cost'!D25*2.5+'Part Cost'!E25*2.5+'Part Cost'!F25*7.5+'Part Cost'!G25*7.5+'Part Cost'!N25*5+'Part Cost'!O25*2.5+'Part Cost'!P25*7.5+'Part Cost'!Q25*2.5,0)</f>
        <v>4</v>
      </c>
      <c r="D33" s="29">
        <v>16</v>
      </c>
      <c r="E33" s="29">
        <v>261</v>
      </c>
      <c r="F33" s="29">
        <v>5</v>
      </c>
      <c r="G33" s="29">
        <v>0.02</v>
      </c>
      <c r="H33" s="29">
        <v>3</v>
      </c>
      <c r="I33" s="29">
        <v>5.0000000000000001E-3</v>
      </c>
      <c r="J33" s="29">
        <v>0.05</v>
      </c>
      <c r="K33" s="178">
        <f>5.4*H5</f>
        <v>16.200000000000003</v>
      </c>
      <c r="L33" s="179">
        <f>1.2*1.5*3</f>
        <v>5.3999999999999995</v>
      </c>
    </row>
    <row r="34" spans="1:12">
      <c r="A34" s="12" t="s">
        <v>157</v>
      </c>
      <c r="B34" s="29">
        <f t="shared" si="4"/>
        <v>31.25</v>
      </c>
      <c r="C34" s="29">
        <f>ROUNDUP('Part Cost'!K26*2.5+'Part Cost'!L26*2.5+'Part Cost'!M26*2.5+'Part Cost'!N26*5+'Part Cost'!P26*7.5,0)</f>
        <v>5</v>
      </c>
      <c r="D34" s="29">
        <v>16</v>
      </c>
      <c r="E34" s="29">
        <v>261</v>
      </c>
      <c r="F34" s="29">
        <v>5</v>
      </c>
      <c r="G34" s="29">
        <v>0.02</v>
      </c>
      <c r="H34" s="29">
        <v>3</v>
      </c>
      <c r="I34" s="29">
        <v>5.0000000000000001E-3</v>
      </c>
      <c r="J34" s="29">
        <v>0.05</v>
      </c>
      <c r="K34" s="178">
        <f>12.69*I5</f>
        <v>12.69</v>
      </c>
      <c r="L34" s="179">
        <f>3.5*1.45*2.5</f>
        <v>12.6875</v>
      </c>
    </row>
    <row r="35" spans="1:12">
      <c r="A35" s="12" t="s">
        <v>101</v>
      </c>
      <c r="B35" s="29">
        <f t="shared" si="4"/>
        <v>12.5</v>
      </c>
      <c r="C35" s="29">
        <f>ROUNDUP('Part Cost'!D27*2.5+'Part Cost'!G27*7.5+'Part Cost'!H27*2.5+'Part Cost'!I27*7.5+'Part Cost'!Q27*2.5,0)</f>
        <v>2</v>
      </c>
      <c r="D35" s="29">
        <v>16</v>
      </c>
      <c r="E35" s="29">
        <v>261</v>
      </c>
      <c r="F35" s="29">
        <v>5</v>
      </c>
      <c r="G35" s="29">
        <v>0.02</v>
      </c>
      <c r="H35" s="29">
        <v>3</v>
      </c>
      <c r="I35" s="29">
        <v>5.0000000000000001E-3</v>
      </c>
      <c r="J35" s="29">
        <v>0.05</v>
      </c>
      <c r="K35" s="178">
        <f>3.51*J5</f>
        <v>7.02</v>
      </c>
      <c r="L35" s="179">
        <f>1.3*0.9*3</f>
        <v>3.5100000000000007</v>
      </c>
    </row>
    <row r="36" spans="1:12">
      <c r="B36" s="173"/>
      <c r="C36" s="173"/>
      <c r="D36" s="173"/>
      <c r="E36" s="173"/>
      <c r="F36" s="173"/>
      <c r="G36" s="173"/>
      <c r="H36" s="173"/>
      <c r="I36" s="173"/>
      <c r="J36" s="12" t="s">
        <v>310</v>
      </c>
      <c r="K36" s="29">
        <f>ROUNDUP(SUM(K27:K35),0)</f>
        <v>116</v>
      </c>
    </row>
  </sheetData>
  <mergeCells count="1">
    <mergeCell ref="A1:J2"/>
  </mergeCells>
  <pageMargins left="0.7" right="0.7" top="0.75" bottom="0.75" header="0.3" footer="0.3"/>
  <pageSetup paperSize="9" scale="4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6"/>
  <sheetViews>
    <sheetView zoomScale="85" zoomScaleNormal="85" workbookViewId="0">
      <selection activeCell="D29" sqref="D29"/>
    </sheetView>
  </sheetViews>
  <sheetFormatPr baseColWidth="10" defaultColWidth="8.83203125" defaultRowHeight="15"/>
  <cols>
    <col min="1" max="1" width="35.5" customWidth="1"/>
    <col min="2" max="2" width="26.6640625" customWidth="1"/>
    <col min="3" max="3" width="26.83203125" customWidth="1"/>
    <col min="4" max="4" width="22.5" customWidth="1"/>
    <col min="5" max="5" width="19.5" customWidth="1"/>
    <col min="6" max="6" width="26.5" bestFit="1" customWidth="1"/>
    <col min="7" max="7" width="19.33203125" bestFit="1" customWidth="1"/>
    <col min="8" max="8" width="16.5" customWidth="1"/>
    <col min="9" max="9" width="25.6640625" customWidth="1"/>
    <col min="10" max="10" width="15.6640625" bestFit="1" customWidth="1"/>
    <col min="11" max="11" width="16.83203125" customWidth="1"/>
    <col min="12" max="12" width="18.33203125" customWidth="1"/>
    <col min="13" max="13" width="22.6640625" customWidth="1"/>
    <col min="14" max="14" width="21.6640625" customWidth="1"/>
  </cols>
  <sheetData>
    <row r="1" spans="1:11" ht="23.5" customHeight="1">
      <c r="A1" s="241"/>
      <c r="B1" s="241"/>
      <c r="C1" s="241"/>
      <c r="D1" s="241"/>
      <c r="E1" s="241"/>
      <c r="F1" s="241"/>
      <c r="G1" s="241"/>
      <c r="H1" s="241"/>
      <c r="I1" s="241"/>
      <c r="J1" s="241"/>
      <c r="K1" s="176"/>
    </row>
    <row r="2" spans="1:11" ht="14" customHeight="1">
      <c r="A2" s="241"/>
      <c r="B2" s="241"/>
      <c r="C2" s="241"/>
      <c r="D2" s="241"/>
      <c r="E2" s="241"/>
      <c r="F2" s="241"/>
      <c r="G2" s="241"/>
      <c r="H2" s="241"/>
      <c r="I2" s="241"/>
      <c r="J2" s="241"/>
    </row>
    <row r="3" spans="1:11">
      <c r="A3" s="3" t="s">
        <v>24</v>
      </c>
      <c r="B3" s="3" t="s">
        <v>19</v>
      </c>
      <c r="C3" s="3" t="s">
        <v>20</v>
      </c>
      <c r="D3" s="3" t="s">
        <v>179</v>
      </c>
      <c r="E3" s="3" t="s">
        <v>82</v>
      </c>
      <c r="F3" s="3" t="s">
        <v>313</v>
      </c>
      <c r="G3" s="3" t="s">
        <v>83</v>
      </c>
      <c r="H3" s="3" t="s">
        <v>86</v>
      </c>
      <c r="I3" s="3" t="s">
        <v>157</v>
      </c>
      <c r="J3" s="177" t="s">
        <v>101</v>
      </c>
      <c r="K3" s="15"/>
    </row>
    <row r="4" spans="1:11">
      <c r="A4" s="3" t="s">
        <v>0</v>
      </c>
      <c r="B4" s="192">
        <f>MHR!B4/'Industry Setup (2)'!$G$51</f>
        <v>28571.428571428572</v>
      </c>
      <c r="C4" s="192">
        <f>MHR!C4/'Industry Setup (2)'!$G$51</f>
        <v>23571.428571428572</v>
      </c>
      <c r="D4" s="192">
        <f>MHR!D4/'Industry Setup (2)'!$G$51</f>
        <v>25714.285714285714</v>
      </c>
      <c r="E4" s="192">
        <f>MHR!E4/'Industry Setup (2)'!$G$51</f>
        <v>971.42857142857144</v>
      </c>
      <c r="F4" s="192">
        <f>MHR!F4/'Industry Setup (2)'!$G$51</f>
        <v>4085.7142857142858</v>
      </c>
      <c r="G4" s="192">
        <f>MHR!G4/'Industry Setup (2)'!$G$51</f>
        <v>2066.5714285714284</v>
      </c>
      <c r="H4" s="192">
        <f>MHR!H4/'Industry Setup (2)'!$G$51</f>
        <v>3571.4285714285716</v>
      </c>
      <c r="I4" s="192">
        <f>MHR!I4/'Industry Setup (2)'!$G$51</f>
        <v>3728.5714285714284</v>
      </c>
      <c r="J4" s="192">
        <f>MHR!J4/'Industry Setup (2)'!$G$51</f>
        <v>785.71428571428567</v>
      </c>
    </row>
    <row r="5" spans="1:11">
      <c r="A5" s="3" t="s">
        <v>1</v>
      </c>
      <c r="B5" s="29">
        <v>1</v>
      </c>
      <c r="C5" s="29">
        <v>1</v>
      </c>
      <c r="D5" s="29">
        <v>1</v>
      </c>
      <c r="E5" s="29">
        <v>2</v>
      </c>
      <c r="F5" s="29">
        <v>1</v>
      </c>
      <c r="G5" s="29">
        <v>2</v>
      </c>
      <c r="H5" s="29">
        <v>3</v>
      </c>
      <c r="I5" s="29">
        <v>1</v>
      </c>
      <c r="J5" s="29">
        <v>2</v>
      </c>
    </row>
    <row r="6" spans="1:11">
      <c r="A6" s="3" t="s">
        <v>2</v>
      </c>
      <c r="B6" s="192">
        <f>B4*B5</f>
        <v>28571.428571428572</v>
      </c>
      <c r="C6" s="192">
        <f t="shared" ref="C6:J6" si="0">C4*C5</f>
        <v>23571.428571428572</v>
      </c>
      <c r="D6" s="192">
        <f t="shared" si="0"/>
        <v>25714.285714285714</v>
      </c>
      <c r="E6" s="192">
        <f t="shared" si="0"/>
        <v>1942.8571428571429</v>
      </c>
      <c r="F6" s="192">
        <f t="shared" si="0"/>
        <v>4085.7142857142858</v>
      </c>
      <c r="G6" s="192">
        <f t="shared" si="0"/>
        <v>4133.1428571428569</v>
      </c>
      <c r="H6" s="192">
        <f t="shared" si="0"/>
        <v>10714.285714285714</v>
      </c>
      <c r="I6" s="192">
        <f t="shared" si="0"/>
        <v>3728.5714285714284</v>
      </c>
      <c r="J6" s="192">
        <f t="shared" si="0"/>
        <v>1571.4285714285713</v>
      </c>
    </row>
    <row r="7" spans="1:11">
      <c r="A7" s="3" t="s">
        <v>3</v>
      </c>
      <c r="B7" s="192">
        <f>B6*J27</f>
        <v>1428.5714285714287</v>
      </c>
      <c r="C7" s="192">
        <f>C6*J28</f>
        <v>1178.5714285714287</v>
      </c>
      <c r="D7" s="192">
        <f>D6*J29</f>
        <v>1285.7142857142858</v>
      </c>
      <c r="E7" s="192">
        <f>E6*J30</f>
        <v>97.142857142857153</v>
      </c>
      <c r="F7" s="192">
        <f>F6*J31</f>
        <v>204.28571428571431</v>
      </c>
      <c r="G7" s="192">
        <f>G6*J32</f>
        <v>0</v>
      </c>
      <c r="H7" s="192">
        <f>H6*J33</f>
        <v>535.71428571428567</v>
      </c>
      <c r="I7" s="192">
        <f>I6*J34</f>
        <v>186.42857142857144</v>
      </c>
      <c r="J7" s="192">
        <f>J6*J35</f>
        <v>78.571428571428569</v>
      </c>
      <c r="K7" s="198"/>
    </row>
    <row r="8" spans="1:11">
      <c r="A8" s="3" t="s">
        <v>4</v>
      </c>
      <c r="B8" s="192">
        <f>(B6-B6*(POWER((1-0.15),F27)))</f>
        <v>15894.133928571433</v>
      </c>
      <c r="C8" s="192">
        <f>(C6-C6*(POWER((1-0.15),F28)))</f>
        <v>13112.660491071432</v>
      </c>
      <c r="D8" s="192">
        <f>(D6-D6*(POWER((1-0.15),F29)))</f>
        <v>14304.720535714288</v>
      </c>
      <c r="E8" s="192">
        <f>(E6-E6*(POWER((1-0.15),F30)))</f>
        <v>1080.8011071428573</v>
      </c>
      <c r="F8" s="192">
        <f>(F6-F6*(POWER((1-0.15),F31)))</f>
        <v>2272.8611517857148</v>
      </c>
      <c r="G8" s="192">
        <f>(G6-G6*(POWER((1-0.15),F32)))</f>
        <v>2299.245414107143</v>
      </c>
      <c r="H8" s="192">
        <f>(H6-H6*(POWER((1-0.15),F33)))</f>
        <v>5960.3002232142862</v>
      </c>
      <c r="I8" s="192">
        <f>(I6-I6*(POWER((1-0.15),F34)))</f>
        <v>2074.184477678572</v>
      </c>
      <c r="J8" s="192">
        <f>(J6-J6*(POWER((1-0.15),F35)))</f>
        <v>874.17736607142865</v>
      </c>
      <c r="K8" s="198"/>
    </row>
    <row r="9" spans="1:11">
      <c r="A9" s="3" t="s">
        <v>84</v>
      </c>
      <c r="B9" s="192">
        <f t="shared" ref="B9:G9" si="1">B6*0.08</f>
        <v>2285.7142857142858</v>
      </c>
      <c r="C9" s="192">
        <f t="shared" si="1"/>
        <v>1885.7142857142858</v>
      </c>
      <c r="D9" s="192">
        <f t="shared" si="1"/>
        <v>2057.1428571428573</v>
      </c>
      <c r="E9" s="192">
        <f t="shared" si="1"/>
        <v>155.42857142857144</v>
      </c>
      <c r="F9" s="192">
        <f t="shared" si="1"/>
        <v>326.85714285714289</v>
      </c>
      <c r="G9" s="192">
        <f t="shared" si="1"/>
        <v>330.65142857142854</v>
      </c>
      <c r="H9" s="192">
        <f>H6*0.08</f>
        <v>857.14285714285711</v>
      </c>
      <c r="I9" s="192">
        <f>I6*0.08</f>
        <v>298.28571428571428</v>
      </c>
      <c r="J9" s="192">
        <f>J6*0.08</f>
        <v>125.71428571428571</v>
      </c>
      <c r="K9" s="198"/>
    </row>
    <row r="10" spans="1:11">
      <c r="A10" s="3" t="s">
        <v>14</v>
      </c>
      <c r="B10" s="29">
        <v>50</v>
      </c>
      <c r="C10" s="29">
        <v>300</v>
      </c>
      <c r="D10" s="29">
        <v>7.5</v>
      </c>
      <c r="E10" s="29">
        <v>7.5</v>
      </c>
      <c r="F10" s="29">
        <v>6</v>
      </c>
      <c r="G10" s="29">
        <v>0.35</v>
      </c>
      <c r="H10" s="29">
        <v>3.6999999999999998E-2</v>
      </c>
      <c r="I10" s="29">
        <v>35</v>
      </c>
      <c r="J10" s="29">
        <v>0.75</v>
      </c>
    </row>
    <row r="11" spans="1:11">
      <c r="A11" s="3" t="s">
        <v>5</v>
      </c>
      <c r="B11" s="29">
        <f t="shared" ref="B11:H11" si="2">B10*B5</f>
        <v>50</v>
      </c>
      <c r="C11" s="29">
        <f t="shared" si="2"/>
        <v>300</v>
      </c>
      <c r="D11" s="29">
        <f t="shared" si="2"/>
        <v>7.5</v>
      </c>
      <c r="E11" s="29">
        <f t="shared" si="2"/>
        <v>15</v>
      </c>
      <c r="F11" s="29">
        <f t="shared" si="2"/>
        <v>6</v>
      </c>
      <c r="G11" s="29">
        <f t="shared" si="2"/>
        <v>0.7</v>
      </c>
      <c r="H11" s="29">
        <f t="shared" si="2"/>
        <v>0.11099999999999999</v>
      </c>
      <c r="I11" s="29">
        <f>I10*I5</f>
        <v>35</v>
      </c>
      <c r="J11" s="29">
        <f>J10*J5</f>
        <v>1.5</v>
      </c>
    </row>
    <row r="12" spans="1:11">
      <c r="A12" s="3" t="s">
        <v>6</v>
      </c>
      <c r="B12" s="192">
        <f>MHR!B12/'Industry Setup (2)'!$G$51</f>
        <v>9.285714285714286E-2</v>
      </c>
      <c r="C12" s="192">
        <f>MHR!C12/'Industry Setup (2)'!$G$51</f>
        <v>9.285714285714286E-2</v>
      </c>
      <c r="D12" s="192">
        <f>MHR!D12/'Industry Setup (2)'!$G$51</f>
        <v>9.285714285714286E-2</v>
      </c>
      <c r="E12" s="192">
        <f>MHR!E12/'Industry Setup (2)'!$G$51</f>
        <v>9.285714285714286E-2</v>
      </c>
      <c r="F12" s="192">
        <f>MHR!F12/'Industry Setup (2)'!$G$51</f>
        <v>9.285714285714286E-2</v>
      </c>
      <c r="G12" s="192">
        <f>MHR!G12/'Industry Setup (2)'!$G$51</f>
        <v>9.285714285714286E-2</v>
      </c>
      <c r="H12" s="192">
        <f>MHR!H12/'Industry Setup (2)'!$G$51</f>
        <v>9.285714285714286E-2</v>
      </c>
      <c r="I12" s="192">
        <f>MHR!I12/'Industry Setup (2)'!$G$51</f>
        <v>9.285714285714286E-2</v>
      </c>
      <c r="J12" s="192">
        <f>MHR!J12/'Industry Setup (2)'!$G$51</f>
        <v>9.285714285714286E-2</v>
      </c>
    </row>
    <row r="13" spans="1:11">
      <c r="A13" s="3" t="s">
        <v>7</v>
      </c>
      <c r="B13" s="29">
        <v>0.8</v>
      </c>
      <c r="C13" s="29">
        <v>0.8</v>
      </c>
      <c r="D13" s="29">
        <v>0.8</v>
      </c>
      <c r="E13" s="29">
        <v>0.8</v>
      </c>
      <c r="F13" s="29">
        <v>0.8</v>
      </c>
      <c r="G13" s="29">
        <v>0.8</v>
      </c>
      <c r="H13" s="29">
        <v>0.8</v>
      </c>
      <c r="I13" s="29">
        <v>0.8</v>
      </c>
      <c r="J13" s="29">
        <v>0.8</v>
      </c>
    </row>
    <row r="14" spans="1:11">
      <c r="A14" s="3" t="s">
        <v>8</v>
      </c>
      <c r="B14" s="192">
        <f>B11*B12*C27*E27*F27/B13</f>
        <v>60589.285714285725</v>
      </c>
      <c r="C14" s="192">
        <f>C11*C12*C28*E28*F28/C13</f>
        <v>181767.85714285716</v>
      </c>
      <c r="D14" s="192">
        <f>D11*D12*C29*E29*F29/D13</f>
        <v>2272.0982142857142</v>
      </c>
      <c r="E14" s="192">
        <f>E11*E12*C30*E30*F30/E13</f>
        <v>9088.3928571428569</v>
      </c>
      <c r="F14" s="192">
        <f>F11*F12*C31*E31*F31/F13</f>
        <v>2726.5178571428569</v>
      </c>
      <c r="G14" s="192">
        <f>G11*G12*C32*E32*F32/G13</f>
        <v>530.15625</v>
      </c>
      <c r="H14" s="192">
        <f>H11*H12*C33*E33*F33/H13</f>
        <v>67.254107142857137</v>
      </c>
      <c r="I14" s="192">
        <f>I11*I12*D34*E34*F34/I13</f>
        <v>84825</v>
      </c>
      <c r="J14" s="192">
        <f>J11*J12*D35*E35*F35/J13</f>
        <v>3635.3571428571427</v>
      </c>
    </row>
    <row r="15" spans="1:11">
      <c r="A15" s="3" t="s">
        <v>9</v>
      </c>
      <c r="B15" s="192">
        <f>B6*G27</f>
        <v>571.42857142857144</v>
      </c>
      <c r="C15" s="192">
        <f>C6*G28</f>
        <v>471.42857142857144</v>
      </c>
      <c r="D15" s="192">
        <f>D6*G29</f>
        <v>514.28571428571433</v>
      </c>
      <c r="E15" s="192">
        <f>E6*G30</f>
        <v>38.857142857142861</v>
      </c>
      <c r="F15" s="192">
        <f>F6*G31</f>
        <v>81.714285714285722</v>
      </c>
      <c r="G15" s="192">
        <f>G6*G32</f>
        <v>82.662857142857135</v>
      </c>
      <c r="H15" s="192">
        <f>H6*G33</f>
        <v>214.28571428571428</v>
      </c>
      <c r="I15" s="192">
        <f>I6*G34</f>
        <v>74.571428571428569</v>
      </c>
      <c r="J15" s="192">
        <f>J6*G35</f>
        <v>31.428571428571427</v>
      </c>
    </row>
    <row r="16" spans="1:11">
      <c r="A16" s="3" t="s">
        <v>10</v>
      </c>
      <c r="B16" s="192">
        <f>MHR!B16/'Industry Setup (2)'!$G$51</f>
        <v>24891.428571428572</v>
      </c>
      <c r="C16" s="192">
        <f>MHR!C16/'Industry Setup (2)'!$G$51</f>
        <v>31566.857142857141</v>
      </c>
      <c r="D16" s="192">
        <f>MHR!D16/'Industry Setup (2)'!$G$51</f>
        <v>31566.857142857141</v>
      </c>
      <c r="E16" s="192">
        <f>MHR!E16/'Industry Setup (2)'!$G$51</f>
        <v>63133.714285714283</v>
      </c>
      <c r="F16" s="192">
        <f>MHR!F16/'Industry Setup (2)'!$G$51</f>
        <v>31566.857142857141</v>
      </c>
      <c r="G16" s="192">
        <f>MHR!G16/'Industry Setup (2)'!$G$51</f>
        <v>63133.714285714283</v>
      </c>
      <c r="H16" s="192">
        <f>MHR!H16/'Industry Setup (2)'!$G$51</f>
        <v>94700.571428571435</v>
      </c>
      <c r="I16" s="192">
        <f>MHR!I16/'Industry Setup (2)'!$G$51</f>
        <v>31566.857142857141</v>
      </c>
      <c r="J16" s="192">
        <f>MHR!J16/'Industry Setup (2)'!$G$51</f>
        <v>63133.714285714283</v>
      </c>
    </row>
    <row r="17" spans="1:12">
      <c r="A17" s="3" t="s">
        <v>13</v>
      </c>
      <c r="B17" s="199">
        <f>B6*I27</f>
        <v>142.85714285714286</v>
      </c>
      <c r="C17" s="200">
        <f>C6*I28</f>
        <v>117.85714285714286</v>
      </c>
      <c r="D17" s="199">
        <f>D6*I29</f>
        <v>128.57142857142858</v>
      </c>
      <c r="E17" s="199">
        <f>E6*I30</f>
        <v>9.7142857142857153</v>
      </c>
      <c r="F17" s="199">
        <f>F6*I31</f>
        <v>20.428571428571431</v>
      </c>
      <c r="G17" s="199">
        <f>G6*I32</f>
        <v>8.2662857142857131</v>
      </c>
      <c r="H17" s="199">
        <f>H6*I33</f>
        <v>53.571428571428569</v>
      </c>
      <c r="I17" s="199">
        <f>I6*I34</f>
        <v>18.642857142857142</v>
      </c>
      <c r="J17" s="199">
        <f>J6*I35</f>
        <v>7.8571428571428568</v>
      </c>
    </row>
    <row r="18" spans="1:12">
      <c r="A18" s="3" t="s">
        <v>11</v>
      </c>
      <c r="B18" s="192">
        <f>MHR!B18/'Industry Setup (2)'!$G$51</f>
        <v>11465.672</v>
      </c>
      <c r="C18" s="192">
        <f>MHR!C18/'Industry Setup (2)'!$G$51</f>
        <v>11465.672</v>
      </c>
      <c r="D18" s="192">
        <f>MHR!D18/'Industry Setup (2)'!$G$51</f>
        <v>11465.672</v>
      </c>
      <c r="E18" s="192">
        <f>MHR!E18/'Industry Setup (2)'!$G$51</f>
        <v>11465.672</v>
      </c>
      <c r="F18" s="192">
        <f>MHR!F18/'Industry Setup (2)'!$G$51</f>
        <v>11465.672</v>
      </c>
      <c r="G18" s="192">
        <f>MHR!G18/'Industry Setup (2)'!$G$51</f>
        <v>11465.672</v>
      </c>
      <c r="H18" s="192">
        <f>MHR!H18/'Industry Setup (2)'!$G$51</f>
        <v>11465.672</v>
      </c>
      <c r="I18" s="192">
        <f>MHR!I18/'Industry Setup (2)'!$G$51</f>
        <v>11465.672</v>
      </c>
      <c r="J18" s="192">
        <f>MHR!J18/'Industry Setup (2)'!$G$51</f>
        <v>11465.672</v>
      </c>
    </row>
    <row r="19" spans="1:12">
      <c r="A19" s="3"/>
      <c r="B19" s="192"/>
      <c r="C19" s="192"/>
      <c r="D19" s="192"/>
      <c r="E19" s="192"/>
      <c r="F19" s="192"/>
      <c r="G19" s="192"/>
      <c r="H19" s="192"/>
      <c r="I19" s="192"/>
      <c r="J19" s="192"/>
    </row>
    <row r="20" spans="1:12">
      <c r="A20" s="3" t="s">
        <v>41</v>
      </c>
      <c r="B20" s="192">
        <f>SUM(B7:B9,B14:B18)</f>
        <v>117269.09164285715</v>
      </c>
      <c r="C20" s="192">
        <f t="shared" ref="C20:J20" si="3">SUM(C7:C9,C14:C18)</f>
        <v>241566.61820535714</v>
      </c>
      <c r="D20" s="192">
        <f t="shared" si="3"/>
        <v>63595.062178571432</v>
      </c>
      <c r="E20" s="192">
        <f t="shared" si="3"/>
        <v>85069.723107142869</v>
      </c>
      <c r="F20" s="192">
        <f t="shared" si="3"/>
        <v>48665.19386607143</v>
      </c>
      <c r="G20" s="192">
        <f t="shared" si="3"/>
        <v>77850.368521249999</v>
      </c>
      <c r="H20" s="192">
        <f t="shared" si="3"/>
        <v>113854.51204464288</v>
      </c>
      <c r="I20" s="192">
        <f t="shared" si="3"/>
        <v>130509.6421919643</v>
      </c>
      <c r="J20" s="192">
        <f t="shared" si="3"/>
        <v>79352.492223214285</v>
      </c>
    </row>
    <row r="21" spans="1:12">
      <c r="A21" s="3"/>
      <c r="B21" s="192"/>
      <c r="C21" s="192"/>
      <c r="D21" s="192"/>
      <c r="E21" s="192"/>
      <c r="F21" s="192"/>
      <c r="G21" s="192"/>
      <c r="H21" s="192"/>
      <c r="I21" s="192"/>
      <c r="J21" s="192"/>
    </row>
    <row r="22" spans="1:12">
      <c r="A22" s="3" t="s">
        <v>12</v>
      </c>
      <c r="B22" s="192">
        <f>ROUNDUP(B20/(C27*E27*F27),0)</f>
        <v>12</v>
      </c>
      <c r="C22" s="192">
        <f>ROUNDUP(C20/(C28*E28*F28),0)</f>
        <v>47</v>
      </c>
      <c r="D22" s="192">
        <f>ROUNDUP(D20/(C29*E29*F29),0)</f>
        <v>25</v>
      </c>
      <c r="E22" s="192">
        <f>ROUNDUP(E20/(C30*E30*F30),0)</f>
        <v>17</v>
      </c>
      <c r="F22" s="192">
        <f>ROUNDUP(F20/(C31*E31*F31),0)</f>
        <v>13</v>
      </c>
      <c r="G22" s="192">
        <f>ROUNDUP(G20/(C32*E32*F32),0)</f>
        <v>12</v>
      </c>
      <c r="H22" s="192">
        <f>ROUNDUP(H20/(C33*E33*F33),0)</f>
        <v>22</v>
      </c>
      <c r="I22" s="192">
        <f>ROUNDUP(I20/(C34*E34*F34),0)</f>
        <v>21</v>
      </c>
      <c r="J22" s="192">
        <f>ROUNDUP(J20/(C35*E35*F35),0)</f>
        <v>31</v>
      </c>
    </row>
    <row r="23" spans="1:12">
      <c r="B23" s="1"/>
      <c r="C23" s="1"/>
      <c r="D23" s="1"/>
      <c r="E23" s="1"/>
      <c r="F23" s="1"/>
      <c r="G23" s="1"/>
      <c r="H23" s="1"/>
      <c r="I23" s="1"/>
    </row>
    <row r="24" spans="1:12">
      <c r="C24" t="s">
        <v>81</v>
      </c>
    </row>
    <row r="26" spans="1:12">
      <c r="A26" s="12" t="s">
        <v>180</v>
      </c>
      <c r="B26" s="12" t="s">
        <v>314</v>
      </c>
      <c r="C26" s="12" t="s">
        <v>177</v>
      </c>
      <c r="D26" s="12" t="s">
        <v>176</v>
      </c>
      <c r="E26" s="12" t="s">
        <v>17</v>
      </c>
      <c r="F26" s="12" t="s">
        <v>16</v>
      </c>
      <c r="G26" s="12" t="s">
        <v>21</v>
      </c>
      <c r="H26" s="12" t="s">
        <v>15</v>
      </c>
      <c r="I26" s="12" t="s">
        <v>18</v>
      </c>
      <c r="J26" s="12" t="s">
        <v>22</v>
      </c>
      <c r="K26" s="12" t="s">
        <v>315</v>
      </c>
    </row>
    <row r="27" spans="1:12" ht="13.75" customHeight="1">
      <c r="A27" s="12" t="s">
        <v>23</v>
      </c>
      <c r="B27" s="29">
        <f t="shared" ref="B27:B35" si="4">C27/D27*100</f>
        <v>50</v>
      </c>
      <c r="C27" s="29">
        <f>ROUNDUP('Part Cost'!D20*2.5+'Part Cost'!E20*2.5+'Part Cost'!F20*7.5+'Part Cost'!G20*7.5+'Part Cost'!Q20*2.5,0)</f>
        <v>8</v>
      </c>
      <c r="D27" s="29">
        <v>16</v>
      </c>
      <c r="E27" s="29">
        <v>261</v>
      </c>
      <c r="F27" s="29">
        <v>5</v>
      </c>
      <c r="G27" s="29">
        <v>0.02</v>
      </c>
      <c r="H27" s="29">
        <v>2</v>
      </c>
      <c r="I27" s="29">
        <v>5.0000000000000001E-3</v>
      </c>
      <c r="J27" s="29">
        <v>0.05</v>
      </c>
      <c r="K27" s="178">
        <f>6.8*B5</f>
        <v>6.8</v>
      </c>
      <c r="L27" s="179">
        <f>1.6*1.7*2.5</f>
        <v>6.8000000000000007</v>
      </c>
    </row>
    <row r="28" spans="1:12">
      <c r="A28" s="12" t="s">
        <v>20</v>
      </c>
      <c r="B28" s="29">
        <f t="shared" si="4"/>
        <v>25</v>
      </c>
      <c r="C28" s="29">
        <f>ROUNDUP('Part Cost'!E21*2.5+'Part Cost'!F21*7.5+'Part Cost'!G21*7.5,0)</f>
        <v>4</v>
      </c>
      <c r="D28" s="29">
        <v>16</v>
      </c>
      <c r="E28" s="29">
        <v>261</v>
      </c>
      <c r="F28" s="29">
        <v>5</v>
      </c>
      <c r="G28" s="29">
        <v>0.02</v>
      </c>
      <c r="H28" s="29">
        <v>3</v>
      </c>
      <c r="I28" s="29">
        <v>5.0000000000000001E-3</v>
      </c>
      <c r="J28" s="29">
        <v>0.05</v>
      </c>
      <c r="K28" s="178">
        <f>8.72*C5</f>
        <v>8.7200000000000006</v>
      </c>
      <c r="L28" s="179">
        <f>2.1*1.66*2.5</f>
        <v>8.7149999999999999</v>
      </c>
    </row>
    <row r="29" spans="1:12">
      <c r="A29" s="12" t="s">
        <v>179</v>
      </c>
      <c r="B29" s="29">
        <f t="shared" si="4"/>
        <v>12.5</v>
      </c>
      <c r="C29" s="29">
        <f>ROUNDUP('Part Cost'!E22*2.5+'Part Cost'!F22*7.5+'Part Cost'!G22*7.5,0)</f>
        <v>2</v>
      </c>
      <c r="D29" s="29">
        <v>16</v>
      </c>
      <c r="E29" s="29">
        <v>261</v>
      </c>
      <c r="F29" s="29">
        <v>5</v>
      </c>
      <c r="G29" s="29">
        <v>0.02</v>
      </c>
      <c r="H29" s="29">
        <v>3</v>
      </c>
      <c r="I29" s="29">
        <v>5.0000000000000001E-3</v>
      </c>
      <c r="J29" s="29">
        <v>0.05</v>
      </c>
      <c r="K29" s="178">
        <f>30.63*D5</f>
        <v>30.63</v>
      </c>
      <c r="L29" s="179">
        <f>4.9*2.5*2.5</f>
        <v>30.625</v>
      </c>
    </row>
    <row r="30" spans="1:12">
      <c r="A30" s="12" t="str">
        <f>(E3)</f>
        <v xml:space="preserve">TIG Welding </v>
      </c>
      <c r="B30" s="29">
        <f t="shared" si="4"/>
        <v>25</v>
      </c>
      <c r="C30" s="29">
        <v>4</v>
      </c>
      <c r="D30" s="29">
        <v>16</v>
      </c>
      <c r="E30" s="29">
        <v>261</v>
      </c>
      <c r="F30" s="29">
        <v>5</v>
      </c>
      <c r="G30" s="29">
        <v>0.02</v>
      </c>
      <c r="H30" s="29">
        <v>3</v>
      </c>
      <c r="I30" s="29">
        <v>5.0000000000000001E-3</v>
      </c>
      <c r="J30" s="29">
        <v>0.05</v>
      </c>
      <c r="K30" s="178">
        <f>0.62*E5</f>
        <v>1.24</v>
      </c>
      <c r="L30" s="179">
        <f>0.65*0.32*3</f>
        <v>0.62400000000000011</v>
      </c>
    </row>
    <row r="31" spans="1:12">
      <c r="A31" s="12" t="str">
        <f>(F3)</f>
        <v xml:space="preserve">Sheet Moulding Compound </v>
      </c>
      <c r="B31" s="29">
        <f t="shared" si="4"/>
        <v>18.75</v>
      </c>
      <c r="C31" s="29">
        <f>ROUNDUP('Part Cost'!H23*2.5+'Part Cost'!I23*7.5+'Part Cost'!J23*7.5+'Part Cost'!K23*2.5+'Part Cost'!M23,0)</f>
        <v>3</v>
      </c>
      <c r="D31" s="29">
        <v>16</v>
      </c>
      <c r="E31" s="29">
        <v>261</v>
      </c>
      <c r="F31" s="29">
        <v>5</v>
      </c>
      <c r="G31" s="29">
        <v>0.02</v>
      </c>
      <c r="H31" s="29">
        <v>3</v>
      </c>
      <c r="I31" s="29">
        <v>5.0000000000000001E-3</v>
      </c>
      <c r="J31" s="29">
        <v>0.05</v>
      </c>
      <c r="K31" s="178">
        <f>30*F5</f>
        <v>30</v>
      </c>
      <c r="L31" s="179">
        <f>5*2.4*2.5</f>
        <v>30</v>
      </c>
    </row>
    <row r="32" spans="1:12">
      <c r="A32" s="12" t="str">
        <f>(G3)</f>
        <v xml:space="preserve">3D Printing </v>
      </c>
      <c r="B32" s="29">
        <f t="shared" si="4"/>
        <v>31.25</v>
      </c>
      <c r="C32" s="29">
        <f>ROUNDUP('Part Cost'!O24*2.5,0)</f>
        <v>5</v>
      </c>
      <c r="D32" s="29">
        <v>16</v>
      </c>
      <c r="E32" s="29">
        <v>261</v>
      </c>
      <c r="F32" s="29">
        <v>5</v>
      </c>
      <c r="G32" s="29">
        <v>0.02</v>
      </c>
      <c r="H32" s="29">
        <v>3</v>
      </c>
      <c r="I32" s="29">
        <v>2E-3</v>
      </c>
      <c r="J32" s="29">
        <v>0</v>
      </c>
      <c r="K32" s="178">
        <f>1.07*G5</f>
        <v>2.14</v>
      </c>
      <c r="L32" s="179">
        <f>0.65*0.55*3</f>
        <v>1.0725000000000002</v>
      </c>
    </row>
    <row r="33" spans="1:12">
      <c r="A33" s="12" t="s">
        <v>86</v>
      </c>
      <c r="B33" s="29">
        <f t="shared" si="4"/>
        <v>25</v>
      </c>
      <c r="C33" s="29">
        <f>ROUNDUP('Part Cost'!D25*2.5+'Part Cost'!E25*2.5+'Part Cost'!F25*7.5+'Part Cost'!G25*7.5+'Part Cost'!N25*5+'Part Cost'!O25*2.5+'Part Cost'!P25*7.5+'Part Cost'!Q25*2.5,0)</f>
        <v>4</v>
      </c>
      <c r="D33" s="29">
        <v>16</v>
      </c>
      <c r="E33" s="29">
        <v>261</v>
      </c>
      <c r="F33" s="29">
        <v>5</v>
      </c>
      <c r="G33" s="29">
        <v>0.02</v>
      </c>
      <c r="H33" s="29">
        <v>3</v>
      </c>
      <c r="I33" s="29">
        <v>5.0000000000000001E-3</v>
      </c>
      <c r="J33" s="29">
        <v>0.05</v>
      </c>
      <c r="K33" s="178">
        <f>5.4*H5</f>
        <v>16.200000000000003</v>
      </c>
      <c r="L33" s="179">
        <f>1.2*1.5*3</f>
        <v>5.3999999999999995</v>
      </c>
    </row>
    <row r="34" spans="1:12">
      <c r="A34" s="12" t="s">
        <v>157</v>
      </c>
      <c r="B34" s="29">
        <f t="shared" si="4"/>
        <v>31.25</v>
      </c>
      <c r="C34" s="29">
        <f>ROUNDUP('Part Cost'!K26*2.5+'Part Cost'!L26*2.5+'Part Cost'!M26*2.5+'Part Cost'!N26*5+'Part Cost'!P26*7.5,0)</f>
        <v>5</v>
      </c>
      <c r="D34" s="29">
        <v>16</v>
      </c>
      <c r="E34" s="29">
        <v>261</v>
      </c>
      <c r="F34" s="29">
        <v>5</v>
      </c>
      <c r="G34" s="29">
        <v>0.02</v>
      </c>
      <c r="H34" s="29">
        <v>3</v>
      </c>
      <c r="I34" s="29">
        <v>5.0000000000000001E-3</v>
      </c>
      <c r="J34" s="29">
        <v>0.05</v>
      </c>
      <c r="K34" s="178">
        <f>12.69*I5</f>
        <v>12.69</v>
      </c>
      <c r="L34" s="179">
        <f>3.5*1.45*2.5</f>
        <v>12.6875</v>
      </c>
    </row>
    <row r="35" spans="1:12">
      <c r="A35" s="12" t="s">
        <v>101</v>
      </c>
      <c r="B35" s="29">
        <f t="shared" si="4"/>
        <v>12.5</v>
      </c>
      <c r="C35" s="29">
        <f>ROUNDUP('Part Cost'!D27*2.5+'Part Cost'!G27*7.5+'Part Cost'!H27*2.5+'Part Cost'!I27*7.5+'Part Cost'!Q27*2.5,0)</f>
        <v>2</v>
      </c>
      <c r="D35" s="29">
        <v>16</v>
      </c>
      <c r="E35" s="29">
        <v>261</v>
      </c>
      <c r="F35" s="29">
        <v>5</v>
      </c>
      <c r="G35" s="29">
        <v>0.02</v>
      </c>
      <c r="H35" s="29">
        <v>3</v>
      </c>
      <c r="I35" s="29">
        <v>5.0000000000000001E-3</v>
      </c>
      <c r="J35" s="29">
        <v>0.05</v>
      </c>
      <c r="K35" s="178">
        <f>3.51*J5</f>
        <v>7.02</v>
      </c>
      <c r="L35" s="179">
        <f>1.3*0.9*3</f>
        <v>3.5100000000000007</v>
      </c>
    </row>
    <row r="36" spans="1:12">
      <c r="B36" s="173"/>
      <c r="C36" s="173"/>
      <c r="D36" s="173"/>
      <c r="E36" s="173"/>
      <c r="F36" s="173"/>
      <c r="G36" s="173"/>
      <c r="H36" s="173"/>
      <c r="I36" s="173"/>
      <c r="J36" s="12" t="s">
        <v>310</v>
      </c>
      <c r="K36" s="29">
        <f>ROUNDUP(SUM(K27:K35),0)</f>
        <v>116</v>
      </c>
    </row>
  </sheetData>
  <mergeCells count="1">
    <mergeCell ref="A1:J2"/>
  </mergeCells>
  <pageMargins left="0.7" right="0.7" top="0.75" bottom="0.75" header="0.3" footer="0.3"/>
  <pageSetup paperSize="9" scale="4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Q47"/>
  <sheetViews>
    <sheetView topLeftCell="B7" zoomScale="80" zoomScaleNormal="80" workbookViewId="0">
      <selection activeCell="K34" sqref="K34:L34"/>
    </sheetView>
  </sheetViews>
  <sheetFormatPr baseColWidth="10" defaultColWidth="8.83203125" defaultRowHeight="15"/>
  <cols>
    <col min="1" max="1" width="3.1640625" customWidth="1"/>
    <col min="2" max="2" width="34" bestFit="1" customWidth="1"/>
    <col min="3" max="3" width="25.1640625" customWidth="1"/>
    <col min="4" max="4" width="13.6640625" customWidth="1"/>
    <col min="5" max="5" width="13.1640625" customWidth="1"/>
    <col min="6" max="6" width="15" customWidth="1"/>
    <col min="7" max="7" width="13.33203125" customWidth="1"/>
    <col min="8" max="8" width="12.6640625" customWidth="1"/>
    <col min="9" max="9" width="13" customWidth="1"/>
    <col min="10" max="11" width="14.1640625" customWidth="1"/>
    <col min="12" max="12" width="16" customWidth="1"/>
    <col min="13" max="13" width="13.33203125" customWidth="1"/>
    <col min="14" max="15" width="15" customWidth="1"/>
    <col min="16" max="16" width="13.5" customWidth="1"/>
    <col min="17" max="17" width="14.5" customWidth="1"/>
    <col min="19" max="19" width="18.6640625" customWidth="1"/>
    <col min="20" max="20" width="17.6640625" customWidth="1"/>
    <col min="21" max="21" width="18.1640625" customWidth="1"/>
    <col min="22" max="22" width="19.1640625" customWidth="1"/>
  </cols>
  <sheetData>
    <row r="2" spans="2:17" ht="14.5" customHeight="1">
      <c r="B2" s="266" t="s">
        <v>96</v>
      </c>
      <c r="C2" s="267"/>
      <c r="D2" s="267"/>
      <c r="E2" s="267"/>
      <c r="F2" s="267"/>
      <c r="G2" s="267"/>
      <c r="H2" s="267"/>
      <c r="I2" s="267"/>
      <c r="J2" s="267"/>
      <c r="K2" s="267"/>
      <c r="L2" s="267"/>
      <c r="M2" s="267"/>
      <c r="N2" s="267"/>
      <c r="O2" s="267"/>
      <c r="P2" s="267"/>
      <c r="Q2" s="268"/>
    </row>
    <row r="3" spans="2:17">
      <c r="B3" s="269"/>
      <c r="C3" s="270"/>
      <c r="D3" s="270"/>
      <c r="E3" s="270"/>
      <c r="F3" s="270"/>
      <c r="G3" s="270"/>
      <c r="H3" s="270"/>
      <c r="I3" s="270"/>
      <c r="J3" s="270"/>
      <c r="K3" s="270"/>
      <c r="L3" s="270"/>
      <c r="M3" s="270"/>
      <c r="N3" s="270"/>
      <c r="O3" s="270"/>
      <c r="P3" s="270"/>
      <c r="Q3" s="271"/>
    </row>
    <row r="4" spans="2:17">
      <c r="B4" s="3"/>
      <c r="C4" s="3" t="s">
        <v>117</v>
      </c>
      <c r="D4" s="272" t="s">
        <v>119</v>
      </c>
      <c r="E4" s="272"/>
      <c r="F4" s="272"/>
      <c r="G4" s="272"/>
      <c r="H4" s="272" t="s">
        <v>120</v>
      </c>
      <c r="I4" s="272"/>
      <c r="J4" s="272" t="s">
        <v>127</v>
      </c>
      <c r="K4" s="272"/>
      <c r="L4" s="272"/>
      <c r="M4" s="272"/>
      <c r="N4" s="272" t="s">
        <v>106</v>
      </c>
      <c r="O4" s="272"/>
      <c r="P4" s="272"/>
      <c r="Q4" s="3" t="s">
        <v>107</v>
      </c>
    </row>
    <row r="5" spans="2:17" s="1" customFormat="1">
      <c r="B5" s="30" t="s">
        <v>130</v>
      </c>
      <c r="C5" s="3" t="s">
        <v>129</v>
      </c>
      <c r="D5" s="258">
        <v>2710</v>
      </c>
      <c r="E5" s="274"/>
      <c r="F5" s="274"/>
      <c r="G5" s="235"/>
      <c r="H5" s="258">
        <v>1960</v>
      </c>
      <c r="I5" s="235"/>
      <c r="J5" s="258">
        <v>68</v>
      </c>
      <c r="K5" s="274"/>
      <c r="L5" s="274"/>
      <c r="M5" s="235"/>
      <c r="N5" s="258">
        <v>900</v>
      </c>
      <c r="O5" s="274"/>
      <c r="P5" s="235"/>
      <c r="Q5" s="22">
        <v>800</v>
      </c>
    </row>
    <row r="6" spans="2:17">
      <c r="B6" s="273" t="s">
        <v>114</v>
      </c>
      <c r="C6" s="3" t="s">
        <v>97</v>
      </c>
      <c r="D6" s="231">
        <v>520</v>
      </c>
      <c r="E6" s="231"/>
      <c r="F6" s="231"/>
      <c r="G6" s="231"/>
      <c r="H6" s="231">
        <v>380</v>
      </c>
      <c r="I6" s="231"/>
      <c r="J6" s="231">
        <v>150.75</v>
      </c>
      <c r="K6" s="231"/>
      <c r="L6" s="231"/>
      <c r="M6" s="231"/>
      <c r="N6" s="231">
        <v>95</v>
      </c>
      <c r="O6" s="231"/>
      <c r="P6" s="231"/>
      <c r="Q6" s="22">
        <v>90</v>
      </c>
    </row>
    <row r="7" spans="2:17">
      <c r="B7" s="273"/>
      <c r="C7" s="3" t="s">
        <v>98</v>
      </c>
      <c r="D7" s="231">
        <v>150</v>
      </c>
      <c r="E7" s="231"/>
      <c r="F7" s="231"/>
      <c r="G7" s="231"/>
      <c r="H7" s="231">
        <v>15</v>
      </c>
      <c r="I7" s="231"/>
      <c r="J7" s="231">
        <v>60</v>
      </c>
      <c r="K7" s="231"/>
      <c r="L7" s="231"/>
      <c r="M7" s="231"/>
      <c r="N7" s="231">
        <v>40</v>
      </c>
      <c r="O7" s="231"/>
      <c r="P7" s="231"/>
      <c r="Q7" s="22">
        <v>12</v>
      </c>
    </row>
    <row r="8" spans="2:17">
      <c r="B8" s="241"/>
      <c r="C8" s="241"/>
      <c r="D8" s="241"/>
      <c r="E8" s="241"/>
      <c r="F8" s="241"/>
      <c r="G8" s="241"/>
      <c r="H8" s="241"/>
      <c r="I8" s="241"/>
      <c r="J8" s="241"/>
      <c r="K8" s="241"/>
      <c r="L8" s="241"/>
      <c r="M8" s="241"/>
      <c r="N8" s="241"/>
      <c r="O8" s="241"/>
      <c r="P8" s="241"/>
      <c r="Q8" s="27"/>
    </row>
    <row r="9" spans="2:17">
      <c r="B9" s="3"/>
      <c r="C9" s="3" t="s">
        <v>118</v>
      </c>
      <c r="D9" s="3" t="s">
        <v>102</v>
      </c>
      <c r="E9" s="3" t="s">
        <v>110</v>
      </c>
      <c r="F9" s="3" t="s">
        <v>121</v>
      </c>
      <c r="G9" s="3" t="s">
        <v>103</v>
      </c>
      <c r="H9" s="3" t="s">
        <v>99</v>
      </c>
      <c r="I9" s="3" t="s">
        <v>122</v>
      </c>
      <c r="J9" s="3" t="s">
        <v>131</v>
      </c>
      <c r="K9" s="3" t="s">
        <v>105</v>
      </c>
      <c r="L9" s="3" t="s">
        <v>100</v>
      </c>
      <c r="M9" s="3" t="s">
        <v>108</v>
      </c>
      <c r="N9" s="3" t="s">
        <v>124</v>
      </c>
      <c r="O9" s="3" t="s">
        <v>125</v>
      </c>
      <c r="P9" s="3" t="s">
        <v>126</v>
      </c>
      <c r="Q9" s="3" t="s">
        <v>109</v>
      </c>
    </row>
    <row r="10" spans="2:17">
      <c r="B10" s="30" t="s">
        <v>130</v>
      </c>
      <c r="C10" s="3" t="s">
        <v>128</v>
      </c>
      <c r="D10" s="174">
        <v>8.3999999999999995E-5</v>
      </c>
      <c r="E10" s="174">
        <v>1.55E-4</v>
      </c>
      <c r="F10" s="174">
        <v>7.4999999999999993E-5</v>
      </c>
      <c r="G10" s="174">
        <v>6.0000000000000002E-5</v>
      </c>
      <c r="H10" s="174">
        <v>1.6199999999999999E-3</v>
      </c>
      <c r="I10" s="174">
        <v>7.4999999999999993E-5</v>
      </c>
      <c r="J10" s="174">
        <v>1.06E-3</v>
      </c>
      <c r="K10" s="174">
        <v>5.3399999999999997E-4</v>
      </c>
      <c r="L10" s="174">
        <v>2.4899999999999998E-4</v>
      </c>
      <c r="M10" s="174">
        <v>1E-4</v>
      </c>
      <c r="N10" s="174">
        <v>5.8E-4</v>
      </c>
      <c r="O10" s="174">
        <v>3.8000000000000002E-4</v>
      </c>
      <c r="P10" s="174">
        <v>3.0000000000000001E-5</v>
      </c>
      <c r="Q10" s="174">
        <v>1.4E-3</v>
      </c>
    </row>
    <row r="11" spans="2:17">
      <c r="B11" s="273" t="s">
        <v>115</v>
      </c>
      <c r="C11" s="3" t="s">
        <v>97</v>
      </c>
      <c r="D11" s="190">
        <f>D5*D10</f>
        <v>0.22763999999999998</v>
      </c>
      <c r="E11" s="190">
        <f>D5*E10</f>
        <v>0.42004999999999998</v>
      </c>
      <c r="F11" s="190">
        <f>D5*F10</f>
        <v>0.20324999999999999</v>
      </c>
      <c r="G11" s="190">
        <f>D5*G10</f>
        <v>0.16259999999999999</v>
      </c>
      <c r="H11" s="190">
        <f>H5*H10</f>
        <v>3.1751999999999998</v>
      </c>
      <c r="I11" s="190">
        <f>H5*I10</f>
        <v>0.14699999999999999</v>
      </c>
      <c r="J11" s="190">
        <f>J5*J10</f>
        <v>7.2079999999999991E-2</v>
      </c>
      <c r="K11" s="190">
        <f>J5*K10</f>
        <v>3.6311999999999997E-2</v>
      </c>
      <c r="L11" s="190">
        <f>J5*L10</f>
        <v>1.6931999999999999E-2</v>
      </c>
      <c r="M11" s="190">
        <f>J5*M10</f>
        <v>6.8000000000000005E-3</v>
      </c>
      <c r="N11" s="190">
        <f>N5*N10</f>
        <v>0.52200000000000002</v>
      </c>
      <c r="O11" s="190">
        <f>N5*O10</f>
        <v>0.34200000000000003</v>
      </c>
      <c r="P11" s="190">
        <f>N5*P10</f>
        <v>2.7E-2</v>
      </c>
      <c r="Q11" s="190">
        <f>Q5*Q10</f>
        <v>1.1199999999999999</v>
      </c>
    </row>
    <row r="12" spans="2:17">
      <c r="B12" s="273"/>
      <c r="C12" s="3" t="s">
        <v>98</v>
      </c>
      <c r="D12" s="189">
        <f>D11*0.2</f>
        <v>4.5527999999999999E-2</v>
      </c>
      <c r="E12" s="189">
        <f>E11*0.08</f>
        <v>3.3604000000000002E-2</v>
      </c>
      <c r="F12" s="189">
        <f>F11*0.08</f>
        <v>1.626E-2</v>
      </c>
      <c r="G12" s="189">
        <f>G11*0.08</f>
        <v>1.3008E-2</v>
      </c>
      <c r="H12" s="189">
        <v>0</v>
      </c>
      <c r="I12" s="189">
        <v>0</v>
      </c>
      <c r="J12" s="189">
        <f t="shared" ref="J12:Q12" si="0">J11*0.05</f>
        <v>3.6039999999999996E-3</v>
      </c>
      <c r="K12" s="189">
        <f t="shared" si="0"/>
        <v>1.8155999999999999E-3</v>
      </c>
      <c r="L12" s="189">
        <f t="shared" si="0"/>
        <v>8.4659999999999998E-4</v>
      </c>
      <c r="M12" s="189">
        <f t="shared" si="0"/>
        <v>3.4000000000000002E-4</v>
      </c>
      <c r="N12" s="189">
        <f t="shared" si="0"/>
        <v>2.6100000000000002E-2</v>
      </c>
      <c r="O12" s="189">
        <f t="shared" si="0"/>
        <v>1.7100000000000001E-2</v>
      </c>
      <c r="P12" s="189">
        <f t="shared" si="0"/>
        <v>1.3500000000000001E-3</v>
      </c>
      <c r="Q12" s="189">
        <f t="shared" si="0"/>
        <v>5.5999999999999994E-2</v>
      </c>
    </row>
    <row r="13" spans="2:17">
      <c r="B13" s="282" t="s">
        <v>104</v>
      </c>
      <c r="C13" s="3" t="s">
        <v>97</v>
      </c>
      <c r="D13" s="189">
        <f>D6*D11</f>
        <v>118.37279999999998</v>
      </c>
      <c r="E13" s="189">
        <f>D6*E11</f>
        <v>218.42599999999999</v>
      </c>
      <c r="F13" s="189">
        <f>D6*F11</f>
        <v>105.69</v>
      </c>
      <c r="G13" s="189">
        <f>D6*G11</f>
        <v>84.551999999999992</v>
      </c>
      <c r="H13" s="189">
        <f>H6*H11</f>
        <v>1206.576</v>
      </c>
      <c r="I13" s="189">
        <f>H6*I11</f>
        <v>55.86</v>
      </c>
      <c r="J13" s="189">
        <f>J6*J11</f>
        <v>10.866059999999999</v>
      </c>
      <c r="K13" s="189">
        <f>J6*K11</f>
        <v>5.4740339999999996</v>
      </c>
      <c r="L13" s="189">
        <f>J6*L11</f>
        <v>2.5524990000000001</v>
      </c>
      <c r="M13" s="189">
        <f>J6*M11</f>
        <v>1.0251000000000001</v>
      </c>
      <c r="N13" s="189">
        <f>N6*N11</f>
        <v>49.59</v>
      </c>
      <c r="O13" s="189">
        <f>N6*O11</f>
        <v>32.49</v>
      </c>
      <c r="P13" s="189">
        <f>N6*P11</f>
        <v>2.5649999999999999</v>
      </c>
      <c r="Q13" s="189">
        <f>Q6*Q11</f>
        <v>100.79999999999998</v>
      </c>
    </row>
    <row r="14" spans="2:17">
      <c r="B14" s="283"/>
      <c r="C14" s="3" t="s">
        <v>98</v>
      </c>
      <c r="D14" s="189">
        <f>D7*D12</f>
        <v>6.8292000000000002</v>
      </c>
      <c r="E14" s="189">
        <f>D7*E12</f>
        <v>5.0406000000000004</v>
      </c>
      <c r="F14" s="189">
        <f>D7*F12</f>
        <v>2.4390000000000001</v>
      </c>
      <c r="G14" s="189">
        <f>D7*G12</f>
        <v>1.9512</v>
      </c>
      <c r="H14" s="189">
        <v>0</v>
      </c>
      <c r="I14" s="189">
        <v>0</v>
      </c>
      <c r="J14" s="189">
        <f>J7*J12</f>
        <v>0.21623999999999999</v>
      </c>
      <c r="K14" s="189">
        <f>J7*K12</f>
        <v>0.10893599999999999</v>
      </c>
      <c r="L14" s="189">
        <f>J7*L12</f>
        <v>5.0796000000000001E-2</v>
      </c>
      <c r="M14" s="189">
        <f>J7*M12</f>
        <v>2.0400000000000001E-2</v>
      </c>
      <c r="N14" s="189">
        <f>N7*N12</f>
        <v>1.044</v>
      </c>
      <c r="O14" s="189">
        <f>N7*O12</f>
        <v>0.68400000000000005</v>
      </c>
      <c r="P14" s="189">
        <f>N7*P12</f>
        <v>5.4000000000000006E-2</v>
      </c>
      <c r="Q14" s="189">
        <f>Q7*Q12</f>
        <v>0.67199999999999993</v>
      </c>
    </row>
    <row r="15" spans="2:17" ht="14.5" customHeight="1">
      <c r="B15" s="284"/>
      <c r="C15" s="26" t="s">
        <v>132</v>
      </c>
      <c r="D15" s="189">
        <f>ROUNDUP((D13-D14),0)</f>
        <v>112</v>
      </c>
      <c r="E15" s="189">
        <f t="shared" ref="E15:Q15" si="1">ROUNDUP((E13-E14),0)</f>
        <v>214</v>
      </c>
      <c r="F15" s="189">
        <f t="shared" si="1"/>
        <v>104</v>
      </c>
      <c r="G15" s="189">
        <f t="shared" si="1"/>
        <v>83</v>
      </c>
      <c r="H15" s="189">
        <f t="shared" si="1"/>
        <v>1207</v>
      </c>
      <c r="I15" s="189">
        <f t="shared" si="1"/>
        <v>56</v>
      </c>
      <c r="J15" s="189">
        <f t="shared" si="1"/>
        <v>11</v>
      </c>
      <c r="K15" s="189">
        <f t="shared" si="1"/>
        <v>6</v>
      </c>
      <c r="L15" s="189">
        <f t="shared" si="1"/>
        <v>3</v>
      </c>
      <c r="M15" s="189">
        <f t="shared" si="1"/>
        <v>2</v>
      </c>
      <c r="N15" s="189">
        <f t="shared" si="1"/>
        <v>49</v>
      </c>
      <c r="O15" s="189">
        <f t="shared" si="1"/>
        <v>32</v>
      </c>
      <c r="P15" s="189">
        <f t="shared" si="1"/>
        <v>3</v>
      </c>
      <c r="Q15" s="189">
        <f t="shared" si="1"/>
        <v>101</v>
      </c>
    </row>
    <row r="16" spans="2:17">
      <c r="D16" s="1"/>
      <c r="E16" s="1"/>
      <c r="F16" s="1"/>
      <c r="G16" s="1"/>
      <c r="H16" s="1"/>
      <c r="I16" s="1"/>
      <c r="J16" s="1"/>
      <c r="K16" s="1"/>
      <c r="L16" s="1"/>
      <c r="M16" s="1"/>
      <c r="N16" s="1"/>
      <c r="O16" s="1"/>
      <c r="P16" s="1"/>
      <c r="Q16" s="1"/>
    </row>
    <row r="17" spans="2:17">
      <c r="B17" s="266" t="s">
        <v>112</v>
      </c>
      <c r="C17" s="277"/>
      <c r="D17" s="277"/>
      <c r="E17" s="277"/>
      <c r="F17" s="277"/>
      <c r="G17" s="277"/>
      <c r="H17" s="277"/>
      <c r="I17" s="277"/>
      <c r="J17" s="277"/>
      <c r="K17" s="277"/>
      <c r="L17" s="277"/>
      <c r="M17" s="277"/>
      <c r="N17" s="277"/>
      <c r="O17" s="277"/>
      <c r="P17" s="277"/>
      <c r="Q17" s="278"/>
    </row>
    <row r="18" spans="2:17">
      <c r="B18" s="279"/>
      <c r="C18" s="280"/>
      <c r="D18" s="280"/>
      <c r="E18" s="280"/>
      <c r="F18" s="280"/>
      <c r="G18" s="280"/>
      <c r="H18" s="280"/>
      <c r="I18" s="280"/>
      <c r="J18" s="280"/>
      <c r="K18" s="280"/>
      <c r="L18" s="280"/>
      <c r="M18" s="280"/>
      <c r="N18" s="280"/>
      <c r="O18" s="280"/>
      <c r="P18" s="280"/>
      <c r="Q18" s="281"/>
    </row>
    <row r="19" spans="2:17">
      <c r="B19" s="3" t="s">
        <v>111</v>
      </c>
      <c r="C19" s="28" t="s">
        <v>116</v>
      </c>
      <c r="D19" s="3" t="s">
        <v>102</v>
      </c>
      <c r="E19" s="3" t="s">
        <v>110</v>
      </c>
      <c r="F19" s="3" t="s">
        <v>137</v>
      </c>
      <c r="G19" s="3" t="s">
        <v>103</v>
      </c>
      <c r="H19" s="3" t="s">
        <v>99</v>
      </c>
      <c r="I19" s="3" t="s">
        <v>133</v>
      </c>
      <c r="J19" s="3" t="s">
        <v>123</v>
      </c>
      <c r="K19" s="3" t="s">
        <v>105</v>
      </c>
      <c r="L19" s="3" t="s">
        <v>100</v>
      </c>
      <c r="M19" s="3" t="s">
        <v>108</v>
      </c>
      <c r="N19" s="3" t="s">
        <v>134</v>
      </c>
      <c r="O19" s="3" t="s">
        <v>135</v>
      </c>
      <c r="P19" s="3" t="s">
        <v>136</v>
      </c>
      <c r="Q19" s="3" t="s">
        <v>109</v>
      </c>
    </row>
    <row r="20" spans="2:17">
      <c r="B20" s="3" t="s">
        <v>19</v>
      </c>
      <c r="C20" s="28">
        <f>MHR!B22</f>
        <v>787</v>
      </c>
      <c r="D20" s="29">
        <f>20/60</f>
        <v>0.33333333333333331</v>
      </c>
      <c r="E20" s="29">
        <f>45/60</f>
        <v>0.75</v>
      </c>
      <c r="F20" s="29">
        <f>20/60</f>
        <v>0.33333333333333331</v>
      </c>
      <c r="G20" s="29">
        <f>15/60</f>
        <v>0.25</v>
      </c>
      <c r="H20" s="29">
        <v>0</v>
      </c>
      <c r="I20" s="29">
        <v>0</v>
      </c>
      <c r="J20" s="29">
        <v>0</v>
      </c>
      <c r="K20" s="29">
        <v>0</v>
      </c>
      <c r="L20" s="29">
        <v>0</v>
      </c>
      <c r="M20" s="29">
        <v>0</v>
      </c>
      <c r="N20" s="29">
        <v>0</v>
      </c>
      <c r="O20" s="29">
        <v>0</v>
      </c>
      <c r="P20" s="29">
        <v>0</v>
      </c>
      <c r="Q20" s="29">
        <v>0</v>
      </c>
    </row>
    <row r="21" spans="2:17">
      <c r="B21" s="3" t="s">
        <v>20</v>
      </c>
      <c r="C21" s="28">
        <f>MHR!C22</f>
        <v>3240</v>
      </c>
      <c r="D21" s="29">
        <f>15/60</f>
        <v>0.25</v>
      </c>
      <c r="E21" s="29">
        <v>0</v>
      </c>
      <c r="F21" s="29">
        <f>15/60</f>
        <v>0.25</v>
      </c>
      <c r="G21" s="29">
        <f>15/60</f>
        <v>0.25</v>
      </c>
      <c r="H21" s="29">
        <v>0</v>
      </c>
      <c r="I21" s="29">
        <v>0</v>
      </c>
      <c r="J21" s="29">
        <v>0</v>
      </c>
      <c r="K21" s="29">
        <v>0</v>
      </c>
      <c r="L21" s="29">
        <v>0</v>
      </c>
      <c r="M21" s="29">
        <v>0</v>
      </c>
      <c r="N21" s="29">
        <v>0</v>
      </c>
      <c r="O21" s="29">
        <v>0</v>
      </c>
      <c r="P21" s="29">
        <v>0</v>
      </c>
      <c r="Q21" s="29">
        <v>0</v>
      </c>
    </row>
    <row r="22" spans="2:17">
      <c r="B22" s="3" t="s">
        <v>178</v>
      </c>
      <c r="C22" s="28">
        <f>MHR!D22</f>
        <v>1706</v>
      </c>
      <c r="D22" s="29">
        <f>5/60</f>
        <v>8.3333333333333329E-2</v>
      </c>
      <c r="E22" s="29">
        <v>0</v>
      </c>
      <c r="F22" s="29">
        <f>5/60</f>
        <v>8.3333333333333329E-2</v>
      </c>
      <c r="G22" s="29">
        <f>5/60</f>
        <v>8.3333333333333329E-2</v>
      </c>
      <c r="H22" s="29">
        <v>0</v>
      </c>
      <c r="I22" s="29">
        <v>0</v>
      </c>
      <c r="J22" s="29">
        <v>0</v>
      </c>
      <c r="K22" s="29">
        <v>0</v>
      </c>
      <c r="L22" s="29">
        <v>0</v>
      </c>
      <c r="M22" s="29">
        <v>0</v>
      </c>
      <c r="N22" s="29">
        <v>0</v>
      </c>
      <c r="O22" s="29">
        <v>0</v>
      </c>
      <c r="P22" s="29">
        <v>0</v>
      </c>
      <c r="Q22" s="29">
        <v>0</v>
      </c>
    </row>
    <row r="23" spans="2:17">
      <c r="B23" s="3" t="s">
        <v>85</v>
      </c>
      <c r="C23" s="28">
        <f>MHR!F22</f>
        <v>871</v>
      </c>
      <c r="D23" s="29">
        <v>0</v>
      </c>
      <c r="E23" s="29">
        <v>0</v>
      </c>
      <c r="F23" s="29">
        <v>0</v>
      </c>
      <c r="G23" s="29">
        <v>0</v>
      </c>
      <c r="H23" s="29">
        <f>28/60</f>
        <v>0.46666666666666667</v>
      </c>
      <c r="I23" s="29">
        <v>0</v>
      </c>
      <c r="J23" s="29">
        <f>10/60</f>
        <v>0.16666666666666666</v>
      </c>
      <c r="K23" s="29">
        <f>10/60</f>
        <v>0.16666666666666666</v>
      </c>
      <c r="L23" s="29">
        <f>10/60</f>
        <v>0.16666666666666666</v>
      </c>
      <c r="M23" s="29">
        <f>10/60</f>
        <v>0.16666666666666666</v>
      </c>
      <c r="N23" s="29">
        <v>0</v>
      </c>
      <c r="O23" s="29">
        <v>0</v>
      </c>
      <c r="P23" s="29">
        <v>0</v>
      </c>
      <c r="Q23" s="29">
        <v>0</v>
      </c>
    </row>
    <row r="24" spans="2:17" ht="16.25" customHeight="1">
      <c r="B24" s="3" t="s">
        <v>83</v>
      </c>
      <c r="C24" s="28">
        <f>MHR!G22</f>
        <v>836</v>
      </c>
      <c r="D24" s="29">
        <v>0</v>
      </c>
      <c r="E24" s="29">
        <v>0</v>
      </c>
      <c r="F24" s="29">
        <v>0</v>
      </c>
      <c r="G24" s="29">
        <v>0</v>
      </c>
      <c r="H24" s="29">
        <v>0</v>
      </c>
      <c r="I24" s="29">
        <v>0</v>
      </c>
      <c r="J24" s="29">
        <v>0</v>
      </c>
      <c r="K24" s="29">
        <v>0</v>
      </c>
      <c r="L24" s="29">
        <v>0</v>
      </c>
      <c r="M24" s="29">
        <v>0</v>
      </c>
      <c r="N24" s="29">
        <v>0</v>
      </c>
      <c r="O24" s="29">
        <f>120/60</f>
        <v>2</v>
      </c>
      <c r="P24" s="29">
        <v>0</v>
      </c>
      <c r="Q24" s="29">
        <v>0</v>
      </c>
    </row>
    <row r="25" spans="2:17">
      <c r="B25" s="3" t="s">
        <v>86</v>
      </c>
      <c r="C25" s="28">
        <f>MHR!H22</f>
        <v>1527</v>
      </c>
      <c r="D25" s="29">
        <f>5/60</f>
        <v>8.3333333333333329E-2</v>
      </c>
      <c r="E25" s="29">
        <f>5/60</f>
        <v>8.3333333333333329E-2</v>
      </c>
      <c r="F25" s="29">
        <f>5/60</f>
        <v>8.3333333333333329E-2</v>
      </c>
      <c r="G25" s="29">
        <f>5/60</f>
        <v>8.3333333333333329E-2</v>
      </c>
      <c r="H25" s="29">
        <v>0</v>
      </c>
      <c r="I25" s="29">
        <v>0</v>
      </c>
      <c r="J25" s="29">
        <f t="shared" ref="J25:Q25" si="2">5/60</f>
        <v>8.3333333333333329E-2</v>
      </c>
      <c r="K25" s="29">
        <f t="shared" si="2"/>
        <v>8.3333333333333329E-2</v>
      </c>
      <c r="L25" s="29">
        <f t="shared" si="2"/>
        <v>8.3333333333333329E-2</v>
      </c>
      <c r="M25" s="29">
        <f t="shared" si="2"/>
        <v>8.3333333333333329E-2</v>
      </c>
      <c r="N25" s="29">
        <f t="shared" si="2"/>
        <v>8.3333333333333329E-2</v>
      </c>
      <c r="O25" s="29">
        <f t="shared" si="2"/>
        <v>8.3333333333333329E-2</v>
      </c>
      <c r="P25" s="29">
        <f t="shared" si="2"/>
        <v>8.3333333333333329E-2</v>
      </c>
      <c r="Q25" s="29">
        <f t="shared" si="2"/>
        <v>8.3333333333333329E-2</v>
      </c>
    </row>
    <row r="26" spans="2:17">
      <c r="B26" s="3" t="s">
        <v>157</v>
      </c>
      <c r="C26" s="28">
        <f>MHR!I22</f>
        <v>1401</v>
      </c>
      <c r="D26" s="29">
        <v>0</v>
      </c>
      <c r="E26" s="29">
        <v>0</v>
      </c>
      <c r="F26" s="29">
        <v>0</v>
      </c>
      <c r="G26" s="29">
        <v>0</v>
      </c>
      <c r="H26" s="29">
        <v>0</v>
      </c>
      <c r="I26" s="29">
        <f>15/60</f>
        <v>0.25</v>
      </c>
      <c r="J26" s="29">
        <f>3/60</f>
        <v>0.05</v>
      </c>
      <c r="K26" s="29">
        <f>3/60</f>
        <v>0.05</v>
      </c>
      <c r="L26" s="29">
        <f>3/60</f>
        <v>0.05</v>
      </c>
      <c r="M26" s="29">
        <f>3/60</f>
        <v>0.05</v>
      </c>
      <c r="N26" s="29">
        <f>20/60</f>
        <v>0.33333333333333331</v>
      </c>
      <c r="O26" s="29">
        <v>0</v>
      </c>
      <c r="P26" s="29">
        <f>20/60</f>
        <v>0.33333333333333331</v>
      </c>
      <c r="Q26" s="29">
        <f>30/60</f>
        <v>0.5</v>
      </c>
    </row>
    <row r="27" spans="2:17">
      <c r="B27" s="3" t="s">
        <v>101</v>
      </c>
      <c r="C27" s="28">
        <f>MHR!J22</f>
        <v>2129</v>
      </c>
      <c r="D27" s="29">
        <f>8/60</f>
        <v>0.13333333333333333</v>
      </c>
      <c r="E27" s="29">
        <f>8/60</f>
        <v>0.13333333333333333</v>
      </c>
      <c r="F27" s="29">
        <v>0</v>
      </c>
      <c r="G27" s="29">
        <f>5/60</f>
        <v>8.3333333333333329E-2</v>
      </c>
      <c r="H27" s="29">
        <f>5/60</f>
        <v>8.3333333333333329E-2</v>
      </c>
      <c r="I27" s="29">
        <f>3/60</f>
        <v>0.05</v>
      </c>
      <c r="J27" s="29">
        <v>0</v>
      </c>
      <c r="K27" s="29">
        <v>0</v>
      </c>
      <c r="L27" s="29">
        <v>0</v>
      </c>
      <c r="M27" s="29">
        <v>0</v>
      </c>
      <c r="N27" s="29">
        <v>0</v>
      </c>
      <c r="O27" s="29">
        <v>0</v>
      </c>
      <c r="P27" s="29">
        <v>0</v>
      </c>
      <c r="Q27" s="29">
        <f>8/60</f>
        <v>0.13333333333333333</v>
      </c>
    </row>
    <row r="28" spans="2:17">
      <c r="B28" s="275" t="s">
        <v>113</v>
      </c>
      <c r="C28" s="276"/>
      <c r="D28" s="29">
        <f>ROUNDUP(SUMPRODUCT(C20:C27,D20:D27),0)</f>
        <v>1626</v>
      </c>
      <c r="E28" s="29">
        <f>ROUNDUP(SUMPRODUCT(C20:C27,E20:E27),0)</f>
        <v>1002</v>
      </c>
      <c r="F28" s="29">
        <f>ROUNDUP(SUMPRODUCT(C20:C27,F20:F27),0)</f>
        <v>1342</v>
      </c>
      <c r="G28" s="29">
        <f>ROUNDUP(SUMPRODUCT(C20:C27,G20:G27),0)</f>
        <v>1454</v>
      </c>
      <c r="H28" s="29">
        <f>ROUNDUP(SUMPRODUCT(C20:C27,H20:H27),0)</f>
        <v>584</v>
      </c>
      <c r="I28" s="29">
        <f>ROUNDUP(SUMPRODUCT(C20:C27,I20:I27),0)</f>
        <v>457</v>
      </c>
      <c r="J28" s="29">
        <f>ROUNDUP(SUMPRODUCT(C20:C27,J20:J27),0)</f>
        <v>343</v>
      </c>
      <c r="K28" s="29">
        <f>ROUNDUP(SUMPRODUCT(C20:C27,K20:K27),0)</f>
        <v>343</v>
      </c>
      <c r="L28" s="29">
        <f>ROUNDUP(SUMPRODUCT(C20:C27,L20:L27),0)</f>
        <v>343</v>
      </c>
      <c r="M28" s="29">
        <f>ROUNDUP(SUMPRODUCT(C20:C27,M20:M27),0)</f>
        <v>343</v>
      </c>
      <c r="N28" s="29">
        <f>ROUNDUP(SUMPRODUCT(C20:C27,N20:N27),0)</f>
        <v>595</v>
      </c>
      <c r="O28" s="29">
        <f>ROUNDUP(SUMPRODUCT(C20:C27,O20:O27),0)</f>
        <v>1800</v>
      </c>
      <c r="P28" s="29">
        <f>ROUNDUP(SUMPRODUCT(C20:C27,P20:P27),0)</f>
        <v>595</v>
      </c>
      <c r="Q28" s="29">
        <f>ROUNDUP(SUMPRODUCT(C20:C27,Q20:Q27),0)</f>
        <v>1112</v>
      </c>
    </row>
    <row r="30" spans="2:17">
      <c r="B30" s="287" t="s">
        <v>194</v>
      </c>
      <c r="C30" s="287"/>
      <c r="E30" s="287" t="s">
        <v>193</v>
      </c>
      <c r="F30" s="287"/>
      <c r="G30" s="287"/>
      <c r="H30" s="287"/>
      <c r="I30" s="287"/>
      <c r="J30" s="287"/>
      <c r="K30" s="287"/>
      <c r="L30" s="287"/>
    </row>
    <row r="31" spans="2:17">
      <c r="B31" s="287"/>
      <c r="C31" s="287"/>
      <c r="E31" s="287"/>
      <c r="F31" s="287"/>
      <c r="G31" s="287"/>
      <c r="H31" s="287"/>
      <c r="I31" s="287"/>
      <c r="J31" s="287"/>
      <c r="K31" s="287"/>
      <c r="L31" s="287"/>
    </row>
    <row r="32" spans="2:17">
      <c r="B32" s="3" t="s">
        <v>175</v>
      </c>
      <c r="C32" s="3" t="s">
        <v>174</v>
      </c>
      <c r="E32" s="264" t="s">
        <v>184</v>
      </c>
      <c r="F32" s="265"/>
      <c r="G32" s="264" t="s">
        <v>191</v>
      </c>
      <c r="H32" s="265"/>
      <c r="I32" s="264" t="s">
        <v>174</v>
      </c>
      <c r="J32" s="265"/>
      <c r="K32" s="264" t="s">
        <v>192</v>
      </c>
      <c r="L32" s="265"/>
    </row>
    <row r="33" spans="2:12">
      <c r="B33" s="3" t="s">
        <v>102</v>
      </c>
      <c r="C33" s="10">
        <v>1</v>
      </c>
      <c r="E33" s="259" t="s">
        <v>185</v>
      </c>
      <c r="F33" s="260"/>
      <c r="G33" s="262">
        <f>197*70</f>
        <v>13790</v>
      </c>
      <c r="H33" s="263"/>
      <c r="I33" s="258">
        <v>2</v>
      </c>
      <c r="J33" s="235"/>
      <c r="K33" s="262">
        <f t="shared" ref="K33:K39" si="3">G33*I33</f>
        <v>27580</v>
      </c>
      <c r="L33" s="263"/>
    </row>
    <row r="34" spans="2:12">
      <c r="B34" s="3" t="s">
        <v>110</v>
      </c>
      <c r="C34" s="10">
        <v>1</v>
      </c>
      <c r="E34" s="259" t="s">
        <v>186</v>
      </c>
      <c r="F34" s="260"/>
      <c r="G34" s="262">
        <f>5*70</f>
        <v>350</v>
      </c>
      <c r="H34" s="263"/>
      <c r="I34" s="258">
        <v>2</v>
      </c>
      <c r="J34" s="235"/>
      <c r="K34" s="262">
        <f t="shared" si="3"/>
        <v>700</v>
      </c>
      <c r="L34" s="263"/>
    </row>
    <row r="35" spans="2:12">
      <c r="B35" s="3" t="s">
        <v>121</v>
      </c>
      <c r="C35" s="10">
        <v>3</v>
      </c>
      <c r="E35" s="259" t="s">
        <v>187</v>
      </c>
      <c r="F35" s="260"/>
      <c r="G35" s="262">
        <f>23.68*70</f>
        <v>1657.6</v>
      </c>
      <c r="H35" s="263"/>
      <c r="I35" s="258">
        <v>1</v>
      </c>
      <c r="J35" s="235"/>
      <c r="K35" s="262">
        <f t="shared" si="3"/>
        <v>1657.6</v>
      </c>
      <c r="L35" s="263"/>
    </row>
    <row r="36" spans="2:12">
      <c r="B36" s="3" t="s">
        <v>103</v>
      </c>
      <c r="C36" s="10">
        <v>3</v>
      </c>
      <c r="E36" s="259" t="s">
        <v>188</v>
      </c>
      <c r="F36" s="260"/>
      <c r="G36" s="262">
        <f>1*70</f>
        <v>70</v>
      </c>
      <c r="H36" s="263"/>
      <c r="I36" s="258">
        <v>8</v>
      </c>
      <c r="J36" s="235"/>
      <c r="K36" s="262">
        <f t="shared" si="3"/>
        <v>560</v>
      </c>
      <c r="L36" s="263"/>
    </row>
    <row r="37" spans="2:12">
      <c r="B37" s="3" t="s">
        <v>126</v>
      </c>
      <c r="C37" s="10">
        <v>3</v>
      </c>
      <c r="E37" s="259" t="s">
        <v>189</v>
      </c>
      <c r="F37" s="260"/>
      <c r="G37" s="262">
        <f>4.85*70</f>
        <v>339.5</v>
      </c>
      <c r="H37" s="263"/>
      <c r="I37" s="258">
        <v>1</v>
      </c>
      <c r="J37" s="235"/>
      <c r="K37" s="262">
        <f t="shared" si="3"/>
        <v>339.5</v>
      </c>
      <c r="L37" s="263"/>
    </row>
    <row r="38" spans="2:12">
      <c r="B38" s="3" t="s">
        <v>122</v>
      </c>
      <c r="C38" s="10">
        <v>3</v>
      </c>
      <c r="E38" s="261" t="s">
        <v>190</v>
      </c>
      <c r="F38" s="261"/>
      <c r="G38" s="262">
        <f>5*70</f>
        <v>350</v>
      </c>
      <c r="H38" s="263"/>
      <c r="I38" s="258">
        <v>1</v>
      </c>
      <c r="J38" s="235"/>
      <c r="K38" s="262">
        <f t="shared" si="3"/>
        <v>350</v>
      </c>
      <c r="L38" s="263"/>
    </row>
    <row r="39" spans="2:12">
      <c r="B39" s="3" t="s">
        <v>109</v>
      </c>
      <c r="C39" s="10">
        <v>1</v>
      </c>
      <c r="E39" s="259" t="s">
        <v>183</v>
      </c>
      <c r="F39" s="260"/>
      <c r="G39" s="258">
        <v>1200</v>
      </c>
      <c r="H39" s="235"/>
      <c r="I39" s="258">
        <v>2</v>
      </c>
      <c r="J39" s="235"/>
      <c r="K39" s="234">
        <f t="shared" si="3"/>
        <v>2400</v>
      </c>
      <c r="L39" s="285"/>
    </row>
    <row r="40" spans="2:12">
      <c r="B40" s="3" t="s">
        <v>181</v>
      </c>
      <c r="C40" s="10">
        <v>2</v>
      </c>
      <c r="E40" s="286" t="s">
        <v>41</v>
      </c>
      <c r="F40" s="286"/>
      <c r="G40" s="286"/>
      <c r="H40" s="286"/>
      <c r="I40" s="286"/>
      <c r="J40" s="286"/>
      <c r="K40" s="234">
        <f>SUM(K33:L39)</f>
        <v>33587.1</v>
      </c>
      <c r="L40" s="285"/>
    </row>
    <row r="41" spans="2:12">
      <c r="B41" s="3" t="s">
        <v>182</v>
      </c>
      <c r="C41" s="10">
        <v>2</v>
      </c>
      <c r="E41" s="32"/>
      <c r="F41" s="32"/>
    </row>
    <row r="42" spans="2:12">
      <c r="B42" s="3" t="s">
        <v>99</v>
      </c>
      <c r="C42" s="10">
        <v>1</v>
      </c>
      <c r="E42" s="32"/>
      <c r="F42" s="32"/>
    </row>
    <row r="43" spans="2:12">
      <c r="B43" s="3" t="s">
        <v>131</v>
      </c>
      <c r="C43" s="10">
        <v>3</v>
      </c>
      <c r="E43" s="32"/>
      <c r="F43" s="32"/>
    </row>
    <row r="44" spans="2:12">
      <c r="B44" s="3" t="s">
        <v>105</v>
      </c>
      <c r="C44" s="10">
        <v>1</v>
      </c>
      <c r="E44" s="32"/>
      <c r="F44" s="32"/>
    </row>
    <row r="45" spans="2:12">
      <c r="B45" s="3" t="s">
        <v>100</v>
      </c>
      <c r="C45" s="10">
        <v>1</v>
      </c>
    </row>
    <row r="46" spans="2:12">
      <c r="B46" s="3" t="s">
        <v>108</v>
      </c>
      <c r="C46" s="10">
        <v>2</v>
      </c>
    </row>
    <row r="47" spans="2:12">
      <c r="B47" s="31" t="s">
        <v>183</v>
      </c>
      <c r="C47" s="31">
        <v>2</v>
      </c>
    </row>
  </sheetData>
  <mergeCells count="63">
    <mergeCell ref="E39:F39"/>
    <mergeCell ref="K39:L39"/>
    <mergeCell ref="K40:L40"/>
    <mergeCell ref="E40:J40"/>
    <mergeCell ref="B30:C31"/>
    <mergeCell ref="E30:L31"/>
    <mergeCell ref="I37:J37"/>
    <mergeCell ref="I38:J38"/>
    <mergeCell ref="K32:L32"/>
    <mergeCell ref="K33:L33"/>
    <mergeCell ref="K34:L34"/>
    <mergeCell ref="K35:L35"/>
    <mergeCell ref="K36:L36"/>
    <mergeCell ref="K37:L37"/>
    <mergeCell ref="K38:L38"/>
    <mergeCell ref="I32:J32"/>
    <mergeCell ref="G39:H39"/>
    <mergeCell ref="I39:J39"/>
    <mergeCell ref="I33:J33"/>
    <mergeCell ref="I34:J34"/>
    <mergeCell ref="I35:J35"/>
    <mergeCell ref="I36:J36"/>
    <mergeCell ref="G38:H38"/>
    <mergeCell ref="J5:M5"/>
    <mergeCell ref="N5:P5"/>
    <mergeCell ref="B28:C28"/>
    <mergeCell ref="B17:Q18"/>
    <mergeCell ref="D8:G8"/>
    <mergeCell ref="H8:I8"/>
    <mergeCell ref="J8:M8"/>
    <mergeCell ref="N8:P8"/>
    <mergeCell ref="B11:B12"/>
    <mergeCell ref="B8:C8"/>
    <mergeCell ref="B13:B15"/>
    <mergeCell ref="B2:Q3"/>
    <mergeCell ref="H7:I7"/>
    <mergeCell ref="J4:M4"/>
    <mergeCell ref="J6:M6"/>
    <mergeCell ref="J7:M7"/>
    <mergeCell ref="N4:P4"/>
    <mergeCell ref="N6:P6"/>
    <mergeCell ref="N7:P7"/>
    <mergeCell ref="D4:G4"/>
    <mergeCell ref="B6:B7"/>
    <mergeCell ref="H4:I4"/>
    <mergeCell ref="D7:G7"/>
    <mergeCell ref="D6:G6"/>
    <mergeCell ref="H6:I6"/>
    <mergeCell ref="D5:G5"/>
    <mergeCell ref="H5:I5"/>
    <mergeCell ref="E32:F32"/>
    <mergeCell ref="G32:H32"/>
    <mergeCell ref="E33:F33"/>
    <mergeCell ref="E34:F34"/>
    <mergeCell ref="E35:F35"/>
    <mergeCell ref="G33:H33"/>
    <mergeCell ref="G34:H34"/>
    <mergeCell ref="G35:H35"/>
    <mergeCell ref="E36:F36"/>
    <mergeCell ref="E37:F37"/>
    <mergeCell ref="E38:F38"/>
    <mergeCell ref="G36:H36"/>
    <mergeCell ref="G37:H3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46"/>
  <sheetViews>
    <sheetView zoomScale="80" zoomScaleNormal="80" workbookViewId="0">
      <selection activeCell="D50" sqref="D50"/>
    </sheetView>
  </sheetViews>
  <sheetFormatPr baseColWidth="10" defaultColWidth="8.83203125" defaultRowHeight="15"/>
  <cols>
    <col min="1" max="1" width="3.1640625" customWidth="1"/>
    <col min="2" max="2" width="34" bestFit="1" customWidth="1"/>
    <col min="3" max="3" width="25.1640625" customWidth="1"/>
    <col min="4" max="4" width="13.6640625" customWidth="1"/>
    <col min="5" max="5" width="13.1640625" customWidth="1"/>
    <col min="6" max="6" width="15" customWidth="1"/>
    <col min="7" max="7" width="13.33203125" customWidth="1"/>
    <col min="8" max="8" width="12.6640625" customWidth="1"/>
    <col min="9" max="9" width="13" customWidth="1"/>
    <col min="10" max="11" width="14.1640625" customWidth="1"/>
    <col min="12" max="12" width="16" customWidth="1"/>
    <col min="13" max="13" width="13.33203125" customWidth="1"/>
    <col min="14" max="15" width="15" customWidth="1"/>
    <col min="16" max="16" width="13.5" customWidth="1"/>
    <col min="17" max="17" width="14.5" customWidth="1"/>
    <col min="19" max="19" width="18.6640625" customWidth="1"/>
    <col min="20" max="20" width="17.6640625" customWidth="1"/>
    <col min="21" max="21" width="18.1640625" customWidth="1"/>
    <col min="22" max="22" width="19.1640625" customWidth="1"/>
  </cols>
  <sheetData>
    <row r="2" spans="2:17" ht="14.5" customHeight="1">
      <c r="B2" s="266" t="s">
        <v>96</v>
      </c>
      <c r="C2" s="267"/>
      <c r="D2" s="267"/>
      <c r="E2" s="267"/>
      <c r="F2" s="267"/>
      <c r="G2" s="267"/>
      <c r="H2" s="267"/>
      <c r="I2" s="267"/>
      <c r="J2" s="267"/>
      <c r="K2" s="267"/>
      <c r="L2" s="267"/>
      <c r="M2" s="267"/>
      <c r="N2" s="267"/>
      <c r="O2" s="267"/>
      <c r="P2" s="267"/>
      <c r="Q2" s="268"/>
    </row>
    <row r="3" spans="2:17">
      <c r="B3" s="269"/>
      <c r="C3" s="270"/>
      <c r="D3" s="270"/>
      <c r="E3" s="270"/>
      <c r="F3" s="270"/>
      <c r="G3" s="270"/>
      <c r="H3" s="270"/>
      <c r="I3" s="270"/>
      <c r="J3" s="270"/>
      <c r="K3" s="270"/>
      <c r="L3" s="270"/>
      <c r="M3" s="270"/>
      <c r="N3" s="270"/>
      <c r="O3" s="270"/>
      <c r="P3" s="270"/>
      <c r="Q3" s="271"/>
    </row>
    <row r="4" spans="2:17">
      <c r="B4" s="3"/>
      <c r="C4" s="3" t="s">
        <v>117</v>
      </c>
      <c r="D4" s="272" t="s">
        <v>119</v>
      </c>
      <c r="E4" s="272"/>
      <c r="F4" s="272"/>
      <c r="G4" s="272"/>
      <c r="H4" s="272" t="s">
        <v>120</v>
      </c>
      <c r="I4" s="272"/>
      <c r="J4" s="272" t="s">
        <v>127</v>
      </c>
      <c r="K4" s="272"/>
      <c r="L4" s="272"/>
      <c r="M4" s="272"/>
      <c r="N4" s="272" t="s">
        <v>106</v>
      </c>
      <c r="O4" s="272"/>
      <c r="P4" s="272"/>
      <c r="Q4" s="3" t="s">
        <v>107</v>
      </c>
    </row>
    <row r="5" spans="2:17" s="1" customFormat="1">
      <c r="B5" s="30" t="s">
        <v>130</v>
      </c>
      <c r="C5" s="3" t="s">
        <v>129</v>
      </c>
      <c r="D5" s="258">
        <v>2710</v>
      </c>
      <c r="E5" s="274"/>
      <c r="F5" s="274"/>
      <c r="G5" s="235"/>
      <c r="H5" s="258">
        <v>1960</v>
      </c>
      <c r="I5" s="235"/>
      <c r="J5" s="258">
        <v>68</v>
      </c>
      <c r="K5" s="274"/>
      <c r="L5" s="274"/>
      <c r="M5" s="235"/>
      <c r="N5" s="258">
        <v>900</v>
      </c>
      <c r="O5" s="274"/>
      <c r="P5" s="235"/>
      <c r="Q5" s="22">
        <v>800</v>
      </c>
    </row>
    <row r="6" spans="2:17">
      <c r="B6" s="273" t="s">
        <v>114</v>
      </c>
      <c r="C6" s="3" t="s">
        <v>97</v>
      </c>
      <c r="D6" s="290">
        <f>'Part Cost'!D6/'Industry Setup (2)'!$G$51</f>
        <v>7.4285714285714288</v>
      </c>
      <c r="E6" s="290">
        <f>MHR!E6/'Industry Setup (2)'!$G$51</f>
        <v>1942.8571428571429</v>
      </c>
      <c r="F6" s="290">
        <f>MHR!F6/'Industry Setup (2)'!$G$51</f>
        <v>4085.7142857142858</v>
      </c>
      <c r="G6" s="290">
        <f>MHR!G6/'Industry Setup (2)'!$G$51</f>
        <v>4133.1428571428569</v>
      </c>
      <c r="H6" s="290">
        <f>'Part Cost'!H6/'Industry Setup (2)'!$G$51</f>
        <v>5.4285714285714288</v>
      </c>
      <c r="I6" s="290"/>
      <c r="J6" s="290">
        <f>'Part Cost'!J6/'Industry Setup (2)'!$G$51</f>
        <v>2.1535714285714285</v>
      </c>
      <c r="K6" s="290"/>
      <c r="L6" s="290"/>
      <c r="M6" s="290"/>
      <c r="N6" s="290">
        <f>'Part Cost'!N6/'Industry Setup (2)'!$G$51</f>
        <v>1.3571428571428572</v>
      </c>
      <c r="O6" s="290"/>
      <c r="P6" s="290"/>
      <c r="Q6" s="196">
        <f>'Part Cost'!Q6/'Industry Setup (2)'!$G$51</f>
        <v>1.2857142857142858</v>
      </c>
    </row>
    <row r="7" spans="2:17">
      <c r="B7" s="273"/>
      <c r="C7" s="3" t="s">
        <v>98</v>
      </c>
      <c r="D7" s="290">
        <f>'Part Cost'!D7/'Industry Setup (2)'!$G$51</f>
        <v>2.1428571428571428</v>
      </c>
      <c r="E7" s="290">
        <f>MHR!E7/'Industry Setup (2)'!$G$51</f>
        <v>97.142857142857139</v>
      </c>
      <c r="F7" s="290">
        <f>MHR!F7/'Industry Setup (2)'!$G$51</f>
        <v>204.28571428571428</v>
      </c>
      <c r="G7" s="290">
        <f>MHR!G7/'Industry Setup (2)'!$G$51</f>
        <v>0</v>
      </c>
      <c r="H7" s="290">
        <f>'Part Cost'!H7/'Industry Setup (2)'!$G$51</f>
        <v>0.21428571428571427</v>
      </c>
      <c r="I7" s="290"/>
      <c r="J7" s="290">
        <f>'Part Cost'!J7/'Industry Setup (2)'!$G$51</f>
        <v>0.8571428571428571</v>
      </c>
      <c r="K7" s="290"/>
      <c r="L7" s="290"/>
      <c r="M7" s="290"/>
      <c r="N7" s="290">
        <f>'Part Cost'!N7/'Industry Setup (2)'!$G$51</f>
        <v>0.5714285714285714</v>
      </c>
      <c r="O7" s="290"/>
      <c r="P7" s="290"/>
      <c r="Q7" s="196">
        <f>'Part Cost'!Q7/'Industry Setup (2)'!$G$51</f>
        <v>0.17142857142857143</v>
      </c>
    </row>
    <row r="8" spans="2:17">
      <c r="B8" s="241"/>
      <c r="C8" s="241"/>
      <c r="D8" s="241"/>
      <c r="E8" s="241"/>
      <c r="F8" s="241"/>
      <c r="G8" s="241"/>
      <c r="H8" s="241"/>
      <c r="I8" s="241"/>
      <c r="J8" s="241"/>
      <c r="K8" s="241"/>
      <c r="L8" s="241"/>
      <c r="M8" s="241"/>
      <c r="N8" s="241"/>
      <c r="O8" s="241"/>
      <c r="P8" s="241"/>
      <c r="Q8" s="27"/>
    </row>
    <row r="9" spans="2:17">
      <c r="B9" s="3"/>
      <c r="C9" s="3" t="s">
        <v>118</v>
      </c>
      <c r="D9" s="3" t="s">
        <v>102</v>
      </c>
      <c r="E9" s="3" t="s">
        <v>110</v>
      </c>
      <c r="F9" s="3" t="s">
        <v>121</v>
      </c>
      <c r="G9" s="3" t="s">
        <v>103</v>
      </c>
      <c r="H9" s="3" t="s">
        <v>99</v>
      </c>
      <c r="I9" s="3" t="s">
        <v>122</v>
      </c>
      <c r="J9" s="3" t="s">
        <v>131</v>
      </c>
      <c r="K9" s="3" t="s">
        <v>105</v>
      </c>
      <c r="L9" s="3" t="s">
        <v>100</v>
      </c>
      <c r="M9" s="3" t="s">
        <v>108</v>
      </c>
      <c r="N9" s="3" t="s">
        <v>124</v>
      </c>
      <c r="O9" s="3" t="s">
        <v>125</v>
      </c>
      <c r="P9" s="3" t="s">
        <v>126</v>
      </c>
      <c r="Q9" s="3" t="s">
        <v>109</v>
      </c>
    </row>
    <row r="10" spans="2:17">
      <c r="B10" s="30" t="s">
        <v>130</v>
      </c>
      <c r="C10" s="3" t="s">
        <v>128</v>
      </c>
      <c r="D10" s="174">
        <v>8.3999999999999995E-5</v>
      </c>
      <c r="E10" s="174">
        <v>1.55E-4</v>
      </c>
      <c r="F10" s="174">
        <v>7.4999999999999993E-5</v>
      </c>
      <c r="G10" s="174">
        <v>6.0000000000000002E-5</v>
      </c>
      <c r="H10" s="174">
        <v>1.6199999999999999E-3</v>
      </c>
      <c r="I10" s="174">
        <v>7.4999999999999993E-5</v>
      </c>
      <c r="J10" s="174">
        <v>1.06E-3</v>
      </c>
      <c r="K10" s="174">
        <v>5.3399999999999997E-4</v>
      </c>
      <c r="L10" s="174">
        <v>2.4899999999999998E-4</v>
      </c>
      <c r="M10" s="174">
        <v>1E-4</v>
      </c>
      <c r="N10" s="174">
        <v>5.8E-4</v>
      </c>
      <c r="O10" s="174">
        <v>3.8000000000000002E-4</v>
      </c>
      <c r="P10" s="174">
        <v>3.0000000000000001E-5</v>
      </c>
      <c r="Q10" s="174">
        <v>1.4E-3</v>
      </c>
    </row>
    <row r="11" spans="2:17">
      <c r="B11" s="273" t="s">
        <v>115</v>
      </c>
      <c r="C11" s="3" t="s">
        <v>97</v>
      </c>
      <c r="D11" s="190">
        <f>D5*D10</f>
        <v>0.22763999999999998</v>
      </c>
      <c r="E11" s="190">
        <f>D5*E10</f>
        <v>0.42004999999999998</v>
      </c>
      <c r="F11" s="190">
        <f>D5*F10</f>
        <v>0.20324999999999999</v>
      </c>
      <c r="G11" s="190">
        <f>D5*G10</f>
        <v>0.16259999999999999</v>
      </c>
      <c r="H11" s="190">
        <f>H5*H10</f>
        <v>3.1751999999999998</v>
      </c>
      <c r="I11" s="190">
        <f>H5*I10</f>
        <v>0.14699999999999999</v>
      </c>
      <c r="J11" s="190">
        <f>J5*J10</f>
        <v>7.2079999999999991E-2</v>
      </c>
      <c r="K11" s="190">
        <f>J5*K10</f>
        <v>3.6311999999999997E-2</v>
      </c>
      <c r="L11" s="190">
        <f>J5*L10</f>
        <v>1.6931999999999999E-2</v>
      </c>
      <c r="M11" s="190">
        <f>J5*M10</f>
        <v>6.8000000000000005E-3</v>
      </c>
      <c r="N11" s="190">
        <f>N5*N10</f>
        <v>0.52200000000000002</v>
      </c>
      <c r="O11" s="190">
        <f>N5*O10</f>
        <v>0.34200000000000003</v>
      </c>
      <c r="P11" s="190">
        <f>N5*P10</f>
        <v>2.7E-2</v>
      </c>
      <c r="Q11" s="190">
        <f>Q5*Q10</f>
        <v>1.1199999999999999</v>
      </c>
    </row>
    <row r="12" spans="2:17">
      <c r="B12" s="273"/>
      <c r="C12" s="3" t="s">
        <v>98</v>
      </c>
      <c r="D12" s="189">
        <f>D11*0.2</f>
        <v>4.5527999999999999E-2</v>
      </c>
      <c r="E12" s="189">
        <f>E11*0.08</f>
        <v>3.3604000000000002E-2</v>
      </c>
      <c r="F12" s="189">
        <f>F11*0.08</f>
        <v>1.626E-2</v>
      </c>
      <c r="G12" s="189">
        <f>G11*0.08</f>
        <v>1.3008E-2</v>
      </c>
      <c r="H12" s="189">
        <v>0</v>
      </c>
      <c r="I12" s="189">
        <v>0</v>
      </c>
      <c r="J12" s="189">
        <f t="shared" ref="J12:Q12" si="0">J11*0.05</f>
        <v>3.6039999999999996E-3</v>
      </c>
      <c r="K12" s="189">
        <f t="shared" si="0"/>
        <v>1.8155999999999999E-3</v>
      </c>
      <c r="L12" s="189">
        <f t="shared" si="0"/>
        <v>8.4659999999999998E-4</v>
      </c>
      <c r="M12" s="189">
        <f t="shared" si="0"/>
        <v>3.4000000000000002E-4</v>
      </c>
      <c r="N12" s="189">
        <f t="shared" si="0"/>
        <v>2.6100000000000002E-2</v>
      </c>
      <c r="O12" s="189">
        <f t="shared" si="0"/>
        <v>1.7100000000000001E-2</v>
      </c>
      <c r="P12" s="189">
        <f t="shared" si="0"/>
        <v>1.3500000000000001E-3</v>
      </c>
      <c r="Q12" s="189">
        <f t="shared" si="0"/>
        <v>5.5999999999999994E-2</v>
      </c>
    </row>
    <row r="13" spans="2:17">
      <c r="B13" s="282" t="s">
        <v>104</v>
      </c>
      <c r="C13" s="3" t="s">
        <v>97</v>
      </c>
      <c r="D13" s="196">
        <f>D6*D11</f>
        <v>1.6910399999999999</v>
      </c>
      <c r="E13" s="196">
        <f>D6*E11</f>
        <v>3.1203714285714286</v>
      </c>
      <c r="F13" s="196">
        <f>D6*F11</f>
        <v>1.5098571428571428</v>
      </c>
      <c r="G13" s="196">
        <f>D6*G11</f>
        <v>1.2078857142857142</v>
      </c>
      <c r="H13" s="196">
        <f>H6*H11</f>
        <v>17.236799999999999</v>
      </c>
      <c r="I13" s="196">
        <f>H6*I11</f>
        <v>0.79800000000000004</v>
      </c>
      <c r="J13" s="196">
        <f>J6*J11</f>
        <v>0.15522942857142855</v>
      </c>
      <c r="K13" s="196">
        <f>J6*K11</f>
        <v>7.82004857142857E-2</v>
      </c>
      <c r="L13" s="196">
        <f>J6*L11</f>
        <v>3.6464271428571428E-2</v>
      </c>
      <c r="M13" s="196">
        <f>J6*M11</f>
        <v>1.4644285714285714E-2</v>
      </c>
      <c r="N13" s="196">
        <f>N6*N11</f>
        <v>0.70842857142857152</v>
      </c>
      <c r="O13" s="196">
        <f>N6*O11</f>
        <v>0.46414285714285719</v>
      </c>
      <c r="P13" s="196">
        <f>N6*P11</f>
        <v>3.6642857142857144E-2</v>
      </c>
      <c r="Q13" s="196">
        <f>Q6*Q11</f>
        <v>1.44</v>
      </c>
    </row>
    <row r="14" spans="2:17">
      <c r="B14" s="283"/>
      <c r="C14" s="3" t="s">
        <v>98</v>
      </c>
      <c r="D14" s="196">
        <f>D7*D12</f>
        <v>9.7559999999999994E-2</v>
      </c>
      <c r="E14" s="196">
        <f>D7*E12</f>
        <v>7.2008571428571436E-2</v>
      </c>
      <c r="F14" s="196">
        <f>D7*F12</f>
        <v>3.4842857142857141E-2</v>
      </c>
      <c r="G14" s="196">
        <f>D7*G12</f>
        <v>2.7874285714285716E-2</v>
      </c>
      <c r="H14" s="196">
        <v>0</v>
      </c>
      <c r="I14" s="196">
        <v>0</v>
      </c>
      <c r="J14" s="196">
        <f>J7*J12</f>
        <v>3.0891428571428567E-3</v>
      </c>
      <c r="K14" s="196">
        <f>J7*K12</f>
        <v>1.5562285714285713E-3</v>
      </c>
      <c r="L14" s="196">
        <f>J7*L12</f>
        <v>7.2565714285714278E-4</v>
      </c>
      <c r="M14" s="196">
        <f>J7*M12</f>
        <v>2.9142857142857144E-4</v>
      </c>
      <c r="N14" s="196">
        <f>N7*N12</f>
        <v>1.4914285714285715E-2</v>
      </c>
      <c r="O14" s="196">
        <f>N7*O12</f>
        <v>9.7714285714285715E-3</v>
      </c>
      <c r="P14" s="196">
        <f>N7*P12</f>
        <v>7.7142857142857145E-4</v>
      </c>
      <c r="Q14" s="196">
        <f>Q7*Q12</f>
        <v>9.5999999999999992E-3</v>
      </c>
    </row>
    <row r="15" spans="2:17" ht="14.5" customHeight="1">
      <c r="B15" s="284"/>
      <c r="C15" s="26" t="s">
        <v>41</v>
      </c>
      <c r="D15" s="196">
        <f>ROUNDUP((D13-D14),0)</f>
        <v>2</v>
      </c>
      <c r="E15" s="196">
        <f t="shared" ref="E15:Q15" si="1">ROUNDUP((E13-E14),0)</f>
        <v>4</v>
      </c>
      <c r="F15" s="196">
        <f t="shared" si="1"/>
        <v>2</v>
      </c>
      <c r="G15" s="196">
        <f t="shared" si="1"/>
        <v>2</v>
      </c>
      <c r="H15" s="196">
        <f t="shared" si="1"/>
        <v>18</v>
      </c>
      <c r="I15" s="196">
        <f t="shared" si="1"/>
        <v>1</v>
      </c>
      <c r="J15" s="196">
        <f t="shared" si="1"/>
        <v>1</v>
      </c>
      <c r="K15" s="196">
        <f t="shared" si="1"/>
        <v>1</v>
      </c>
      <c r="L15" s="196">
        <f t="shared" si="1"/>
        <v>1</v>
      </c>
      <c r="M15" s="196">
        <f t="shared" si="1"/>
        <v>1</v>
      </c>
      <c r="N15" s="196">
        <f t="shared" si="1"/>
        <v>1</v>
      </c>
      <c r="O15" s="196">
        <f t="shared" si="1"/>
        <v>1</v>
      </c>
      <c r="P15" s="196">
        <f t="shared" si="1"/>
        <v>1</v>
      </c>
      <c r="Q15" s="196">
        <f t="shared" si="1"/>
        <v>2</v>
      </c>
    </row>
    <row r="16" spans="2:17">
      <c r="D16" s="1"/>
      <c r="E16" s="1"/>
      <c r="F16" s="1"/>
      <c r="G16" s="1"/>
      <c r="H16" s="1"/>
      <c r="I16" s="1"/>
      <c r="J16" s="1"/>
      <c r="K16" s="1"/>
      <c r="L16" s="1"/>
      <c r="M16" s="1"/>
      <c r="N16" s="1"/>
      <c r="O16" s="1"/>
      <c r="P16" s="1"/>
      <c r="Q16" s="1"/>
    </row>
    <row r="17" spans="2:17">
      <c r="B17" s="266" t="s">
        <v>112</v>
      </c>
      <c r="C17" s="277"/>
      <c r="D17" s="277"/>
      <c r="E17" s="277"/>
      <c r="F17" s="277"/>
      <c r="G17" s="277"/>
      <c r="H17" s="277"/>
      <c r="I17" s="277"/>
      <c r="J17" s="277"/>
      <c r="K17" s="277"/>
      <c r="L17" s="277"/>
      <c r="M17" s="277"/>
      <c r="N17" s="277"/>
      <c r="O17" s="277"/>
      <c r="P17" s="277"/>
      <c r="Q17" s="278"/>
    </row>
    <row r="18" spans="2:17">
      <c r="B18" s="279"/>
      <c r="C18" s="280"/>
      <c r="D18" s="280"/>
      <c r="E18" s="280"/>
      <c r="F18" s="280"/>
      <c r="G18" s="280"/>
      <c r="H18" s="280"/>
      <c r="I18" s="280"/>
      <c r="J18" s="280"/>
      <c r="K18" s="280"/>
      <c r="L18" s="280"/>
      <c r="M18" s="280"/>
      <c r="N18" s="280"/>
      <c r="O18" s="280"/>
      <c r="P18" s="280"/>
      <c r="Q18" s="281"/>
    </row>
    <row r="19" spans="2:17">
      <c r="B19" s="3" t="s">
        <v>111</v>
      </c>
      <c r="C19" s="28" t="s">
        <v>116</v>
      </c>
      <c r="D19" s="3" t="s">
        <v>102</v>
      </c>
      <c r="E19" s="3" t="s">
        <v>110</v>
      </c>
      <c r="F19" s="3" t="s">
        <v>137</v>
      </c>
      <c r="G19" s="3" t="s">
        <v>103</v>
      </c>
      <c r="H19" s="3" t="s">
        <v>99</v>
      </c>
      <c r="I19" s="3" t="s">
        <v>133</v>
      </c>
      <c r="J19" s="3" t="s">
        <v>123</v>
      </c>
      <c r="K19" s="3" t="s">
        <v>105</v>
      </c>
      <c r="L19" s="3" t="s">
        <v>100</v>
      </c>
      <c r="M19" s="3" t="s">
        <v>108</v>
      </c>
      <c r="N19" s="3" t="s">
        <v>134</v>
      </c>
      <c r="O19" s="3" t="s">
        <v>135</v>
      </c>
      <c r="P19" s="3" t="s">
        <v>136</v>
      </c>
      <c r="Q19" s="3" t="s">
        <v>109</v>
      </c>
    </row>
    <row r="20" spans="2:17">
      <c r="B20" s="3" t="s">
        <v>19</v>
      </c>
      <c r="C20" s="197">
        <f>'Part Cost'!C20/'Industry Setup (2)'!$G$51</f>
        <v>11.242857142857142</v>
      </c>
      <c r="D20" s="29">
        <f>20/60</f>
        <v>0.33333333333333331</v>
      </c>
      <c r="E20" s="29">
        <f>45/60</f>
        <v>0.75</v>
      </c>
      <c r="F20" s="29">
        <f>20/60</f>
        <v>0.33333333333333331</v>
      </c>
      <c r="G20" s="29">
        <f>15/60</f>
        <v>0.25</v>
      </c>
      <c r="H20" s="29">
        <v>0</v>
      </c>
      <c r="I20" s="29">
        <v>0</v>
      </c>
      <c r="J20" s="29">
        <v>0</v>
      </c>
      <c r="K20" s="29">
        <v>0</v>
      </c>
      <c r="L20" s="29">
        <v>0</v>
      </c>
      <c r="M20" s="29">
        <v>0</v>
      </c>
      <c r="N20" s="29">
        <v>0</v>
      </c>
      <c r="O20" s="29">
        <v>0</v>
      </c>
      <c r="P20" s="29">
        <v>0</v>
      </c>
      <c r="Q20" s="29">
        <v>0</v>
      </c>
    </row>
    <row r="21" spans="2:17">
      <c r="B21" s="3" t="s">
        <v>20</v>
      </c>
      <c r="C21" s="197">
        <f>'Part Cost'!C21/'Industry Setup (2)'!$G$51</f>
        <v>46.285714285714285</v>
      </c>
      <c r="D21" s="29">
        <f>15/60</f>
        <v>0.25</v>
      </c>
      <c r="E21" s="29">
        <v>0</v>
      </c>
      <c r="F21" s="29">
        <f>15/60</f>
        <v>0.25</v>
      </c>
      <c r="G21" s="29">
        <f>15/60</f>
        <v>0.25</v>
      </c>
      <c r="H21" s="29">
        <v>0</v>
      </c>
      <c r="I21" s="29">
        <v>0</v>
      </c>
      <c r="J21" s="29">
        <v>0</v>
      </c>
      <c r="K21" s="29">
        <v>0</v>
      </c>
      <c r="L21" s="29">
        <v>0</v>
      </c>
      <c r="M21" s="29">
        <v>0</v>
      </c>
      <c r="N21" s="29">
        <v>0</v>
      </c>
      <c r="O21" s="29">
        <v>0</v>
      </c>
      <c r="P21" s="29">
        <v>0</v>
      </c>
      <c r="Q21" s="29">
        <v>0</v>
      </c>
    </row>
    <row r="22" spans="2:17">
      <c r="B22" s="3" t="s">
        <v>178</v>
      </c>
      <c r="C22" s="197">
        <f>'Part Cost'!C22/'Industry Setup (2)'!$G$51</f>
        <v>24.37142857142857</v>
      </c>
      <c r="D22" s="29">
        <f>5/60</f>
        <v>8.3333333333333329E-2</v>
      </c>
      <c r="E22" s="29">
        <v>0</v>
      </c>
      <c r="F22" s="29">
        <f>5/60</f>
        <v>8.3333333333333329E-2</v>
      </c>
      <c r="G22" s="29">
        <f>5/60</f>
        <v>8.3333333333333329E-2</v>
      </c>
      <c r="H22" s="29">
        <v>0</v>
      </c>
      <c r="I22" s="29">
        <v>0</v>
      </c>
      <c r="J22" s="29">
        <v>0</v>
      </c>
      <c r="K22" s="29">
        <v>0</v>
      </c>
      <c r="L22" s="29">
        <v>0</v>
      </c>
      <c r="M22" s="29">
        <v>0</v>
      </c>
      <c r="N22" s="29">
        <v>0</v>
      </c>
      <c r="O22" s="29">
        <v>0</v>
      </c>
      <c r="P22" s="29">
        <v>0</v>
      </c>
      <c r="Q22" s="29">
        <v>0</v>
      </c>
    </row>
    <row r="23" spans="2:17">
      <c r="B23" s="3" t="s">
        <v>85</v>
      </c>
      <c r="C23" s="197">
        <f>'Part Cost'!C23/'Industry Setup (2)'!$G$51</f>
        <v>12.442857142857143</v>
      </c>
      <c r="D23" s="29">
        <v>0</v>
      </c>
      <c r="E23" s="29">
        <v>0</v>
      </c>
      <c r="F23" s="29">
        <v>0</v>
      </c>
      <c r="G23" s="29">
        <v>0</v>
      </c>
      <c r="H23" s="29">
        <f>28/60</f>
        <v>0.46666666666666667</v>
      </c>
      <c r="I23" s="29">
        <v>0</v>
      </c>
      <c r="J23" s="29">
        <f>10/60</f>
        <v>0.16666666666666666</v>
      </c>
      <c r="K23" s="29">
        <f>10/60</f>
        <v>0.16666666666666666</v>
      </c>
      <c r="L23" s="29">
        <f>10/60</f>
        <v>0.16666666666666666</v>
      </c>
      <c r="M23" s="29">
        <f>10/60</f>
        <v>0.16666666666666666</v>
      </c>
      <c r="N23" s="29">
        <v>0</v>
      </c>
      <c r="O23" s="29">
        <v>0</v>
      </c>
      <c r="P23" s="29">
        <v>0</v>
      </c>
      <c r="Q23" s="29">
        <v>0</v>
      </c>
    </row>
    <row r="24" spans="2:17" ht="16.25" customHeight="1">
      <c r="B24" s="3" t="s">
        <v>83</v>
      </c>
      <c r="C24" s="197">
        <f>'Part Cost'!C24/'Industry Setup (2)'!$G$51</f>
        <v>11.942857142857143</v>
      </c>
      <c r="D24" s="29">
        <v>0</v>
      </c>
      <c r="E24" s="29">
        <v>0</v>
      </c>
      <c r="F24" s="29">
        <v>0</v>
      </c>
      <c r="G24" s="29">
        <v>0</v>
      </c>
      <c r="H24" s="29">
        <v>0</v>
      </c>
      <c r="I24" s="29">
        <v>0</v>
      </c>
      <c r="J24" s="29">
        <v>0</v>
      </c>
      <c r="K24" s="29">
        <v>0</v>
      </c>
      <c r="L24" s="29">
        <v>0</v>
      </c>
      <c r="M24" s="29">
        <v>0</v>
      </c>
      <c r="N24" s="29">
        <v>0</v>
      </c>
      <c r="O24" s="29">
        <f>120/60</f>
        <v>2</v>
      </c>
      <c r="P24" s="29">
        <v>0</v>
      </c>
      <c r="Q24" s="29">
        <v>0</v>
      </c>
    </row>
    <row r="25" spans="2:17">
      <c r="B25" s="3" t="s">
        <v>86</v>
      </c>
      <c r="C25" s="197">
        <f>'Part Cost'!C25/'Industry Setup (2)'!$G$51</f>
        <v>21.814285714285713</v>
      </c>
      <c r="D25" s="29">
        <f>5/60</f>
        <v>8.3333333333333329E-2</v>
      </c>
      <c r="E25" s="29">
        <f>5/60</f>
        <v>8.3333333333333329E-2</v>
      </c>
      <c r="F25" s="29">
        <f>5/60</f>
        <v>8.3333333333333329E-2</v>
      </c>
      <c r="G25" s="29">
        <f>5/60</f>
        <v>8.3333333333333329E-2</v>
      </c>
      <c r="H25" s="29">
        <v>0</v>
      </c>
      <c r="I25" s="29">
        <v>0</v>
      </c>
      <c r="J25" s="29">
        <f t="shared" ref="J25:Q25" si="2">5/60</f>
        <v>8.3333333333333329E-2</v>
      </c>
      <c r="K25" s="29">
        <f t="shared" si="2"/>
        <v>8.3333333333333329E-2</v>
      </c>
      <c r="L25" s="29">
        <f t="shared" si="2"/>
        <v>8.3333333333333329E-2</v>
      </c>
      <c r="M25" s="29">
        <f t="shared" si="2"/>
        <v>8.3333333333333329E-2</v>
      </c>
      <c r="N25" s="29">
        <f t="shared" si="2"/>
        <v>8.3333333333333329E-2</v>
      </c>
      <c r="O25" s="29">
        <f t="shared" si="2"/>
        <v>8.3333333333333329E-2</v>
      </c>
      <c r="P25" s="29">
        <f t="shared" si="2"/>
        <v>8.3333333333333329E-2</v>
      </c>
      <c r="Q25" s="29">
        <f t="shared" si="2"/>
        <v>8.3333333333333329E-2</v>
      </c>
    </row>
    <row r="26" spans="2:17">
      <c r="B26" s="3" t="s">
        <v>157</v>
      </c>
      <c r="C26" s="197">
        <f>'Part Cost'!C26/'Industry Setup (2)'!$G$51</f>
        <v>20.014285714285716</v>
      </c>
      <c r="D26" s="29">
        <v>0</v>
      </c>
      <c r="E26" s="29">
        <v>0</v>
      </c>
      <c r="F26" s="29">
        <v>0</v>
      </c>
      <c r="G26" s="29">
        <v>0</v>
      </c>
      <c r="H26" s="29">
        <v>0</v>
      </c>
      <c r="I26" s="29">
        <f>15/60</f>
        <v>0.25</v>
      </c>
      <c r="J26" s="29">
        <f>3/60</f>
        <v>0.05</v>
      </c>
      <c r="K26" s="29">
        <f>3/60</f>
        <v>0.05</v>
      </c>
      <c r="L26" s="29">
        <f>3/60</f>
        <v>0.05</v>
      </c>
      <c r="M26" s="29">
        <f>3/60</f>
        <v>0.05</v>
      </c>
      <c r="N26" s="29">
        <f>20/60</f>
        <v>0.33333333333333331</v>
      </c>
      <c r="O26" s="29">
        <v>0</v>
      </c>
      <c r="P26" s="29">
        <f>20/60</f>
        <v>0.33333333333333331</v>
      </c>
      <c r="Q26" s="29">
        <f>30/60</f>
        <v>0.5</v>
      </c>
    </row>
    <row r="27" spans="2:17">
      <c r="B27" s="3" t="s">
        <v>101</v>
      </c>
      <c r="C27" s="197">
        <f>'Part Cost'!C27/'Industry Setup (2)'!$G$51</f>
        <v>30.414285714285715</v>
      </c>
      <c r="D27" s="29">
        <f>8/60</f>
        <v>0.13333333333333333</v>
      </c>
      <c r="E27" s="29">
        <f>8/60</f>
        <v>0.13333333333333333</v>
      </c>
      <c r="F27" s="29">
        <v>0</v>
      </c>
      <c r="G27" s="29">
        <f>5/60</f>
        <v>8.3333333333333329E-2</v>
      </c>
      <c r="H27" s="29">
        <f>5/60</f>
        <v>8.3333333333333329E-2</v>
      </c>
      <c r="I27" s="29">
        <f>3/60</f>
        <v>0.05</v>
      </c>
      <c r="J27" s="29">
        <v>0</v>
      </c>
      <c r="K27" s="29">
        <v>0</v>
      </c>
      <c r="L27" s="29">
        <v>0</v>
      </c>
      <c r="M27" s="29">
        <v>0</v>
      </c>
      <c r="N27" s="29">
        <v>0</v>
      </c>
      <c r="O27" s="29">
        <v>0</v>
      </c>
      <c r="P27" s="29">
        <v>0</v>
      </c>
      <c r="Q27" s="29">
        <f>8/60</f>
        <v>0.13333333333333333</v>
      </c>
    </row>
    <row r="28" spans="2:17">
      <c r="B28" s="275" t="s">
        <v>322</v>
      </c>
      <c r="C28" s="276"/>
      <c r="D28" s="192">
        <f>ROUNDUP(SUMPRODUCT(C20:C27,D20:D27),0)</f>
        <v>24</v>
      </c>
      <c r="E28" s="192">
        <f>ROUNDUP(SUMPRODUCT(C20:C27,E20:E27),0)</f>
        <v>15</v>
      </c>
      <c r="F28" s="192">
        <f>ROUNDUP(SUMPRODUCT(C20:C27,F20:F27),0)</f>
        <v>20</v>
      </c>
      <c r="G28" s="192">
        <f>ROUNDUP(SUMPRODUCT(C20:C27,G20:G27),0)</f>
        <v>21</v>
      </c>
      <c r="H28" s="192">
        <f>ROUNDUP(SUMPRODUCT(C20:C27,H20:H27),0)</f>
        <v>9</v>
      </c>
      <c r="I28" s="192">
        <f>ROUNDUP(SUMPRODUCT(C20:C27,I20:I27),0)</f>
        <v>7</v>
      </c>
      <c r="J28" s="192">
        <f>ROUNDUP(SUMPRODUCT(C20:C27,J20:J27),0)</f>
        <v>5</v>
      </c>
      <c r="K28" s="192">
        <f>ROUNDUP(SUMPRODUCT(C20:C27,K20:K27),0)</f>
        <v>5</v>
      </c>
      <c r="L28" s="192">
        <f>ROUNDUP(SUMPRODUCT(C20:C27,L20:L27),0)</f>
        <v>5</v>
      </c>
      <c r="M28" s="192">
        <f>ROUNDUP(SUMPRODUCT(C20:C27,M20:M27),0)</f>
        <v>5</v>
      </c>
      <c r="N28" s="192">
        <f>ROUNDUP(SUMPRODUCT(C20:C27,N20:N27),0)</f>
        <v>9</v>
      </c>
      <c r="O28" s="192">
        <f>ROUNDUP(SUMPRODUCT(C20:C27,O20:O27),0)</f>
        <v>26</v>
      </c>
      <c r="P28" s="192">
        <f>ROUNDUP(SUMPRODUCT(C20:C27,P20:P27),0)</f>
        <v>9</v>
      </c>
      <c r="Q28" s="192">
        <f>ROUNDUP(SUMPRODUCT(C20:C27,Q20:Q27),0)</f>
        <v>16</v>
      </c>
    </row>
    <row r="30" spans="2:17">
      <c r="B30" s="287" t="s">
        <v>194</v>
      </c>
      <c r="C30" s="287"/>
      <c r="E30" s="287" t="s">
        <v>193</v>
      </c>
      <c r="F30" s="287"/>
      <c r="G30" s="287"/>
      <c r="H30" s="287"/>
      <c r="I30" s="287"/>
      <c r="J30" s="287"/>
      <c r="K30" s="287"/>
      <c r="L30" s="287"/>
    </row>
    <row r="31" spans="2:17">
      <c r="B31" s="287"/>
      <c r="C31" s="287"/>
      <c r="E31" s="287"/>
      <c r="F31" s="287"/>
      <c r="G31" s="287"/>
      <c r="H31" s="287"/>
      <c r="I31" s="287"/>
      <c r="J31" s="287"/>
      <c r="K31" s="287"/>
      <c r="L31" s="287"/>
    </row>
    <row r="32" spans="2:17">
      <c r="B32" s="3" t="s">
        <v>175</v>
      </c>
      <c r="C32" s="3" t="s">
        <v>174</v>
      </c>
      <c r="E32" s="264" t="s">
        <v>184</v>
      </c>
      <c r="F32" s="265"/>
      <c r="G32" s="264" t="s">
        <v>191</v>
      </c>
      <c r="H32" s="265"/>
      <c r="I32" s="264" t="s">
        <v>174</v>
      </c>
      <c r="J32" s="265"/>
      <c r="K32" s="264" t="s">
        <v>192</v>
      </c>
      <c r="L32" s="265"/>
    </row>
    <row r="33" spans="2:12">
      <c r="B33" s="3" t="s">
        <v>102</v>
      </c>
      <c r="C33" s="10">
        <v>1</v>
      </c>
      <c r="E33" s="259" t="s">
        <v>185</v>
      </c>
      <c r="F33" s="260"/>
      <c r="G33" s="288">
        <f>'Part Cost'!G33/'Industry Setup (2)'!$G$51</f>
        <v>197</v>
      </c>
      <c r="H33" s="289">
        <f>'Part Cost'!H33/'Industry Setup (2)'!$G$51</f>
        <v>0</v>
      </c>
      <c r="I33" s="258">
        <v>2</v>
      </c>
      <c r="J33" s="235"/>
      <c r="K33" s="288">
        <f t="shared" ref="K33:K39" si="3">G33*I33</f>
        <v>394</v>
      </c>
      <c r="L33" s="289"/>
    </row>
    <row r="34" spans="2:12">
      <c r="B34" s="3" t="s">
        <v>110</v>
      </c>
      <c r="C34" s="10">
        <v>1</v>
      </c>
      <c r="E34" s="259" t="s">
        <v>186</v>
      </c>
      <c r="F34" s="260"/>
      <c r="G34" s="288">
        <f>'Part Cost'!G34/'Industry Setup (2)'!$G$51</f>
        <v>5</v>
      </c>
      <c r="H34" s="289">
        <f>'Part Cost'!H34/'Industry Setup (2)'!$G$51</f>
        <v>0</v>
      </c>
      <c r="I34" s="258">
        <v>2</v>
      </c>
      <c r="J34" s="235"/>
      <c r="K34" s="288">
        <f t="shared" si="3"/>
        <v>10</v>
      </c>
      <c r="L34" s="289"/>
    </row>
    <row r="35" spans="2:12">
      <c r="B35" s="3" t="s">
        <v>121</v>
      </c>
      <c r="C35" s="10">
        <v>3</v>
      </c>
      <c r="E35" s="259" t="s">
        <v>187</v>
      </c>
      <c r="F35" s="260"/>
      <c r="G35" s="288">
        <f>'Part Cost'!G35/'Industry Setup (2)'!$G$51</f>
        <v>23.68</v>
      </c>
      <c r="H35" s="289">
        <f>'Part Cost'!H35/'Industry Setup (2)'!$G$51</f>
        <v>0</v>
      </c>
      <c r="I35" s="258">
        <v>1</v>
      </c>
      <c r="J35" s="235"/>
      <c r="K35" s="288">
        <f t="shared" si="3"/>
        <v>23.68</v>
      </c>
      <c r="L35" s="289"/>
    </row>
    <row r="36" spans="2:12">
      <c r="B36" s="3" t="s">
        <v>103</v>
      </c>
      <c r="C36" s="10">
        <v>3</v>
      </c>
      <c r="E36" s="259" t="s">
        <v>188</v>
      </c>
      <c r="F36" s="260"/>
      <c r="G36" s="288">
        <f>'Part Cost'!G36/'Industry Setup (2)'!$G$51</f>
        <v>1</v>
      </c>
      <c r="H36" s="289">
        <f>'Part Cost'!H36/'Industry Setup (2)'!$G$51</f>
        <v>0</v>
      </c>
      <c r="I36" s="258">
        <v>8</v>
      </c>
      <c r="J36" s="235"/>
      <c r="K36" s="288">
        <f t="shared" si="3"/>
        <v>8</v>
      </c>
      <c r="L36" s="289"/>
    </row>
    <row r="37" spans="2:12">
      <c r="B37" s="3" t="s">
        <v>126</v>
      </c>
      <c r="C37" s="10">
        <v>3</v>
      </c>
      <c r="E37" s="259" t="s">
        <v>189</v>
      </c>
      <c r="F37" s="260"/>
      <c r="G37" s="288">
        <f>'Part Cost'!G37/'Industry Setup (2)'!$G$51</f>
        <v>4.8499999999999996</v>
      </c>
      <c r="H37" s="289">
        <f>'Part Cost'!H37/'Industry Setup (2)'!$G$51</f>
        <v>0</v>
      </c>
      <c r="I37" s="258">
        <v>1</v>
      </c>
      <c r="J37" s="235"/>
      <c r="K37" s="288">
        <f t="shared" si="3"/>
        <v>4.8499999999999996</v>
      </c>
      <c r="L37" s="289"/>
    </row>
    <row r="38" spans="2:12">
      <c r="B38" s="3" t="s">
        <v>122</v>
      </c>
      <c r="C38" s="10">
        <v>3</v>
      </c>
      <c r="E38" s="261" t="s">
        <v>190</v>
      </c>
      <c r="F38" s="261"/>
      <c r="G38" s="288">
        <f>'Part Cost'!G38/'Industry Setup (2)'!$G$51</f>
        <v>5</v>
      </c>
      <c r="H38" s="289">
        <f>'Part Cost'!H38/'Industry Setup (2)'!$G$51</f>
        <v>0</v>
      </c>
      <c r="I38" s="258">
        <v>1</v>
      </c>
      <c r="J38" s="235"/>
      <c r="K38" s="288">
        <f t="shared" si="3"/>
        <v>5</v>
      </c>
      <c r="L38" s="289"/>
    </row>
    <row r="39" spans="2:12">
      <c r="B39" s="3" t="s">
        <v>109</v>
      </c>
      <c r="C39" s="10">
        <v>1</v>
      </c>
      <c r="E39" s="259" t="s">
        <v>183</v>
      </c>
      <c r="F39" s="260"/>
      <c r="G39" s="288">
        <f>'Part Cost'!G39/'Industry Setup (2)'!$G$51</f>
        <v>17.142857142857142</v>
      </c>
      <c r="H39" s="289">
        <f>'Part Cost'!H39/'Industry Setup (2)'!$G$51</f>
        <v>0</v>
      </c>
      <c r="I39" s="258">
        <v>2</v>
      </c>
      <c r="J39" s="235"/>
      <c r="K39" s="288">
        <f t="shared" si="3"/>
        <v>34.285714285714285</v>
      </c>
      <c r="L39" s="289"/>
    </row>
    <row r="40" spans="2:12">
      <c r="B40" s="3" t="s">
        <v>181</v>
      </c>
      <c r="C40" s="10">
        <v>2</v>
      </c>
      <c r="E40" s="286" t="s">
        <v>41</v>
      </c>
      <c r="F40" s="286"/>
      <c r="G40" s="286"/>
      <c r="H40" s="286"/>
      <c r="I40" s="286"/>
      <c r="J40" s="286"/>
      <c r="K40" s="288">
        <f>SUM(K33:L39)</f>
        <v>479.81571428571431</v>
      </c>
      <c r="L40" s="289"/>
    </row>
    <row r="41" spans="2:12">
      <c r="B41" s="3" t="s">
        <v>182</v>
      </c>
      <c r="C41" s="10">
        <v>2</v>
      </c>
      <c r="E41" s="32"/>
      <c r="F41" s="32"/>
    </row>
    <row r="42" spans="2:12">
      <c r="B42" s="3" t="s">
        <v>99</v>
      </c>
      <c r="C42" s="10">
        <v>1</v>
      </c>
      <c r="E42" s="32"/>
      <c r="F42" s="32"/>
    </row>
    <row r="43" spans="2:12">
      <c r="B43" s="3" t="s">
        <v>131</v>
      </c>
      <c r="C43" s="10">
        <v>3</v>
      </c>
      <c r="E43" s="32"/>
      <c r="F43" s="32"/>
    </row>
    <row r="44" spans="2:12">
      <c r="B44" s="3" t="s">
        <v>105</v>
      </c>
      <c r="C44" s="10">
        <v>1</v>
      </c>
      <c r="E44" s="32"/>
      <c r="F44" s="32"/>
    </row>
    <row r="45" spans="2:12">
      <c r="B45" s="3" t="s">
        <v>100</v>
      </c>
      <c r="C45" s="10">
        <v>1</v>
      </c>
    </row>
    <row r="46" spans="2:12">
      <c r="B46" s="3" t="s">
        <v>108</v>
      </c>
      <c r="C46" s="10">
        <v>2</v>
      </c>
    </row>
  </sheetData>
  <mergeCells count="63">
    <mergeCell ref="D5:G5"/>
    <mergeCell ref="H5:I5"/>
    <mergeCell ref="J5:M5"/>
    <mergeCell ref="N5:P5"/>
    <mergeCell ref="B2:Q3"/>
    <mergeCell ref="D4:G4"/>
    <mergeCell ref="H4:I4"/>
    <mergeCell ref="J4:M4"/>
    <mergeCell ref="N4:P4"/>
    <mergeCell ref="B6:B7"/>
    <mergeCell ref="D6:G6"/>
    <mergeCell ref="H6:I6"/>
    <mergeCell ref="J6:M6"/>
    <mergeCell ref="N6:P6"/>
    <mergeCell ref="D7:G7"/>
    <mergeCell ref="H7:I7"/>
    <mergeCell ref="J7:M7"/>
    <mergeCell ref="N7:P7"/>
    <mergeCell ref="E32:F32"/>
    <mergeCell ref="G32:H32"/>
    <mergeCell ref="I32:J32"/>
    <mergeCell ref="K32:L32"/>
    <mergeCell ref="B8:C8"/>
    <mergeCell ref="D8:G8"/>
    <mergeCell ref="H8:I8"/>
    <mergeCell ref="J8:M8"/>
    <mergeCell ref="B13:B15"/>
    <mergeCell ref="B17:Q18"/>
    <mergeCell ref="B28:C28"/>
    <mergeCell ref="B30:C31"/>
    <mergeCell ref="E30:L31"/>
    <mergeCell ref="N8:P8"/>
    <mergeCell ref="B11:B12"/>
    <mergeCell ref="E33:F33"/>
    <mergeCell ref="G33:H33"/>
    <mergeCell ref="I33:J33"/>
    <mergeCell ref="K33:L33"/>
    <mergeCell ref="E34:F34"/>
    <mergeCell ref="G34:H34"/>
    <mergeCell ref="I34:J34"/>
    <mergeCell ref="K34:L34"/>
    <mergeCell ref="E35:F35"/>
    <mergeCell ref="G35:H35"/>
    <mergeCell ref="I35:J35"/>
    <mergeCell ref="K35:L35"/>
    <mergeCell ref="E36:F36"/>
    <mergeCell ref="G36:H36"/>
    <mergeCell ref="I36:J36"/>
    <mergeCell ref="K36:L36"/>
    <mergeCell ref="E37:F37"/>
    <mergeCell ref="G37:H37"/>
    <mergeCell ref="I37:J37"/>
    <mergeCell ref="K37:L37"/>
    <mergeCell ref="E38:F38"/>
    <mergeCell ref="G38:H38"/>
    <mergeCell ref="I38:J38"/>
    <mergeCell ref="K38:L38"/>
    <mergeCell ref="E39:F39"/>
    <mergeCell ref="G39:H39"/>
    <mergeCell ref="I39:J39"/>
    <mergeCell ref="K39:L39"/>
    <mergeCell ref="E40:J40"/>
    <mergeCell ref="K40:L4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Q32"/>
  <sheetViews>
    <sheetView topLeftCell="B1" zoomScale="85" zoomScaleNormal="85" workbookViewId="0">
      <selection activeCell="I17" sqref="I17"/>
    </sheetView>
  </sheetViews>
  <sheetFormatPr baseColWidth="10" defaultColWidth="8.83203125" defaultRowHeight="15"/>
  <cols>
    <col min="1" max="1" width="2.83203125" customWidth="1"/>
    <col min="2" max="2" width="30.1640625" customWidth="1"/>
    <col min="3" max="3" width="14.83203125" customWidth="1"/>
    <col min="4" max="4" width="11.5" customWidth="1"/>
    <col min="5" max="5" width="12" customWidth="1"/>
    <col min="6" max="6" width="18.1640625" customWidth="1"/>
    <col min="7" max="7" width="20.5" customWidth="1"/>
    <col min="8" max="8" width="24.5" customWidth="1"/>
    <col min="9" max="9" width="11.83203125" customWidth="1"/>
    <col min="10" max="10" width="11" customWidth="1"/>
    <col min="11" max="11" width="15" customWidth="1"/>
    <col min="12" max="12" width="11.83203125" customWidth="1"/>
    <col min="13" max="13" width="13.83203125" customWidth="1"/>
    <col min="14" max="14" width="13.1640625" customWidth="1"/>
    <col min="15" max="15" width="11.6640625" customWidth="1"/>
    <col min="16" max="16" width="13.83203125" customWidth="1"/>
  </cols>
  <sheetData>
    <row r="2" spans="2:16">
      <c r="B2" s="287" t="s">
        <v>307</v>
      </c>
      <c r="C2" s="287"/>
      <c r="D2" s="287"/>
      <c r="E2" s="287"/>
      <c r="F2" s="287"/>
      <c r="G2" s="287"/>
      <c r="H2" s="287"/>
      <c r="I2" s="287"/>
      <c r="J2" s="287"/>
      <c r="K2" s="287"/>
      <c r="L2" s="287"/>
      <c r="M2" s="287"/>
      <c r="N2" s="287"/>
      <c r="O2" s="287"/>
      <c r="P2" s="287"/>
    </row>
    <row r="3" spans="2:16">
      <c r="B3" s="287"/>
      <c r="C3" s="287"/>
      <c r="D3" s="287"/>
      <c r="E3" s="287"/>
      <c r="F3" s="287"/>
      <c r="G3" s="287"/>
      <c r="H3" s="287"/>
      <c r="I3" s="287"/>
      <c r="J3" s="287"/>
      <c r="K3" s="287"/>
      <c r="L3" s="287"/>
      <c r="M3" s="287"/>
      <c r="N3" s="287"/>
      <c r="O3" s="287"/>
      <c r="P3" s="287"/>
    </row>
    <row r="4" spans="2:16">
      <c r="B4" s="167"/>
      <c r="C4" s="272" t="s">
        <v>119</v>
      </c>
      <c r="D4" s="272"/>
      <c r="E4" s="272"/>
      <c r="F4" s="272"/>
      <c r="G4" s="272" t="s">
        <v>120</v>
      </c>
      <c r="H4" s="272"/>
      <c r="I4" s="272" t="s">
        <v>127</v>
      </c>
      <c r="J4" s="272"/>
      <c r="K4" s="272"/>
      <c r="L4" s="272"/>
      <c r="M4" s="272" t="s">
        <v>106</v>
      </c>
      <c r="N4" s="272"/>
      <c r="O4" s="272"/>
      <c r="P4" s="3" t="s">
        <v>107</v>
      </c>
    </row>
    <row r="5" spans="2:16">
      <c r="B5" s="27"/>
      <c r="C5" s="241"/>
      <c r="D5" s="241"/>
      <c r="E5" s="241"/>
      <c r="F5" s="241"/>
      <c r="G5" s="241"/>
      <c r="H5" s="241"/>
      <c r="I5" s="241"/>
      <c r="J5" s="241"/>
      <c r="K5" s="241"/>
      <c r="L5" s="241"/>
      <c r="M5" s="241"/>
      <c r="N5" s="241"/>
      <c r="O5" s="241"/>
      <c r="P5" s="27"/>
    </row>
    <row r="6" spans="2:16">
      <c r="B6" s="3"/>
      <c r="C6" s="166" t="s">
        <v>102</v>
      </c>
      <c r="D6" s="3" t="s">
        <v>110</v>
      </c>
      <c r="E6" s="3" t="s">
        <v>121</v>
      </c>
      <c r="F6" s="3" t="s">
        <v>103</v>
      </c>
      <c r="G6" s="3" t="s">
        <v>99</v>
      </c>
      <c r="H6" s="3" t="s">
        <v>122</v>
      </c>
      <c r="I6" s="3" t="s">
        <v>131</v>
      </c>
      <c r="J6" s="3" t="s">
        <v>105</v>
      </c>
      <c r="K6" s="3" t="s">
        <v>100</v>
      </c>
      <c r="L6" s="3" t="s">
        <v>108</v>
      </c>
      <c r="M6" s="3" t="s">
        <v>124</v>
      </c>
      <c r="N6" s="3" t="s">
        <v>125</v>
      </c>
      <c r="O6" s="3" t="s">
        <v>126</v>
      </c>
      <c r="P6" s="3" t="s">
        <v>109</v>
      </c>
    </row>
    <row r="7" spans="2:16">
      <c r="B7" s="3" t="s">
        <v>104</v>
      </c>
      <c r="C7" s="170">
        <f>'Part Cost'!D15+'Part Cost'!D28</f>
        <v>1738</v>
      </c>
      <c r="D7" s="170">
        <f>'Part Cost'!E15+'Part Cost'!E28</f>
        <v>1216</v>
      </c>
      <c r="E7" s="170">
        <f>'Part Cost'!F15+'Part Cost'!F28</f>
        <v>1446</v>
      </c>
      <c r="F7" s="170">
        <f>'Part Cost'!G15+'Part Cost'!G28</f>
        <v>1537</v>
      </c>
      <c r="G7" s="170">
        <f>'Part Cost'!H15+'Part Cost'!H28</f>
        <v>1791</v>
      </c>
      <c r="H7" s="170">
        <f>'Part Cost'!I15+'Part Cost'!I28</f>
        <v>513</v>
      </c>
      <c r="I7" s="170">
        <f>'Part Cost'!J15+'Part Cost'!J28</f>
        <v>354</v>
      </c>
      <c r="J7" s="170">
        <f>'Part Cost'!K15+'Part Cost'!K28</f>
        <v>349</v>
      </c>
      <c r="K7" s="170">
        <f>'Part Cost'!L15+'Part Cost'!L28</f>
        <v>346</v>
      </c>
      <c r="L7" s="170">
        <f>'Part Cost'!M15+'Part Cost'!M28</f>
        <v>345</v>
      </c>
      <c r="M7" s="170">
        <f>'Part Cost'!N15+'Part Cost'!N28</f>
        <v>644</v>
      </c>
      <c r="N7" s="170">
        <f>'Part Cost'!O15+'Part Cost'!O28</f>
        <v>1832</v>
      </c>
      <c r="O7" s="170">
        <f>'Part Cost'!P15+'Part Cost'!P28</f>
        <v>598</v>
      </c>
      <c r="P7" s="170">
        <f>'Part Cost'!Q15+'Part Cost'!Q28</f>
        <v>1213</v>
      </c>
    </row>
    <row r="8" spans="2:16">
      <c r="B8" s="3" t="s">
        <v>303</v>
      </c>
      <c r="C8" s="170">
        <f>3540</f>
        <v>3540</v>
      </c>
      <c r="D8" s="170">
        <f>3540</f>
        <v>3540</v>
      </c>
      <c r="E8" s="170">
        <f>3540*3</f>
        <v>10620</v>
      </c>
      <c r="F8" s="170">
        <f>3540</f>
        <v>3540</v>
      </c>
      <c r="G8" s="170">
        <f>3540</f>
        <v>3540</v>
      </c>
      <c r="H8" s="170">
        <f>3540</f>
        <v>3540</v>
      </c>
      <c r="I8" s="170">
        <f>3540*3</f>
        <v>10620</v>
      </c>
      <c r="J8" s="170">
        <f>3540</f>
        <v>3540</v>
      </c>
      <c r="K8" s="170">
        <f>3540*2</f>
        <v>7080</v>
      </c>
      <c r="L8" s="170">
        <f>3540*2</f>
        <v>7080</v>
      </c>
      <c r="M8" s="170">
        <f>3540*2</f>
        <v>7080</v>
      </c>
      <c r="N8" s="170">
        <f>3540*2</f>
        <v>7080</v>
      </c>
      <c r="O8" s="170">
        <f>3540*3</f>
        <v>10620</v>
      </c>
      <c r="P8" s="170">
        <f>3540</f>
        <v>3540</v>
      </c>
    </row>
    <row r="9" spans="2:16">
      <c r="B9" s="3" t="s">
        <v>297</v>
      </c>
      <c r="C9" s="170">
        <f>C7*C8</f>
        <v>6152520</v>
      </c>
      <c r="D9" s="170">
        <f>D7*D8</f>
        <v>4304640</v>
      </c>
      <c r="E9" s="170">
        <f t="shared" ref="E9:P9" si="0">E7*E8</f>
        <v>15356520</v>
      </c>
      <c r="F9" s="170">
        <f t="shared" si="0"/>
        <v>5440980</v>
      </c>
      <c r="G9" s="170">
        <f t="shared" si="0"/>
        <v>6340140</v>
      </c>
      <c r="H9" s="170">
        <f t="shared" si="0"/>
        <v>1816020</v>
      </c>
      <c r="I9" s="170">
        <f t="shared" si="0"/>
        <v>3759480</v>
      </c>
      <c r="J9" s="170">
        <f t="shared" si="0"/>
        <v>1235460</v>
      </c>
      <c r="K9" s="170">
        <f t="shared" si="0"/>
        <v>2449680</v>
      </c>
      <c r="L9" s="170">
        <f t="shared" si="0"/>
        <v>2442600</v>
      </c>
      <c r="M9" s="170">
        <f t="shared" si="0"/>
        <v>4559520</v>
      </c>
      <c r="N9" s="170">
        <f t="shared" si="0"/>
        <v>12970560</v>
      </c>
      <c r="O9" s="170">
        <f t="shared" si="0"/>
        <v>6350760</v>
      </c>
      <c r="P9" s="170">
        <f t="shared" si="0"/>
        <v>4294020</v>
      </c>
    </row>
    <row r="11" spans="2:16">
      <c r="B11" s="168" t="s">
        <v>298</v>
      </c>
      <c r="C11" s="253">
        <f>SUM(C9:P9)</f>
        <v>77472900</v>
      </c>
      <c r="D11" s="253"/>
      <c r="E11" s="253"/>
    </row>
    <row r="12" spans="2:16">
      <c r="B12" s="168" t="s">
        <v>299</v>
      </c>
      <c r="C12" s="234">
        <f>('Industry Setup'!C7:D7+'Industry Setup'!C19:D19+'Industry Setup'!C27:D27+'Industry Setup'!C33:D33+'Industry Setup'!C39:D39+'Industry Setup'!C45:D45)/3</f>
        <v>12904544.266666666</v>
      </c>
      <c r="D12" s="292"/>
      <c r="E12" s="285"/>
    </row>
    <row r="13" spans="2:16">
      <c r="B13" s="168" t="s">
        <v>300</v>
      </c>
      <c r="C13" s="253">
        <f>C11+C12</f>
        <v>90377444.266666666</v>
      </c>
      <c r="D13" s="253"/>
      <c r="E13" s="253"/>
    </row>
    <row r="15" spans="2:16">
      <c r="B15" s="168" t="s">
        <v>301</v>
      </c>
      <c r="C15" s="10">
        <v>25</v>
      </c>
      <c r="D15" s="10">
        <v>25</v>
      </c>
      <c r="E15" s="10">
        <v>25</v>
      </c>
      <c r="F15" s="10">
        <v>25</v>
      </c>
      <c r="G15" s="10">
        <v>25</v>
      </c>
      <c r="H15" s="10">
        <v>25</v>
      </c>
      <c r="I15" s="10">
        <v>25</v>
      </c>
      <c r="J15" s="10">
        <v>25</v>
      </c>
      <c r="K15" s="10">
        <v>25</v>
      </c>
      <c r="L15" s="10">
        <v>25</v>
      </c>
      <c r="M15" s="10">
        <v>25</v>
      </c>
      <c r="N15" s="10">
        <v>25</v>
      </c>
      <c r="O15" s="10">
        <v>25</v>
      </c>
      <c r="P15" s="10">
        <v>25</v>
      </c>
    </row>
    <row r="17" spans="2:17">
      <c r="B17" s="168" t="s">
        <v>302</v>
      </c>
      <c r="C17" s="29">
        <f>C7*(C15+100)/100</f>
        <v>2172.5</v>
      </c>
      <c r="D17" s="29">
        <f>D7*(D15+100)/100</f>
        <v>1520</v>
      </c>
      <c r="E17" s="29">
        <f t="shared" ref="E17:P17" si="1">E7*(E15+100)/100</f>
        <v>1807.5</v>
      </c>
      <c r="F17" s="29">
        <f t="shared" si="1"/>
        <v>1921.25</v>
      </c>
      <c r="G17" s="29">
        <f t="shared" si="1"/>
        <v>2238.75</v>
      </c>
      <c r="H17" s="29">
        <f t="shared" si="1"/>
        <v>641.25</v>
      </c>
      <c r="I17" s="29">
        <f t="shared" si="1"/>
        <v>442.5</v>
      </c>
      <c r="J17" s="29">
        <f t="shared" si="1"/>
        <v>436.25</v>
      </c>
      <c r="K17" s="29">
        <f t="shared" si="1"/>
        <v>432.5</v>
      </c>
      <c r="L17" s="29">
        <f t="shared" si="1"/>
        <v>431.25</v>
      </c>
      <c r="M17" s="29">
        <f t="shared" si="1"/>
        <v>805</v>
      </c>
      <c r="N17" s="29">
        <f t="shared" si="1"/>
        <v>2290</v>
      </c>
      <c r="O17" s="29">
        <f t="shared" si="1"/>
        <v>747.5</v>
      </c>
      <c r="P17" s="29">
        <f t="shared" si="1"/>
        <v>1516.25</v>
      </c>
      <c r="Q17" s="173"/>
    </row>
    <row r="18" spans="2:17">
      <c r="B18" s="169" t="s">
        <v>303</v>
      </c>
      <c r="C18" s="170">
        <f>3540</f>
        <v>3540</v>
      </c>
      <c r="D18" s="170">
        <f>3540</f>
        <v>3540</v>
      </c>
      <c r="E18" s="170">
        <f>3540*3</f>
        <v>10620</v>
      </c>
      <c r="F18" s="170">
        <f>3540</f>
        <v>3540</v>
      </c>
      <c r="G18" s="170">
        <f>3540</f>
        <v>3540</v>
      </c>
      <c r="H18" s="170">
        <f>3540</f>
        <v>3540</v>
      </c>
      <c r="I18" s="170">
        <f>3540*3</f>
        <v>10620</v>
      </c>
      <c r="J18" s="170">
        <f>3540</f>
        <v>3540</v>
      </c>
      <c r="K18" s="170">
        <f>3540*2</f>
        <v>7080</v>
      </c>
      <c r="L18" s="170">
        <f>3540*2</f>
        <v>7080</v>
      </c>
      <c r="M18" s="170">
        <f>3540*2</f>
        <v>7080</v>
      </c>
      <c r="N18" s="170">
        <f>3540*2</f>
        <v>7080</v>
      </c>
      <c r="O18" s="170">
        <f>3540*3</f>
        <v>10620</v>
      </c>
      <c r="P18" s="170">
        <f>3540</f>
        <v>3540</v>
      </c>
      <c r="Q18" s="173"/>
    </row>
    <row r="19" spans="2:17">
      <c r="B19" s="169" t="s">
        <v>304</v>
      </c>
      <c r="C19" s="29">
        <f>C17*C18</f>
        <v>7690650</v>
      </c>
      <c r="D19" s="29">
        <f>D17*D18</f>
        <v>5380800</v>
      </c>
      <c r="E19" s="29">
        <f t="shared" ref="E19:P19" si="2">E17*E18</f>
        <v>19195650</v>
      </c>
      <c r="F19" s="29">
        <f t="shared" si="2"/>
        <v>6801225</v>
      </c>
      <c r="G19" s="29">
        <f t="shared" si="2"/>
        <v>7925175</v>
      </c>
      <c r="H19" s="29">
        <f t="shared" si="2"/>
        <v>2270025</v>
      </c>
      <c r="I19" s="29">
        <f t="shared" si="2"/>
        <v>4699350</v>
      </c>
      <c r="J19" s="29">
        <f t="shared" si="2"/>
        <v>1544325</v>
      </c>
      <c r="K19" s="29">
        <f t="shared" si="2"/>
        <v>3062100</v>
      </c>
      <c r="L19" s="29">
        <f t="shared" si="2"/>
        <v>3053250</v>
      </c>
      <c r="M19" s="29">
        <f t="shared" si="2"/>
        <v>5699400</v>
      </c>
      <c r="N19" s="29">
        <f t="shared" si="2"/>
        <v>16213200</v>
      </c>
      <c r="O19" s="29">
        <f t="shared" si="2"/>
        <v>7938450</v>
      </c>
      <c r="P19" s="29">
        <f t="shared" si="2"/>
        <v>5367525</v>
      </c>
      <c r="Q19" s="173"/>
    </row>
    <row r="21" spans="2:17">
      <c r="B21" s="169" t="s">
        <v>305</v>
      </c>
      <c r="C21" s="258">
        <f>SUM(C19:P19)</f>
        <v>96841125</v>
      </c>
      <c r="D21" s="235"/>
    </row>
    <row r="22" spans="2:17">
      <c r="B22" s="169" t="s">
        <v>306</v>
      </c>
      <c r="C22" s="234">
        <f>(C21)-C13</f>
        <v>6463680.7333333343</v>
      </c>
      <c r="D22" s="235"/>
    </row>
    <row r="23" spans="2:17" ht="15" customHeight="1"/>
    <row r="24" spans="2:17" ht="15.5" customHeight="1"/>
    <row r="26" spans="2:17" ht="19">
      <c r="E26" s="291" t="s">
        <v>316</v>
      </c>
      <c r="F26" s="291"/>
      <c r="G26" s="291"/>
      <c r="H26" s="291"/>
    </row>
    <row r="27" spans="2:17">
      <c r="E27" s="30" t="s">
        <v>317</v>
      </c>
      <c r="F27" s="30" t="s">
        <v>318</v>
      </c>
      <c r="G27" s="30" t="s">
        <v>319</v>
      </c>
      <c r="H27" s="30" t="s">
        <v>320</v>
      </c>
    </row>
    <row r="28" spans="2:17">
      <c r="E28" s="30">
        <v>1</v>
      </c>
      <c r="F28" s="191">
        <f>C21/5</f>
        <v>19368225</v>
      </c>
      <c r="G28" s="191">
        <f>C12+(C11/5)</f>
        <v>28399124.266666666</v>
      </c>
      <c r="H28" s="192">
        <f>F28-G28</f>
        <v>-9030899.2666666657</v>
      </c>
    </row>
    <row r="29" spans="2:17">
      <c r="E29" s="30">
        <v>2</v>
      </c>
      <c r="F29" s="191">
        <f>F28*2</f>
        <v>38736450</v>
      </c>
      <c r="G29" s="191">
        <f>G28+(C11/5)</f>
        <v>43893704.266666666</v>
      </c>
      <c r="H29" s="192">
        <f>F29-G29</f>
        <v>-5157254.2666666657</v>
      </c>
    </row>
    <row r="30" spans="2:17">
      <c r="E30" s="30">
        <v>3</v>
      </c>
      <c r="F30" s="191">
        <f>F28*3</f>
        <v>58104675</v>
      </c>
      <c r="G30" s="191">
        <f>G29+(C11/5)</f>
        <v>59388284.266666666</v>
      </c>
      <c r="H30" s="192">
        <f>F30-G30</f>
        <v>-1283609.2666666657</v>
      </c>
    </row>
    <row r="31" spans="2:17">
      <c r="E31" s="30">
        <v>4</v>
      </c>
      <c r="F31" s="191">
        <f>F28*4</f>
        <v>77472900</v>
      </c>
      <c r="G31" s="191">
        <f>G30+(C11/5)</f>
        <v>74882864.266666666</v>
      </c>
      <c r="H31" s="192">
        <f>F31-G31</f>
        <v>2590035.7333333343</v>
      </c>
    </row>
    <row r="32" spans="2:17">
      <c r="E32" s="30">
        <v>5</v>
      </c>
      <c r="F32" s="191">
        <f>F28*5</f>
        <v>96841125</v>
      </c>
      <c r="G32" s="191">
        <f>G31+(C11/5)</f>
        <v>90377444.266666666</v>
      </c>
      <c r="H32" s="192">
        <f>F32-G32</f>
        <v>6463680.7333333343</v>
      </c>
    </row>
  </sheetData>
  <mergeCells count="15">
    <mergeCell ref="E26:H26"/>
    <mergeCell ref="C21:D21"/>
    <mergeCell ref="C22:D22"/>
    <mergeCell ref="B2:P3"/>
    <mergeCell ref="C11:E11"/>
    <mergeCell ref="C12:E12"/>
    <mergeCell ref="C13:E13"/>
    <mergeCell ref="C5:F5"/>
    <mergeCell ref="G5:H5"/>
    <mergeCell ref="I5:L5"/>
    <mergeCell ref="M5:O5"/>
    <mergeCell ref="C4:F4"/>
    <mergeCell ref="G4:H4"/>
    <mergeCell ref="I4:L4"/>
    <mergeCell ref="M4:O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Q32"/>
  <sheetViews>
    <sheetView zoomScale="85" zoomScaleNormal="85" workbookViewId="0">
      <selection activeCell="G23" sqref="G23"/>
    </sheetView>
  </sheetViews>
  <sheetFormatPr baseColWidth="10" defaultColWidth="8.83203125" defaultRowHeight="15"/>
  <cols>
    <col min="1" max="1" width="2.83203125" customWidth="1"/>
    <col min="2" max="2" width="30.1640625" customWidth="1"/>
    <col min="3" max="3" width="14.83203125" customWidth="1"/>
    <col min="4" max="4" width="11.5" customWidth="1"/>
    <col min="5" max="5" width="13.5" customWidth="1"/>
    <col min="6" max="6" width="18.1640625" customWidth="1"/>
    <col min="7" max="7" width="20.5" customWidth="1"/>
    <col min="8" max="8" width="24.5" customWidth="1"/>
    <col min="9" max="9" width="11.83203125" customWidth="1"/>
    <col min="10" max="10" width="12.83203125" customWidth="1"/>
    <col min="11" max="11" width="15" customWidth="1"/>
    <col min="12" max="12" width="11.83203125" customWidth="1"/>
    <col min="13" max="13" width="13.83203125" customWidth="1"/>
    <col min="14" max="14" width="13.1640625" customWidth="1"/>
    <col min="15" max="15" width="13" bestFit="1" customWidth="1"/>
    <col min="16" max="16" width="16.1640625" customWidth="1"/>
  </cols>
  <sheetData>
    <row r="2" spans="2:16">
      <c r="B2" s="287" t="s">
        <v>307</v>
      </c>
      <c r="C2" s="287"/>
      <c r="D2" s="287"/>
      <c r="E2" s="287"/>
      <c r="F2" s="287"/>
      <c r="G2" s="287"/>
      <c r="H2" s="287"/>
      <c r="I2" s="287"/>
      <c r="J2" s="287"/>
      <c r="K2" s="287"/>
      <c r="L2" s="287"/>
      <c r="M2" s="287"/>
      <c r="N2" s="287"/>
      <c r="O2" s="287"/>
      <c r="P2" s="287"/>
    </row>
    <row r="3" spans="2:16">
      <c r="B3" s="287"/>
      <c r="C3" s="287"/>
      <c r="D3" s="287"/>
      <c r="E3" s="287"/>
      <c r="F3" s="287"/>
      <c r="G3" s="287"/>
      <c r="H3" s="287"/>
      <c r="I3" s="287"/>
      <c r="J3" s="287"/>
      <c r="K3" s="287"/>
      <c r="L3" s="287"/>
      <c r="M3" s="287"/>
      <c r="N3" s="287"/>
      <c r="O3" s="287"/>
      <c r="P3" s="287"/>
    </row>
    <row r="4" spans="2:16">
      <c r="B4" s="167"/>
      <c r="C4" s="272" t="s">
        <v>119</v>
      </c>
      <c r="D4" s="272"/>
      <c r="E4" s="272"/>
      <c r="F4" s="272"/>
      <c r="G4" s="272" t="s">
        <v>120</v>
      </c>
      <c r="H4" s="272"/>
      <c r="I4" s="272" t="s">
        <v>127</v>
      </c>
      <c r="J4" s="272"/>
      <c r="K4" s="272"/>
      <c r="L4" s="272"/>
      <c r="M4" s="272" t="s">
        <v>106</v>
      </c>
      <c r="N4" s="272"/>
      <c r="O4" s="272"/>
      <c r="P4" s="3" t="s">
        <v>107</v>
      </c>
    </row>
    <row r="5" spans="2:16">
      <c r="B5" s="27"/>
      <c r="C5" s="241"/>
      <c r="D5" s="241"/>
      <c r="E5" s="241"/>
      <c r="F5" s="241"/>
      <c r="G5" s="241"/>
      <c r="H5" s="241"/>
      <c r="I5" s="241"/>
      <c r="J5" s="241"/>
      <c r="K5" s="241"/>
      <c r="L5" s="241"/>
      <c r="M5" s="241"/>
      <c r="N5" s="241"/>
      <c r="O5" s="241"/>
      <c r="P5" s="27"/>
    </row>
    <row r="6" spans="2:16">
      <c r="B6" s="3"/>
      <c r="C6" s="166" t="s">
        <v>102</v>
      </c>
      <c r="D6" s="3" t="s">
        <v>110</v>
      </c>
      <c r="E6" s="3" t="s">
        <v>121</v>
      </c>
      <c r="F6" s="3" t="s">
        <v>103</v>
      </c>
      <c r="G6" s="3" t="s">
        <v>99</v>
      </c>
      <c r="H6" s="3" t="s">
        <v>122</v>
      </c>
      <c r="I6" s="3" t="s">
        <v>131</v>
      </c>
      <c r="J6" s="3" t="s">
        <v>105</v>
      </c>
      <c r="K6" s="3" t="s">
        <v>100</v>
      </c>
      <c r="L6" s="3" t="s">
        <v>108</v>
      </c>
      <c r="M6" s="3" t="s">
        <v>124</v>
      </c>
      <c r="N6" s="3" t="s">
        <v>125</v>
      </c>
      <c r="O6" s="3" t="s">
        <v>126</v>
      </c>
      <c r="P6" s="3" t="s">
        <v>109</v>
      </c>
    </row>
    <row r="7" spans="2:16">
      <c r="B7" s="3" t="s">
        <v>104</v>
      </c>
      <c r="C7" s="192">
        <f>'Cost Benefit  Analysis'!C7/'Industry Setup (2)'!$G$51</f>
        <v>24.828571428571429</v>
      </c>
      <c r="D7" s="192">
        <f>'Cost Benefit  Analysis'!D7/'Industry Setup (2)'!$G$51</f>
        <v>17.37142857142857</v>
      </c>
      <c r="E7" s="192">
        <f>'Cost Benefit  Analysis'!E7/'Industry Setup (2)'!$G$51</f>
        <v>20.657142857142858</v>
      </c>
      <c r="F7" s="192">
        <f>'Cost Benefit  Analysis'!F7/'Industry Setup (2)'!$G$51</f>
        <v>21.957142857142856</v>
      </c>
      <c r="G7" s="192">
        <f>'Cost Benefit  Analysis'!G7/'Industry Setup (2)'!$G$51</f>
        <v>25.585714285714285</v>
      </c>
      <c r="H7" s="192">
        <f>'Cost Benefit  Analysis'!H7/'Industry Setup (2)'!$G$51</f>
        <v>7.3285714285714283</v>
      </c>
      <c r="I7" s="192">
        <f>'Cost Benefit  Analysis'!I7/'Industry Setup (2)'!$G$51</f>
        <v>5.0571428571428569</v>
      </c>
      <c r="J7" s="192">
        <f>'Cost Benefit  Analysis'!J7/'Industry Setup (2)'!$G$51</f>
        <v>4.9857142857142858</v>
      </c>
      <c r="K7" s="192">
        <f>'Cost Benefit  Analysis'!K7/'Industry Setup (2)'!$G$51</f>
        <v>4.9428571428571431</v>
      </c>
      <c r="L7" s="192">
        <f>'Cost Benefit  Analysis'!L7/'Industry Setup (2)'!$G$51</f>
        <v>4.9285714285714288</v>
      </c>
      <c r="M7" s="192">
        <f>'Cost Benefit  Analysis'!M7/'Industry Setup (2)'!$G$51</f>
        <v>9.1999999999999993</v>
      </c>
      <c r="N7" s="192">
        <f>'Cost Benefit  Analysis'!N7/'Industry Setup (2)'!$G$51</f>
        <v>26.171428571428571</v>
      </c>
      <c r="O7" s="192">
        <f>'Cost Benefit  Analysis'!O7/'Industry Setup (2)'!$G$51</f>
        <v>8.5428571428571427</v>
      </c>
      <c r="P7" s="192">
        <f>'Cost Benefit  Analysis'!P7/'Industry Setup (2)'!$G$51</f>
        <v>17.328571428571429</v>
      </c>
    </row>
    <row r="8" spans="2:16">
      <c r="B8" s="3" t="s">
        <v>303</v>
      </c>
      <c r="C8" s="194">
        <f>3540</f>
        <v>3540</v>
      </c>
      <c r="D8" s="194">
        <f>3540</f>
        <v>3540</v>
      </c>
      <c r="E8" s="194">
        <f>3540*3</f>
        <v>10620</v>
      </c>
      <c r="F8" s="194">
        <f>3540</f>
        <v>3540</v>
      </c>
      <c r="G8" s="194">
        <f>3540</f>
        <v>3540</v>
      </c>
      <c r="H8" s="194">
        <f>3540</f>
        <v>3540</v>
      </c>
      <c r="I8" s="194">
        <f>3540*3</f>
        <v>10620</v>
      </c>
      <c r="J8" s="194">
        <f>3540</f>
        <v>3540</v>
      </c>
      <c r="K8" s="194">
        <f>3540*2</f>
        <v>7080</v>
      </c>
      <c r="L8" s="194">
        <f>3540*2</f>
        <v>7080</v>
      </c>
      <c r="M8" s="194">
        <f>3540*2</f>
        <v>7080</v>
      </c>
      <c r="N8" s="194">
        <f>3540*2</f>
        <v>7080</v>
      </c>
      <c r="O8" s="194">
        <f>3540*3</f>
        <v>10620</v>
      </c>
      <c r="P8" s="194">
        <f>3540</f>
        <v>3540</v>
      </c>
    </row>
    <row r="9" spans="2:16">
      <c r="B9" s="3" t="s">
        <v>297</v>
      </c>
      <c r="C9" s="195">
        <f>C7*C8</f>
        <v>87893.142857142855</v>
      </c>
      <c r="D9" s="192">
        <f>D7*D8</f>
        <v>61494.857142857138</v>
      </c>
      <c r="E9" s="192">
        <f t="shared" ref="E9:P9" si="0">E7*E8</f>
        <v>219378.85714285716</v>
      </c>
      <c r="F9" s="192">
        <f t="shared" si="0"/>
        <v>77728.28571428571</v>
      </c>
      <c r="G9" s="192">
        <f t="shared" si="0"/>
        <v>90573.428571428565</v>
      </c>
      <c r="H9" s="192">
        <f t="shared" si="0"/>
        <v>25943.142857142855</v>
      </c>
      <c r="I9" s="192">
        <f t="shared" si="0"/>
        <v>53706.857142857138</v>
      </c>
      <c r="J9" s="192">
        <f t="shared" si="0"/>
        <v>17649.428571428572</v>
      </c>
      <c r="K9" s="192">
        <f t="shared" si="0"/>
        <v>34995.428571428572</v>
      </c>
      <c r="L9" s="192">
        <f t="shared" si="0"/>
        <v>34894.285714285717</v>
      </c>
      <c r="M9" s="192">
        <f t="shared" si="0"/>
        <v>65135.999999999993</v>
      </c>
      <c r="N9" s="192">
        <f t="shared" si="0"/>
        <v>185293.71428571429</v>
      </c>
      <c r="O9" s="192">
        <f t="shared" si="0"/>
        <v>90725.142857142855</v>
      </c>
      <c r="P9" s="192">
        <f t="shared" si="0"/>
        <v>61343.142857142862</v>
      </c>
    </row>
    <row r="11" spans="2:16">
      <c r="B11" s="168" t="s">
        <v>298</v>
      </c>
      <c r="C11" s="290">
        <f>SUM(C9:P9)</f>
        <v>1106755.7142857141</v>
      </c>
      <c r="D11" s="290"/>
      <c r="E11" s="290"/>
    </row>
    <row r="12" spans="2:16">
      <c r="B12" s="168" t="s">
        <v>299</v>
      </c>
      <c r="C12" s="288">
        <f>'Cost Benefit  Analysis'!C12/'Industry Setup (2)'!$G$51</f>
        <v>184350.63238095236</v>
      </c>
      <c r="D12" s="293"/>
      <c r="E12" s="289"/>
    </row>
    <row r="13" spans="2:16">
      <c r="B13" s="168" t="s">
        <v>300</v>
      </c>
      <c r="C13" s="290">
        <f>C11+C12</f>
        <v>1291106.3466666664</v>
      </c>
      <c r="D13" s="290"/>
      <c r="E13" s="290"/>
    </row>
    <row r="15" spans="2:16">
      <c r="B15" s="168" t="s">
        <v>301</v>
      </c>
      <c r="C15" s="193">
        <v>0.25</v>
      </c>
      <c r="D15" s="193">
        <v>0.25</v>
      </c>
      <c r="E15" s="193">
        <v>0.25</v>
      </c>
      <c r="F15" s="193">
        <v>0.25</v>
      </c>
      <c r="G15" s="193">
        <v>0.25</v>
      </c>
      <c r="H15" s="193">
        <v>0.25</v>
      </c>
      <c r="I15" s="193">
        <v>0.25</v>
      </c>
      <c r="J15" s="193">
        <v>0.25</v>
      </c>
      <c r="K15" s="193">
        <v>0.25</v>
      </c>
      <c r="L15" s="193">
        <v>0.25</v>
      </c>
      <c r="M15" s="193">
        <v>0.25</v>
      </c>
      <c r="N15" s="193">
        <v>0.25</v>
      </c>
      <c r="O15" s="193">
        <v>0.25</v>
      </c>
      <c r="P15" s="193">
        <v>0.25</v>
      </c>
    </row>
    <row r="17" spans="2:17">
      <c r="B17" s="168" t="s">
        <v>302</v>
      </c>
      <c r="C17" s="192">
        <f>'Cost Benefit  Analysis'!C17/'Industry Setup (2)'!$G$51</f>
        <v>31.035714285714285</v>
      </c>
      <c r="D17" s="192">
        <f>'Cost Benefit  Analysis'!D17/'Industry Setup (2)'!$G$51</f>
        <v>21.714285714285715</v>
      </c>
      <c r="E17" s="192">
        <f>'Cost Benefit  Analysis'!E17/'Industry Setup (2)'!$G$51</f>
        <v>25.821428571428573</v>
      </c>
      <c r="F17" s="192">
        <f>'Cost Benefit  Analysis'!F17/'Industry Setup (2)'!$G$51</f>
        <v>27.446428571428573</v>
      </c>
      <c r="G17" s="192">
        <f>'Cost Benefit  Analysis'!G17/'Industry Setup (2)'!$G$51</f>
        <v>31.982142857142858</v>
      </c>
      <c r="H17" s="192">
        <f>'Cost Benefit  Analysis'!H17/'Industry Setup (2)'!$G$51</f>
        <v>9.1607142857142865</v>
      </c>
      <c r="I17" s="192">
        <f>'Cost Benefit  Analysis'!I17/'Industry Setup (2)'!$G$51</f>
        <v>6.3214285714285712</v>
      </c>
      <c r="J17" s="192">
        <f>'Cost Benefit  Analysis'!J17/'Industry Setup (2)'!$G$51</f>
        <v>6.2321428571428568</v>
      </c>
      <c r="K17" s="192">
        <f>'Cost Benefit  Analysis'!K17/'Industry Setup (2)'!$G$51</f>
        <v>6.1785714285714288</v>
      </c>
      <c r="L17" s="192">
        <f>'Cost Benefit  Analysis'!L17/'Industry Setup (2)'!$G$51</f>
        <v>6.1607142857142856</v>
      </c>
      <c r="M17" s="192">
        <f>'Cost Benefit  Analysis'!M17/'Industry Setup (2)'!$G$51</f>
        <v>11.5</v>
      </c>
      <c r="N17" s="192">
        <f>'Cost Benefit  Analysis'!N17/'Industry Setup (2)'!$G$51</f>
        <v>32.714285714285715</v>
      </c>
      <c r="O17" s="192">
        <f>'Cost Benefit  Analysis'!O17/'Industry Setup (2)'!$G$51</f>
        <v>10.678571428571429</v>
      </c>
      <c r="P17" s="192">
        <f>'Cost Benefit  Analysis'!P17/'Industry Setup (2)'!$G$51</f>
        <v>21.660714285714285</v>
      </c>
      <c r="Q17" s="173"/>
    </row>
    <row r="18" spans="2:17">
      <c r="B18" s="169" t="s">
        <v>303</v>
      </c>
      <c r="C18" s="29">
        <f>3540</f>
        <v>3540</v>
      </c>
      <c r="D18" s="29">
        <f>3540</f>
        <v>3540</v>
      </c>
      <c r="E18" s="29">
        <f>3540*3</f>
        <v>10620</v>
      </c>
      <c r="F18" s="29">
        <f>3540</f>
        <v>3540</v>
      </c>
      <c r="G18" s="29">
        <f>3540</f>
        <v>3540</v>
      </c>
      <c r="H18" s="29">
        <f>3540</f>
        <v>3540</v>
      </c>
      <c r="I18" s="29">
        <f>3540*3</f>
        <v>10620</v>
      </c>
      <c r="J18" s="29">
        <f>3540</f>
        <v>3540</v>
      </c>
      <c r="K18" s="29">
        <f>3540*2</f>
        <v>7080</v>
      </c>
      <c r="L18" s="29">
        <f>3540*2</f>
        <v>7080</v>
      </c>
      <c r="M18" s="29">
        <f>3540*2</f>
        <v>7080</v>
      </c>
      <c r="N18" s="29">
        <f>3540*2</f>
        <v>7080</v>
      </c>
      <c r="O18" s="29">
        <f>3540*3</f>
        <v>10620</v>
      </c>
      <c r="P18" s="29">
        <f>3540</f>
        <v>3540</v>
      </c>
      <c r="Q18" s="173"/>
    </row>
    <row r="19" spans="2:17">
      <c r="B19" s="169" t="s">
        <v>304</v>
      </c>
      <c r="C19" s="192">
        <f>C17*C18</f>
        <v>109866.42857142857</v>
      </c>
      <c r="D19" s="192">
        <f>D17*D18</f>
        <v>76868.571428571435</v>
      </c>
      <c r="E19" s="192">
        <f t="shared" ref="E19:P19" si="1">E17*E18</f>
        <v>274223.57142857142</v>
      </c>
      <c r="F19" s="192">
        <f t="shared" si="1"/>
        <v>97160.357142857145</v>
      </c>
      <c r="G19" s="192">
        <f t="shared" si="1"/>
        <v>113216.78571428571</v>
      </c>
      <c r="H19" s="192">
        <f t="shared" si="1"/>
        <v>32428.928571428572</v>
      </c>
      <c r="I19" s="192">
        <f t="shared" si="1"/>
        <v>67133.57142857142</v>
      </c>
      <c r="J19" s="192">
        <f t="shared" si="1"/>
        <v>22061.785714285714</v>
      </c>
      <c r="K19" s="192">
        <f t="shared" si="1"/>
        <v>43744.285714285717</v>
      </c>
      <c r="L19" s="192">
        <f t="shared" si="1"/>
        <v>43617.857142857145</v>
      </c>
      <c r="M19" s="192">
        <f t="shared" si="1"/>
        <v>81420</v>
      </c>
      <c r="N19" s="192">
        <f t="shared" si="1"/>
        <v>231617.14285714287</v>
      </c>
      <c r="O19" s="192">
        <f t="shared" si="1"/>
        <v>113406.42857142858</v>
      </c>
      <c r="P19" s="192">
        <f t="shared" si="1"/>
        <v>76678.928571428565</v>
      </c>
      <c r="Q19" s="173"/>
    </row>
    <row r="21" spans="2:17">
      <c r="B21" s="169" t="s">
        <v>305</v>
      </c>
      <c r="C21" s="288">
        <f>SUM(C19:P19)</f>
        <v>1383444.6428571427</v>
      </c>
      <c r="D21" s="289"/>
    </row>
    <row r="22" spans="2:17">
      <c r="B22" s="169" t="s">
        <v>306</v>
      </c>
      <c r="C22" s="288">
        <f>(C21)-C13</f>
        <v>92338.296190476278</v>
      </c>
      <c r="D22" s="289"/>
    </row>
    <row r="23" spans="2:17" ht="15" customHeight="1"/>
    <row r="24" spans="2:17" ht="15.5" customHeight="1"/>
    <row r="26" spans="2:17" ht="19">
      <c r="E26" s="291" t="s">
        <v>316</v>
      </c>
      <c r="F26" s="291"/>
      <c r="G26" s="291"/>
      <c r="H26" s="291"/>
    </row>
    <row r="27" spans="2:17">
      <c r="E27" s="30" t="s">
        <v>317</v>
      </c>
      <c r="F27" s="30" t="s">
        <v>318</v>
      </c>
      <c r="G27" s="30" t="s">
        <v>319</v>
      </c>
      <c r="H27" s="30" t="s">
        <v>320</v>
      </c>
    </row>
    <row r="28" spans="2:17">
      <c r="E28" s="30">
        <v>1</v>
      </c>
      <c r="F28" s="192">
        <f>'Cost Benefit  Analysis'!F28/'Industry Setup (2)'!$G$51</f>
        <v>276688.92857142858</v>
      </c>
      <c r="G28" s="191">
        <f>'Cost Benefit  Analysis'!G28/'Industry Setup (2)'!$G$51</f>
        <v>405701.7752380952</v>
      </c>
      <c r="H28" s="192">
        <f>'Cost Benefit  Analysis'!H28/'Industry Setup (2)'!$G$51</f>
        <v>-129012.84666666665</v>
      </c>
    </row>
    <row r="29" spans="2:17">
      <c r="E29" s="30">
        <v>2</v>
      </c>
      <c r="F29" s="191">
        <f>'Cost Benefit  Analysis'!F29/'Industry Setup (2)'!$G$51</f>
        <v>553377.85714285716</v>
      </c>
      <c r="G29" s="191">
        <f>'Cost Benefit  Analysis'!G29/'Industry Setup (2)'!$G$51</f>
        <v>627052.91809523804</v>
      </c>
      <c r="H29" s="192">
        <f>'Cost Benefit  Analysis'!H29/'Industry Setup (2)'!$G$51</f>
        <v>-73675.06095238094</v>
      </c>
    </row>
    <row r="30" spans="2:17">
      <c r="E30" s="30">
        <v>3</v>
      </c>
      <c r="F30" s="191">
        <f>F28*3</f>
        <v>830066.78571428568</v>
      </c>
      <c r="G30" s="191">
        <f>'Cost Benefit  Analysis'!G30/'Industry Setup (2)'!$G$51</f>
        <v>848404.06095238088</v>
      </c>
      <c r="H30" s="192">
        <f>'Cost Benefit  Analysis'!H30/'Industry Setup (2)'!$G$51</f>
        <v>-18337.275238095222</v>
      </c>
    </row>
    <row r="31" spans="2:17">
      <c r="E31" s="30">
        <v>4</v>
      </c>
      <c r="F31" s="191">
        <f>F28*4</f>
        <v>1106755.7142857143</v>
      </c>
      <c r="G31" s="191">
        <f>'Cost Benefit  Analysis'!G31/'Industry Setup (2)'!$G$51</f>
        <v>1069755.2038095237</v>
      </c>
      <c r="H31" s="192">
        <f>'Cost Benefit  Analysis'!H31/'Industry Setup (2)'!$G$51</f>
        <v>37000.510476190488</v>
      </c>
    </row>
    <row r="32" spans="2:17">
      <c r="E32" s="30">
        <v>5</v>
      </c>
      <c r="F32" s="191">
        <f>F28*5</f>
        <v>1383444.642857143</v>
      </c>
      <c r="G32" s="191">
        <f>'Cost Benefit  Analysis'!G32/'Industry Setup (2)'!$G$51</f>
        <v>1291106.3466666667</v>
      </c>
      <c r="H32" s="192">
        <f>'Cost Benefit  Analysis'!H32/'Industry Setup (2)'!$G$51</f>
        <v>92338.296190476205</v>
      </c>
    </row>
  </sheetData>
  <mergeCells count="15">
    <mergeCell ref="E26:H26"/>
    <mergeCell ref="B2:P3"/>
    <mergeCell ref="C4:F4"/>
    <mergeCell ref="G4:H4"/>
    <mergeCell ref="I4:L4"/>
    <mergeCell ref="M4:O4"/>
    <mergeCell ref="C5:F5"/>
    <mergeCell ref="G5:H5"/>
    <mergeCell ref="I5:L5"/>
    <mergeCell ref="M5:O5"/>
    <mergeCell ref="C11:E11"/>
    <mergeCell ref="C12:E12"/>
    <mergeCell ref="C13:E13"/>
    <mergeCell ref="C21:D21"/>
    <mergeCell ref="C22:D2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MRP</vt:lpstr>
      <vt:lpstr>Industry Setup</vt:lpstr>
      <vt:lpstr>Industry Setup (2)</vt:lpstr>
      <vt:lpstr>MHR</vt:lpstr>
      <vt:lpstr>MHR (2)</vt:lpstr>
      <vt:lpstr>Part Cost</vt:lpstr>
      <vt:lpstr>Part Cost (2)</vt:lpstr>
      <vt:lpstr>Cost Benefit  Analysis</vt:lpstr>
      <vt:lpstr>Cost Benefit  Analysis (2)</vt:lpstr>
      <vt:lpstr>Value Stream Map</vt:lpstr>
      <vt:lpstr>'Value Stream Map'!Print_Area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RAUT</dc:creator>
  <cp:lastModifiedBy>Tejas Raut</cp:lastModifiedBy>
  <cp:lastPrinted>2018-11-29T18:31:26Z</cp:lastPrinted>
  <dcterms:created xsi:type="dcterms:W3CDTF">2018-11-04T17:58:10Z</dcterms:created>
  <dcterms:modified xsi:type="dcterms:W3CDTF">2023-10-06T22:11:46Z</dcterms:modified>
</cp:coreProperties>
</file>