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9A0A1AD2-EC94-4C13-A93F-0C452196C440}" xr6:coauthVersionLast="34" xr6:coauthVersionMax="34" xr10:uidLastSave="{00000000-0000-0000-0000-000000000000}"/>
  <bookViews>
    <workbookView xWindow="0" yWindow="0" windowWidth="15336" windowHeight="6060" tabRatio="891" firstSheet="25" activeTab="1" xr2:uid="{00000000-000D-0000-FFFF-FFFF00000000}"/>
  </bookViews>
  <sheets>
    <sheet name="Rack Housing" sheetId="28" r:id="rId1"/>
    <sheet name="Rack Housing Draft" sheetId="128" r:id="rId2"/>
    <sheet name="Rack bar" sheetId="30" r:id="rId3"/>
    <sheet name="Pinion Gear" sheetId="31" r:id="rId4"/>
    <sheet name="Pinion Adapter" sheetId="32" r:id="rId5"/>
    <sheet name="Coupler" sheetId="34" r:id="rId6"/>
    <sheet name="Coupler Draft" sheetId="133" r:id="rId7"/>
    <sheet name="Upper Rack Clamps" sheetId="36" r:id="rId8"/>
    <sheet name="Upper Rack Clamps Draft" sheetId="129" r:id="rId9"/>
    <sheet name="Lower Rack Clamps" sheetId="37" r:id="rId10"/>
    <sheet name="Lower Rack Clamp Draft" sheetId="130" r:id="rId11"/>
    <sheet name="Clevis" sheetId="38" r:id="rId12"/>
    <sheet name="Clevis Draft" sheetId="132" r:id="rId13"/>
    <sheet name="Tie Rod" sheetId="106" r:id="rId14"/>
    <sheet name="Tie Rod insert" sheetId="107" r:id="rId15"/>
    <sheet name="Rack Stopper" sheetId="39" r:id="rId16"/>
    <sheet name="Rack Bolt" sheetId="42" r:id="rId17"/>
    <sheet name="Pinion Shaft" sheetId="46" r:id="rId18"/>
    <sheet name="Bevel Casing" sheetId="44" r:id="rId19"/>
    <sheet name="Bevel" sheetId="45" r:id="rId20"/>
    <sheet name="Bevel Casing Mount" sheetId="123" r:id="rId21"/>
    <sheet name="Bevel Casing mount tab " sheetId="139" r:id="rId22"/>
    <sheet name="Quick Release Shaft" sheetId="124" r:id="rId23"/>
    <sheet name="O clamp " sheetId="125" r:id="rId24"/>
    <sheet name="O clamp mount" sheetId="126" r:id="rId25"/>
    <sheet name="Quick Release" sheetId="67" r:id="rId26"/>
    <sheet name="Steering Wheel upper part " sheetId="127" r:id="rId27"/>
    <sheet name="Steering wheel lower part" sheetId="135" r:id="rId28"/>
    <sheet name="Pedal Shifter mount" sheetId="134" r:id="rId29"/>
    <sheet name="Pedal Shifter" sheetId="136" r:id="rId30"/>
    <sheet name="Custom Bolt " sheetId="137" r:id="rId31"/>
    <sheet name="Custom Nut" sheetId="138" r:id="rId32"/>
    <sheet name="Spring " sheetId="140" r:id="rId33"/>
    <sheet name="Steering Wheel Sleeve" sheetId="142" r:id="rId34"/>
  </sheets>
  <definedNames>
    <definedName name="a" localSheetId="19">#REF!</definedName>
    <definedName name="a" localSheetId="18">#REF!</definedName>
    <definedName name="a" localSheetId="11">#REF!</definedName>
    <definedName name="a" localSheetId="5">#REF!</definedName>
    <definedName name="a" localSheetId="9">#REF!</definedName>
    <definedName name="a" localSheetId="4">#REF!</definedName>
    <definedName name="a" localSheetId="3">#REF!</definedName>
    <definedName name="a" localSheetId="17">#REF!</definedName>
    <definedName name="a" localSheetId="25">#REF!</definedName>
    <definedName name="a" localSheetId="2">#REF!</definedName>
    <definedName name="a" localSheetId="16">#REF!</definedName>
    <definedName name="a" localSheetId="0">#REF!</definedName>
    <definedName name="a" localSheetId="15">#REF!</definedName>
    <definedName name="a" localSheetId="13">#REF!</definedName>
    <definedName name="a" localSheetId="14">#REF!</definedName>
    <definedName name="a" localSheetId="7">#REF!</definedName>
    <definedName name="a">#REF!</definedName>
    <definedName name="aarminserts" localSheetId="19">#REF!</definedName>
    <definedName name="aarminserts" localSheetId="18">#REF!</definedName>
    <definedName name="aarminserts" localSheetId="11">#REF!</definedName>
    <definedName name="aarminserts" localSheetId="5">#REF!</definedName>
    <definedName name="aarminserts" localSheetId="9">#REF!</definedName>
    <definedName name="aarminserts" localSheetId="4">#REF!</definedName>
    <definedName name="aarminserts" localSheetId="3">#REF!</definedName>
    <definedName name="aarminserts" localSheetId="17">#REF!</definedName>
    <definedName name="aarminserts" localSheetId="25">#REF!</definedName>
    <definedName name="aarminserts" localSheetId="2">#REF!</definedName>
    <definedName name="aarminserts" localSheetId="16">#REF!</definedName>
    <definedName name="aarminserts" localSheetId="0">#REF!</definedName>
    <definedName name="aarminserts" localSheetId="15">#REF!</definedName>
    <definedName name="aarminserts" localSheetId="13">#REF!</definedName>
    <definedName name="aarminserts" localSheetId="14">#REF!</definedName>
    <definedName name="aarminserts" localSheetId="7">#REF!</definedName>
    <definedName name="aarminserts">#REF!</definedName>
    <definedName name="ABC" localSheetId="19">#REF!</definedName>
    <definedName name="ABC" localSheetId="18">#REF!</definedName>
    <definedName name="ABC" localSheetId="11">#REF!</definedName>
    <definedName name="ABC" localSheetId="5">#REF!</definedName>
    <definedName name="ABC" localSheetId="9">#REF!</definedName>
    <definedName name="ABC" localSheetId="4">#REF!</definedName>
    <definedName name="ABC" localSheetId="3">#REF!</definedName>
    <definedName name="ABC" localSheetId="17">#REF!</definedName>
    <definedName name="ABC" localSheetId="25">#REF!</definedName>
    <definedName name="ABC" localSheetId="2">#REF!</definedName>
    <definedName name="ABC" localSheetId="16">#REF!</definedName>
    <definedName name="ABC" localSheetId="0">#REF!</definedName>
    <definedName name="ABC" localSheetId="15">#REF!</definedName>
    <definedName name="ABC" localSheetId="13">#REF!</definedName>
    <definedName name="ABC" localSheetId="14">#REF!</definedName>
    <definedName name="ABC" localSheetId="7">#REF!</definedName>
    <definedName name="ABC">#REF!</definedName>
    <definedName name="ABCD" localSheetId="19">#REF!</definedName>
    <definedName name="ABCD" localSheetId="18">#REF!</definedName>
    <definedName name="ABCD" localSheetId="11">#REF!</definedName>
    <definedName name="ABCD" localSheetId="5">#REF!</definedName>
    <definedName name="ABCD" localSheetId="9">#REF!</definedName>
    <definedName name="ABCD" localSheetId="4">#REF!</definedName>
    <definedName name="ABCD" localSheetId="3">#REF!</definedName>
    <definedName name="ABCD" localSheetId="17">#REF!</definedName>
    <definedName name="ABCD" localSheetId="25">#REF!</definedName>
    <definedName name="ABCD" localSheetId="2">#REF!</definedName>
    <definedName name="ABCD" localSheetId="16">#REF!</definedName>
    <definedName name="ABCD" localSheetId="0">#REF!</definedName>
    <definedName name="ABCD" localSheetId="15">#REF!</definedName>
    <definedName name="ABCD" localSheetId="13">#REF!</definedName>
    <definedName name="ABCD" localSheetId="14">#REF!</definedName>
    <definedName name="ABCD" localSheetId="7">#REF!</definedName>
    <definedName name="ABCD">#REF!</definedName>
    <definedName name="BT" localSheetId="19">#REF!</definedName>
    <definedName name="BT" localSheetId="18">#REF!</definedName>
    <definedName name="BT" localSheetId="11">#REF!</definedName>
    <definedName name="BT" localSheetId="5">#REF!</definedName>
    <definedName name="BT" localSheetId="9">#REF!</definedName>
    <definedName name="BT" localSheetId="4">#REF!</definedName>
    <definedName name="BT" localSheetId="3">#REF!</definedName>
    <definedName name="BT" localSheetId="17">#REF!</definedName>
    <definedName name="BT" localSheetId="25">#REF!</definedName>
    <definedName name="BT" localSheetId="2">#REF!</definedName>
    <definedName name="BT" localSheetId="16">#REF!</definedName>
    <definedName name="BT" localSheetId="0">#REF!</definedName>
    <definedName name="BT" localSheetId="15">#REF!</definedName>
    <definedName name="BT" localSheetId="13">#REF!</definedName>
    <definedName name="BT" localSheetId="14">#REF!</definedName>
    <definedName name="BT" localSheetId="7">#REF!</definedName>
    <definedName name="BT">#REF!</definedName>
    <definedName name="Car" localSheetId="19">#REF!</definedName>
    <definedName name="Car" localSheetId="18">#REF!</definedName>
    <definedName name="Car" localSheetId="11">#REF!</definedName>
    <definedName name="Car" localSheetId="5">#REF!</definedName>
    <definedName name="Car" localSheetId="9">#REF!</definedName>
    <definedName name="Car" localSheetId="4">#REF!</definedName>
    <definedName name="Car" localSheetId="3">#REF!</definedName>
    <definedName name="Car" localSheetId="17">#REF!</definedName>
    <definedName name="Car" localSheetId="25">#REF!</definedName>
    <definedName name="Car" localSheetId="2">#REF!</definedName>
    <definedName name="Car" localSheetId="16">#REF!</definedName>
    <definedName name="Car" localSheetId="0">#REF!</definedName>
    <definedName name="Car" localSheetId="15">#REF!</definedName>
    <definedName name="Car" localSheetId="13">#REF!</definedName>
    <definedName name="Car" localSheetId="14">#REF!</definedName>
    <definedName name="Car" localSheetId="7">#REF!</definedName>
    <definedName name="Car">#REF!</definedName>
    <definedName name="cds" localSheetId="19">#REF!</definedName>
    <definedName name="cds" localSheetId="18">#REF!</definedName>
    <definedName name="cds" localSheetId="11">#REF!</definedName>
    <definedName name="cds" localSheetId="5">#REF!</definedName>
    <definedName name="cds" localSheetId="9">#REF!</definedName>
    <definedName name="cds" localSheetId="4">#REF!</definedName>
    <definedName name="cds" localSheetId="3">#REF!</definedName>
    <definedName name="cds" localSheetId="17">#REF!</definedName>
    <definedName name="cds" localSheetId="25">#REF!</definedName>
    <definedName name="cds" localSheetId="2">#REF!</definedName>
    <definedName name="cds" localSheetId="16">#REF!</definedName>
    <definedName name="cds" localSheetId="0">#REF!</definedName>
    <definedName name="cds" localSheetId="15">#REF!</definedName>
    <definedName name="cds" localSheetId="13">#REF!</definedName>
    <definedName name="cds" localSheetId="14">#REF!</definedName>
    <definedName name="cds" localSheetId="7">#REF!</definedName>
    <definedName name="cds">#REF!</definedName>
    <definedName name="CompCode" localSheetId="19">#REF!</definedName>
    <definedName name="CompCode" localSheetId="18">#REF!</definedName>
    <definedName name="CompCode" localSheetId="11">#REF!</definedName>
    <definedName name="CompCode" localSheetId="5">#REF!</definedName>
    <definedName name="CompCode" localSheetId="9">#REF!</definedName>
    <definedName name="CompCode" localSheetId="4">#REF!</definedName>
    <definedName name="CompCode" localSheetId="3">#REF!</definedName>
    <definedName name="CompCode" localSheetId="17">#REF!</definedName>
    <definedName name="CompCode" localSheetId="25">#REF!</definedName>
    <definedName name="CompCode" localSheetId="2">#REF!</definedName>
    <definedName name="CompCode" localSheetId="16">#REF!</definedName>
    <definedName name="CompCode" localSheetId="0">#REF!</definedName>
    <definedName name="CompCode" localSheetId="15">#REF!</definedName>
    <definedName name="CompCode" localSheetId="13">#REF!</definedName>
    <definedName name="CompCode" localSheetId="14">#REF!</definedName>
    <definedName name="CompCode" localSheetId="7">#REF!</definedName>
    <definedName name="CompCode">#REF!</definedName>
    <definedName name="CX" localSheetId="19">#REF!</definedName>
    <definedName name="CX" localSheetId="18">#REF!</definedName>
    <definedName name="CX" localSheetId="11">#REF!</definedName>
    <definedName name="CX" localSheetId="5">#REF!</definedName>
    <definedName name="CX" localSheetId="9">#REF!</definedName>
    <definedName name="CX" localSheetId="4">#REF!</definedName>
    <definedName name="CX" localSheetId="3">#REF!</definedName>
    <definedName name="CX" localSheetId="17">#REF!</definedName>
    <definedName name="CX" localSheetId="25">#REF!</definedName>
    <definedName name="CX" localSheetId="2">#REF!</definedName>
    <definedName name="CX" localSheetId="16">#REF!</definedName>
    <definedName name="CX" localSheetId="0">#REF!</definedName>
    <definedName name="CX" localSheetId="15">#REF!</definedName>
    <definedName name="CX" localSheetId="13">#REF!</definedName>
    <definedName name="CX" localSheetId="14">#REF!</definedName>
    <definedName name="CX" localSheetId="7">#REF!</definedName>
    <definedName name="CX">#REF!</definedName>
    <definedName name="dss" localSheetId="19">#REF!</definedName>
    <definedName name="dss" localSheetId="18">#REF!</definedName>
    <definedName name="dss" localSheetId="11">#REF!</definedName>
    <definedName name="dss" localSheetId="5">#REF!</definedName>
    <definedName name="dss" localSheetId="9">#REF!</definedName>
    <definedName name="dss" localSheetId="4">#REF!</definedName>
    <definedName name="dss" localSheetId="3">#REF!</definedName>
    <definedName name="dss" localSheetId="17">#REF!</definedName>
    <definedName name="dss" localSheetId="25">#REF!</definedName>
    <definedName name="dss" localSheetId="2">#REF!</definedName>
    <definedName name="dss" localSheetId="16">#REF!</definedName>
    <definedName name="dss" localSheetId="0">#REF!</definedName>
    <definedName name="dss" localSheetId="15">#REF!</definedName>
    <definedName name="dss" localSheetId="13">#REF!</definedName>
    <definedName name="dss" localSheetId="14">#REF!</definedName>
    <definedName name="dss" localSheetId="7">#REF!</definedName>
    <definedName name="dss">#REF!</definedName>
    <definedName name="dwa" localSheetId="19">#REF!</definedName>
    <definedName name="dwa" localSheetId="18">#REF!</definedName>
    <definedName name="dwa" localSheetId="11">#REF!</definedName>
    <definedName name="dwa" localSheetId="5">#REF!</definedName>
    <definedName name="dwa" localSheetId="9">#REF!</definedName>
    <definedName name="dwa" localSheetId="4">#REF!</definedName>
    <definedName name="dwa" localSheetId="3">#REF!</definedName>
    <definedName name="dwa" localSheetId="17">#REF!</definedName>
    <definedName name="dwa" localSheetId="25">#REF!</definedName>
    <definedName name="dwa" localSheetId="2">#REF!</definedName>
    <definedName name="dwa" localSheetId="16">#REF!</definedName>
    <definedName name="dwa" localSheetId="0">#REF!</definedName>
    <definedName name="dwa" localSheetId="15">#REF!</definedName>
    <definedName name="dwa" localSheetId="13">#REF!</definedName>
    <definedName name="dwa" localSheetId="14">#REF!</definedName>
    <definedName name="dwa" localSheetId="7">#REF!</definedName>
    <definedName name="dwa">#REF!</definedName>
    <definedName name="FP" localSheetId="19">#REF!</definedName>
    <definedName name="FP" localSheetId="18">#REF!</definedName>
    <definedName name="FP" localSheetId="11">#REF!</definedName>
    <definedName name="FP" localSheetId="5">#REF!</definedName>
    <definedName name="FP" localSheetId="9">#REF!</definedName>
    <definedName name="FP" localSheetId="4">#REF!</definedName>
    <definedName name="FP" localSheetId="3">#REF!</definedName>
    <definedName name="FP" localSheetId="17">#REF!</definedName>
    <definedName name="FP" localSheetId="25">#REF!</definedName>
    <definedName name="FP" localSheetId="2">#REF!</definedName>
    <definedName name="FP" localSheetId="16">#REF!</definedName>
    <definedName name="FP" localSheetId="0">#REF!</definedName>
    <definedName name="FP" localSheetId="15">#REF!</definedName>
    <definedName name="FP" localSheetId="13">#REF!</definedName>
    <definedName name="FP" localSheetId="14">#REF!</definedName>
    <definedName name="FP" localSheetId="7">#REF!</definedName>
    <definedName name="FP">#REF!</definedName>
    <definedName name="ne" localSheetId="19">#REF!</definedName>
    <definedName name="ne" localSheetId="18">#REF!</definedName>
    <definedName name="ne" localSheetId="11">#REF!</definedName>
    <definedName name="ne" localSheetId="5">#REF!</definedName>
    <definedName name="ne" localSheetId="9">#REF!</definedName>
    <definedName name="ne" localSheetId="4">#REF!</definedName>
    <definedName name="ne" localSheetId="3">#REF!</definedName>
    <definedName name="ne" localSheetId="17">#REF!</definedName>
    <definedName name="ne" localSheetId="25">#REF!</definedName>
    <definedName name="ne" localSheetId="2">#REF!</definedName>
    <definedName name="ne" localSheetId="16">#REF!</definedName>
    <definedName name="ne" localSheetId="0">#REF!</definedName>
    <definedName name="ne" localSheetId="15">#REF!</definedName>
    <definedName name="ne" localSheetId="13">#REF!</definedName>
    <definedName name="ne" localSheetId="14">#REF!</definedName>
    <definedName name="ne" localSheetId="7">#REF!</definedName>
    <definedName name="ne">#REF!</definedName>
    <definedName name="plmokn" localSheetId="19">#REF!</definedName>
    <definedName name="plmokn" localSheetId="18">#REF!</definedName>
    <definedName name="plmokn" localSheetId="11">#REF!</definedName>
    <definedName name="plmokn" localSheetId="5">#REF!</definedName>
    <definedName name="plmokn" localSheetId="9">#REF!</definedName>
    <definedName name="plmokn" localSheetId="4">#REF!</definedName>
    <definedName name="plmokn" localSheetId="3">#REF!</definedName>
    <definedName name="plmokn" localSheetId="17">#REF!</definedName>
    <definedName name="plmokn" localSheetId="25">#REF!</definedName>
    <definedName name="plmokn" localSheetId="2">#REF!</definedName>
    <definedName name="plmokn" localSheetId="16">#REF!</definedName>
    <definedName name="plmokn" localSheetId="0">#REF!</definedName>
    <definedName name="plmokn" localSheetId="15">#REF!</definedName>
    <definedName name="plmokn" localSheetId="13">#REF!</definedName>
    <definedName name="plmokn" localSheetId="14">#REF!</definedName>
    <definedName name="plmokn" localSheetId="7">#REF!</definedName>
    <definedName name="plmokn">#REF!</definedName>
    <definedName name="_xlnm.Print_Area" localSheetId="19">Bevel!$A$1:$N$30</definedName>
    <definedName name="_xlnm.Print_Area" localSheetId="18">'Bevel Casing'!$A$1:$N$31</definedName>
    <definedName name="_xlnm.Print_Area" localSheetId="11">Clevis!$A$1:$N$28</definedName>
    <definedName name="_xlnm.Print_Area" localSheetId="5">Coupler!$A$1:$N$31</definedName>
    <definedName name="_xlnm.Print_Area" localSheetId="9">'Lower Rack Clamps'!$A$1:$N$26</definedName>
    <definedName name="_xlnm.Print_Area" localSheetId="4">'Pinion Adapter'!$A$1:$N$28</definedName>
    <definedName name="_xlnm.Print_Area" localSheetId="3">'Pinion Gear'!$A$1:$N$28</definedName>
    <definedName name="_xlnm.Print_Area" localSheetId="17">'Pinion Shaft'!$A$1:$N$33</definedName>
    <definedName name="_xlnm.Print_Area" localSheetId="25">'Quick Release'!$A$1:$N$40</definedName>
    <definedName name="_xlnm.Print_Area" localSheetId="2">'Rack bar'!$A$1:$N$34</definedName>
    <definedName name="_xlnm.Print_Area" localSheetId="16">'Rack Bolt'!$A$1:$N$29</definedName>
    <definedName name="_xlnm.Print_Area" localSheetId="0">'Rack Housing'!$A$1:$N$27</definedName>
    <definedName name="_xlnm.Print_Area" localSheetId="15">'Rack Stopper'!$A$1:$N$23</definedName>
    <definedName name="_xlnm.Print_Area" localSheetId="13">'Tie Rod'!$A$1:$N$25</definedName>
    <definedName name="_xlnm.Print_Area" localSheetId="14">'Tie Rod insert'!$A$1:$N$24</definedName>
    <definedName name="_xlnm.Print_Area" localSheetId="7">'Upper Rack Clamps'!$A$1:$N$26</definedName>
    <definedName name="Process_P1" localSheetId="19">Bevel!$B$85:$B$221</definedName>
    <definedName name="Process_P1" localSheetId="18">'Bevel Casing'!$B$86:$B$222</definedName>
    <definedName name="Process_P1" localSheetId="11">#REF!</definedName>
    <definedName name="Process_P1" localSheetId="5">Coupler!$B$86:$B$222</definedName>
    <definedName name="Process_P1" localSheetId="9">'Lower Rack Clamps'!$B$81:$B$217</definedName>
    <definedName name="Process_P1" localSheetId="4">'Pinion Adapter'!$B$83:$B$219</definedName>
    <definedName name="Process_P1" localSheetId="3">'Pinion Gear'!$B$83:$B$219</definedName>
    <definedName name="Process_P1" localSheetId="17">'Pinion Shaft'!$B$88:$B$224</definedName>
    <definedName name="Process_P1" localSheetId="25">'Quick Release'!$B$95:$B$231</definedName>
    <definedName name="Process_P1" localSheetId="2">#REF!</definedName>
    <definedName name="Process_P1" localSheetId="16">'Rack Bolt'!$B$84:$B$220</definedName>
    <definedName name="Process_P1" localSheetId="0">'Rack Housing'!$B$82:$B$218</definedName>
    <definedName name="Process_P1" localSheetId="15">#REF!</definedName>
    <definedName name="Process_P1" localSheetId="13">'Tie Rod'!$B$80:$B$216</definedName>
    <definedName name="Process_P1" localSheetId="14">#REF!</definedName>
    <definedName name="Process_P1" localSheetId="7">'Upper Rack Clamps'!$B$81:$B$217</definedName>
    <definedName name="Process_P1">#REF!</definedName>
    <definedName name="Processes" localSheetId="19">#REF!</definedName>
    <definedName name="Processes" localSheetId="18">#REF!</definedName>
    <definedName name="Processes" localSheetId="11">#REF!</definedName>
    <definedName name="Processes" localSheetId="5">#REF!</definedName>
    <definedName name="Processes" localSheetId="9">#REF!</definedName>
    <definedName name="Processes" localSheetId="4">#REF!</definedName>
    <definedName name="Processes" localSheetId="3">#REF!</definedName>
    <definedName name="Processes" localSheetId="17">#REF!</definedName>
    <definedName name="Processes" localSheetId="25">#REF!</definedName>
    <definedName name="Processes" localSheetId="2">#REF!</definedName>
    <definedName name="Processes" localSheetId="16">#REF!</definedName>
    <definedName name="Processes" localSheetId="0">#REF!</definedName>
    <definedName name="Processes" localSheetId="15">#REF!</definedName>
    <definedName name="Processes" localSheetId="13">#REF!</definedName>
    <definedName name="Processes" localSheetId="14">#REF!</definedName>
    <definedName name="Processes" localSheetId="7">#REF!</definedName>
    <definedName name="Processes">#REF!</definedName>
    <definedName name="qas2w" localSheetId="19">#REF!</definedName>
    <definedName name="qas2w" localSheetId="18">#REF!</definedName>
    <definedName name="qas2w" localSheetId="11">#REF!</definedName>
    <definedName name="qas2w" localSheetId="5">#REF!</definedName>
    <definedName name="qas2w" localSheetId="9">#REF!</definedName>
    <definedName name="qas2w" localSheetId="4">#REF!</definedName>
    <definedName name="qas2w" localSheetId="3">#REF!</definedName>
    <definedName name="qas2w" localSheetId="17">#REF!</definedName>
    <definedName name="qas2w" localSheetId="25">#REF!</definedName>
    <definedName name="qas2w" localSheetId="2">#REF!</definedName>
    <definedName name="qas2w" localSheetId="16">#REF!</definedName>
    <definedName name="qas2w" localSheetId="0">#REF!</definedName>
    <definedName name="qas2w" localSheetId="15">#REF!</definedName>
    <definedName name="qas2w" localSheetId="13">#REF!</definedName>
    <definedName name="qas2w" localSheetId="14">#REF!</definedName>
    <definedName name="qas2w" localSheetId="7">#REF!</definedName>
    <definedName name="qas2w">#REF!</definedName>
    <definedName name="QAZWSX" localSheetId="19">#REF!</definedName>
    <definedName name="QAZWSX" localSheetId="18">#REF!</definedName>
    <definedName name="QAZWSX" localSheetId="11">#REF!</definedName>
    <definedName name="QAZWSX" localSheetId="5">#REF!</definedName>
    <definedName name="QAZWSX" localSheetId="9">#REF!</definedName>
    <definedName name="QAZWSX" localSheetId="4">#REF!</definedName>
    <definedName name="QAZWSX" localSheetId="3">#REF!</definedName>
    <definedName name="QAZWSX" localSheetId="17">#REF!</definedName>
    <definedName name="QAZWSX" localSheetId="25">#REF!</definedName>
    <definedName name="QAZWSX" localSheetId="2">#REF!</definedName>
    <definedName name="QAZWSX" localSheetId="16">#REF!</definedName>
    <definedName name="QAZWSX" localSheetId="0">#REF!</definedName>
    <definedName name="QAZWSX" localSheetId="15">#REF!</definedName>
    <definedName name="QAZWSX" localSheetId="13">#REF!</definedName>
    <definedName name="QAZWSX" localSheetId="14">#REF!</definedName>
    <definedName name="QAZWSX" localSheetId="7">#REF!</definedName>
    <definedName name="QAZWSX">#REF!</definedName>
    <definedName name="QWERASDF" localSheetId="19">#REF!</definedName>
    <definedName name="QWERASDF" localSheetId="18">#REF!</definedName>
    <definedName name="QWERASDF" localSheetId="11">#REF!</definedName>
    <definedName name="QWERASDF" localSheetId="5">#REF!</definedName>
    <definedName name="QWERASDF" localSheetId="9">#REF!</definedName>
    <definedName name="QWERASDF" localSheetId="4">#REF!</definedName>
    <definedName name="QWERASDF" localSheetId="3">#REF!</definedName>
    <definedName name="QWERASDF" localSheetId="17">#REF!</definedName>
    <definedName name="QWERASDF" localSheetId="25">#REF!</definedName>
    <definedName name="QWERASDF" localSheetId="2">#REF!</definedName>
    <definedName name="QWERASDF" localSheetId="16">#REF!</definedName>
    <definedName name="QWERASDF" localSheetId="0">#REF!</definedName>
    <definedName name="QWERASDF" localSheetId="15">#REF!</definedName>
    <definedName name="QWERASDF" localSheetId="13">#REF!</definedName>
    <definedName name="QWERASDF" localSheetId="14">#REF!</definedName>
    <definedName name="QWERASDF" localSheetId="7">#REF!</definedName>
    <definedName name="QWERASDF">#REF!</definedName>
    <definedName name="qwerfdsa" localSheetId="19">#REF!</definedName>
    <definedName name="qwerfdsa" localSheetId="18">#REF!</definedName>
    <definedName name="qwerfdsa" localSheetId="11">#REF!</definedName>
    <definedName name="qwerfdsa" localSheetId="5">#REF!</definedName>
    <definedName name="qwerfdsa" localSheetId="9">#REF!</definedName>
    <definedName name="qwerfdsa" localSheetId="4">#REF!</definedName>
    <definedName name="qwerfdsa" localSheetId="3">#REF!</definedName>
    <definedName name="qwerfdsa" localSheetId="17">#REF!</definedName>
    <definedName name="qwerfdsa" localSheetId="25">#REF!</definedName>
    <definedName name="qwerfdsa" localSheetId="2">#REF!</definedName>
    <definedName name="qwerfdsa" localSheetId="16">#REF!</definedName>
    <definedName name="qwerfdsa" localSheetId="0">#REF!</definedName>
    <definedName name="qwerfdsa" localSheetId="15">#REF!</definedName>
    <definedName name="qwerfdsa" localSheetId="13">#REF!</definedName>
    <definedName name="qwerfdsa" localSheetId="14">#REF!</definedName>
    <definedName name="qwerfdsa" localSheetId="7">#REF!</definedName>
    <definedName name="qwerfdsa">#REF!</definedName>
    <definedName name="qwert" localSheetId="19">#REF!</definedName>
    <definedName name="qwert" localSheetId="18">#REF!</definedName>
    <definedName name="qwert" localSheetId="11">#REF!</definedName>
    <definedName name="qwert" localSheetId="5">#REF!</definedName>
    <definedName name="qwert" localSheetId="9">#REF!</definedName>
    <definedName name="qwert" localSheetId="4">#REF!</definedName>
    <definedName name="qwert" localSheetId="3">#REF!</definedName>
    <definedName name="qwert" localSheetId="17">#REF!</definedName>
    <definedName name="qwert" localSheetId="25">#REF!</definedName>
    <definedName name="qwert" localSheetId="2">#REF!</definedName>
    <definedName name="qwert" localSheetId="16">#REF!</definedName>
    <definedName name="qwert" localSheetId="0">#REF!</definedName>
    <definedName name="qwert" localSheetId="15">#REF!</definedName>
    <definedName name="qwert" localSheetId="13">#REF!</definedName>
    <definedName name="qwert" localSheetId="14">#REF!</definedName>
    <definedName name="qwert" localSheetId="7">#REF!</definedName>
    <definedName name="qwert">#REF!</definedName>
    <definedName name="qwertyu" localSheetId="19">#REF!</definedName>
    <definedName name="qwertyu" localSheetId="18">#REF!</definedName>
    <definedName name="qwertyu" localSheetId="11">#REF!</definedName>
    <definedName name="qwertyu" localSheetId="5">#REF!</definedName>
    <definedName name="qwertyu" localSheetId="9">#REF!</definedName>
    <definedName name="qwertyu" localSheetId="4">#REF!</definedName>
    <definedName name="qwertyu" localSheetId="3">#REF!</definedName>
    <definedName name="qwertyu" localSheetId="17">#REF!</definedName>
    <definedName name="qwertyu" localSheetId="25">#REF!</definedName>
    <definedName name="qwertyu" localSheetId="2">#REF!</definedName>
    <definedName name="qwertyu" localSheetId="16">#REF!</definedName>
    <definedName name="qwertyu" localSheetId="0">#REF!</definedName>
    <definedName name="qwertyu" localSheetId="15">#REF!</definedName>
    <definedName name="qwertyu" localSheetId="13">#REF!</definedName>
    <definedName name="qwertyu" localSheetId="14">#REF!</definedName>
    <definedName name="qwertyu" localSheetId="7">#REF!</definedName>
    <definedName name="qwertyu">#REF!</definedName>
    <definedName name="qwqe" localSheetId="19">#REF!</definedName>
    <definedName name="qwqe" localSheetId="18">#REF!</definedName>
    <definedName name="qwqe" localSheetId="11">#REF!</definedName>
    <definedName name="qwqe" localSheetId="5">#REF!</definedName>
    <definedName name="qwqe" localSheetId="9">#REF!</definedName>
    <definedName name="qwqe" localSheetId="4">#REF!</definedName>
    <definedName name="qwqe" localSheetId="3">#REF!</definedName>
    <definedName name="qwqe" localSheetId="17">#REF!</definedName>
    <definedName name="qwqe" localSheetId="25">#REF!</definedName>
    <definedName name="qwqe" localSheetId="2">#REF!</definedName>
    <definedName name="qwqe" localSheetId="16">#REF!</definedName>
    <definedName name="qwqe" localSheetId="0">#REF!</definedName>
    <definedName name="qwqe" localSheetId="15">#REF!</definedName>
    <definedName name="qwqe" localSheetId="13">#REF!</definedName>
    <definedName name="qwqe" localSheetId="14">#REF!</definedName>
    <definedName name="qwqe" localSheetId="7">#REF!</definedName>
    <definedName name="qwqe">#REF!</definedName>
    <definedName name="rac" localSheetId="19">#REF!</definedName>
    <definedName name="rac" localSheetId="18">#REF!</definedName>
    <definedName name="rac" localSheetId="11">#REF!</definedName>
    <definedName name="rac" localSheetId="5">#REF!</definedName>
    <definedName name="rac" localSheetId="9">#REF!</definedName>
    <definedName name="rac" localSheetId="4">#REF!</definedName>
    <definedName name="rac" localSheetId="3">#REF!</definedName>
    <definedName name="rac" localSheetId="17">#REF!</definedName>
    <definedName name="rac" localSheetId="25">#REF!</definedName>
    <definedName name="rac" localSheetId="2">#REF!</definedName>
    <definedName name="rac" localSheetId="16">#REF!</definedName>
    <definedName name="rac" localSheetId="0">#REF!</definedName>
    <definedName name="rac" localSheetId="15">#REF!</definedName>
    <definedName name="rac" localSheetId="13">#REF!</definedName>
    <definedName name="rac" localSheetId="14">#REF!</definedName>
    <definedName name="rac" localSheetId="7">#REF!</definedName>
    <definedName name="rac">#REF!</definedName>
    <definedName name="sjdfvnmskjl" localSheetId="19">#REF!</definedName>
    <definedName name="sjdfvnmskjl" localSheetId="18">#REF!</definedName>
    <definedName name="sjdfvnmskjl" localSheetId="11">#REF!</definedName>
    <definedName name="sjdfvnmskjl" localSheetId="5">#REF!</definedName>
    <definedName name="sjdfvnmskjl" localSheetId="9">#REF!</definedName>
    <definedName name="sjdfvnmskjl" localSheetId="4">#REF!</definedName>
    <definedName name="sjdfvnmskjl" localSheetId="3">#REF!</definedName>
    <definedName name="sjdfvnmskjl" localSheetId="17">#REF!</definedName>
    <definedName name="sjdfvnmskjl" localSheetId="25">#REF!</definedName>
    <definedName name="sjdfvnmskjl" localSheetId="2">#REF!</definedName>
    <definedName name="sjdfvnmskjl" localSheetId="16">#REF!</definedName>
    <definedName name="sjdfvnmskjl" localSheetId="0">#REF!</definedName>
    <definedName name="sjdfvnmskjl" localSheetId="15">#REF!</definedName>
    <definedName name="sjdfvnmskjl" localSheetId="13">#REF!</definedName>
    <definedName name="sjdfvnmskjl" localSheetId="14">#REF!</definedName>
    <definedName name="sjdfvnmskjl" localSheetId="7">#REF!</definedName>
    <definedName name="sjdfvnmskjl">#REF!</definedName>
    <definedName name="svnmlksnv" localSheetId="19">#REF!</definedName>
    <definedName name="svnmlksnv" localSheetId="18">#REF!</definedName>
    <definedName name="svnmlksnv" localSheetId="11">#REF!</definedName>
    <definedName name="svnmlksnv" localSheetId="5">#REF!</definedName>
    <definedName name="svnmlksnv" localSheetId="9">#REF!</definedName>
    <definedName name="svnmlksnv" localSheetId="4">#REF!</definedName>
    <definedName name="svnmlksnv" localSheetId="3">#REF!</definedName>
    <definedName name="svnmlksnv" localSheetId="17">#REF!</definedName>
    <definedName name="svnmlksnv" localSheetId="25">#REF!</definedName>
    <definedName name="svnmlksnv" localSheetId="2">#REF!</definedName>
    <definedName name="svnmlksnv" localSheetId="16">#REF!</definedName>
    <definedName name="svnmlksnv" localSheetId="0">#REF!</definedName>
    <definedName name="svnmlksnv" localSheetId="15">#REF!</definedName>
    <definedName name="svnmlksnv" localSheetId="13">#REF!</definedName>
    <definedName name="svnmlksnv" localSheetId="14">#REF!</definedName>
    <definedName name="svnmlksnv" localSheetId="7">#REF!</definedName>
    <definedName name="svnmlksnv">#REF!</definedName>
    <definedName name="Uni" localSheetId="19">#REF!</definedName>
    <definedName name="Uni" localSheetId="18">#REF!</definedName>
    <definedName name="Uni" localSheetId="11">#REF!</definedName>
    <definedName name="Uni" localSheetId="5">#REF!</definedName>
    <definedName name="Uni" localSheetId="9">#REF!</definedName>
    <definedName name="Uni" localSheetId="4">#REF!</definedName>
    <definedName name="Uni" localSheetId="3">#REF!</definedName>
    <definedName name="Uni" localSheetId="17">#REF!</definedName>
    <definedName name="Uni" localSheetId="25">#REF!</definedName>
    <definedName name="Uni" localSheetId="2">#REF!</definedName>
    <definedName name="Uni" localSheetId="16">#REF!</definedName>
    <definedName name="Uni" localSheetId="0">#REF!</definedName>
    <definedName name="Uni" localSheetId="15">#REF!</definedName>
    <definedName name="Uni" localSheetId="13">#REF!</definedName>
    <definedName name="Uni" localSheetId="14">#REF!</definedName>
    <definedName name="Uni" localSheetId="7">#REF!</definedName>
    <definedName name="Uni">#REF!</definedName>
    <definedName name="vbnmc" localSheetId="19">#REF!</definedName>
    <definedName name="vbnmc" localSheetId="18">#REF!</definedName>
    <definedName name="vbnmc" localSheetId="11">#REF!</definedName>
    <definedName name="vbnmc" localSheetId="5">#REF!</definedName>
    <definedName name="vbnmc" localSheetId="9">#REF!</definedName>
    <definedName name="vbnmc" localSheetId="4">#REF!</definedName>
    <definedName name="vbnmc" localSheetId="3">#REF!</definedName>
    <definedName name="vbnmc" localSheetId="17">#REF!</definedName>
    <definedName name="vbnmc" localSheetId="25">#REF!</definedName>
    <definedName name="vbnmc" localSheetId="2">#REF!</definedName>
    <definedName name="vbnmc" localSheetId="16">#REF!</definedName>
    <definedName name="vbnmc" localSheetId="0">#REF!</definedName>
    <definedName name="vbnmc" localSheetId="15">#REF!</definedName>
    <definedName name="vbnmc" localSheetId="13">#REF!</definedName>
    <definedName name="vbnmc" localSheetId="14">#REF!</definedName>
    <definedName name="vbnmc" localSheetId="7">#REF!</definedName>
    <definedName name="vbnmc">#REF!</definedName>
    <definedName name="xswzaq" localSheetId="19">#REF!</definedName>
    <definedName name="xswzaq" localSheetId="18">#REF!</definedName>
    <definedName name="xswzaq" localSheetId="11">#REF!</definedName>
    <definedName name="xswzaq" localSheetId="5">#REF!</definedName>
    <definedName name="xswzaq" localSheetId="9">#REF!</definedName>
    <definedName name="xswzaq" localSheetId="4">#REF!</definedName>
    <definedName name="xswzaq" localSheetId="3">#REF!</definedName>
    <definedName name="xswzaq" localSheetId="17">#REF!</definedName>
    <definedName name="xswzaq" localSheetId="25">#REF!</definedName>
    <definedName name="xswzaq" localSheetId="2">#REF!</definedName>
    <definedName name="xswzaq" localSheetId="16">#REF!</definedName>
    <definedName name="xswzaq" localSheetId="0">#REF!</definedName>
    <definedName name="xswzaq" localSheetId="15">#REF!</definedName>
    <definedName name="xswzaq" localSheetId="13">#REF!</definedName>
    <definedName name="xswzaq" localSheetId="14">#REF!</definedName>
    <definedName name="xswzaq" localSheetId="7">#REF!</definedName>
    <definedName name="xswzaq">#REF!</definedName>
    <definedName name="XYZ" localSheetId="19">#REF!</definedName>
    <definedName name="XYZ" localSheetId="18">#REF!</definedName>
    <definedName name="XYZ" localSheetId="11">#REF!</definedName>
    <definedName name="XYZ" localSheetId="5">#REF!</definedName>
    <definedName name="XYZ" localSheetId="9">#REF!</definedName>
    <definedName name="XYZ" localSheetId="4">#REF!</definedName>
    <definedName name="XYZ" localSheetId="3">#REF!</definedName>
    <definedName name="XYZ" localSheetId="17">#REF!</definedName>
    <definedName name="XYZ" localSheetId="25">#REF!</definedName>
    <definedName name="XYZ" localSheetId="2">#REF!</definedName>
    <definedName name="XYZ" localSheetId="16">#REF!</definedName>
    <definedName name="XYZ" localSheetId="0">#REF!</definedName>
    <definedName name="XYZ" localSheetId="15">#REF!</definedName>
    <definedName name="XYZ" localSheetId="13">#REF!</definedName>
    <definedName name="XYZ" localSheetId="14">#REF!</definedName>
    <definedName name="XYZ" localSheetId="7">#REF!</definedName>
    <definedName name="XYZ">#REF!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42" l="1"/>
  <c r="N10" i="142" s="1"/>
  <c r="N11" i="142" s="1"/>
  <c r="I25" i="142"/>
  <c r="I26" i="142" s="1"/>
  <c r="J21" i="142"/>
  <c r="J22" i="142" s="1"/>
  <c r="I15" i="142"/>
  <c r="I14" i="142"/>
  <c r="I24" i="140"/>
  <c r="I25" i="140" s="1"/>
  <c r="J21" i="140"/>
  <c r="I17" i="140"/>
  <c r="N12" i="140"/>
  <c r="I15" i="139"/>
  <c r="I25" i="139"/>
  <c r="I26" i="139" s="1"/>
  <c r="J21" i="139"/>
  <c r="J22" i="139" s="1"/>
  <c r="I14" i="139"/>
  <c r="J10" i="139"/>
  <c r="N10" i="139" s="1"/>
  <c r="N11" i="139" s="1"/>
  <c r="I24" i="138"/>
  <c r="I25" i="138" s="1"/>
  <c r="J21" i="138"/>
  <c r="I15" i="138"/>
  <c r="I17" i="138" s="1"/>
  <c r="N12" i="138"/>
  <c r="N10" i="138"/>
  <c r="I24" i="137"/>
  <c r="I25" i="137" s="1"/>
  <c r="J21" i="137"/>
  <c r="I15" i="137"/>
  <c r="I17" i="137" s="1"/>
  <c r="N12" i="137"/>
  <c r="N10" i="137"/>
  <c r="I18" i="142" l="1"/>
  <c r="N1" i="142" s="1"/>
  <c r="N4" i="142" s="1"/>
  <c r="N1" i="140"/>
  <c r="N4" i="140" s="1"/>
  <c r="I18" i="139"/>
  <c r="N1" i="139" s="1"/>
  <c r="N4" i="139" s="1"/>
  <c r="N1" i="138"/>
  <c r="N4" i="138" s="1"/>
  <c r="N1" i="137"/>
  <c r="N4" i="137" s="1"/>
  <c r="I24" i="136"/>
  <c r="I25" i="136" s="1"/>
  <c r="J21" i="136"/>
  <c r="I15" i="136"/>
  <c r="I17" i="136" s="1"/>
  <c r="N10" i="136"/>
  <c r="N12" i="136" s="1"/>
  <c r="I15" i="134"/>
  <c r="N10" i="134"/>
  <c r="I24" i="134"/>
  <c r="I25" i="134" s="1"/>
  <c r="J21" i="134"/>
  <c r="N12" i="134"/>
  <c r="I29" i="135"/>
  <c r="I30" i="135" s="1"/>
  <c r="J26" i="135"/>
  <c r="I20" i="135"/>
  <c r="I19" i="135"/>
  <c r="I18" i="135"/>
  <c r="I17" i="135"/>
  <c r="I16" i="135"/>
  <c r="I15" i="135"/>
  <c r="N12" i="135"/>
  <c r="N10" i="135"/>
  <c r="N10" i="127"/>
  <c r="N12" i="127" s="1"/>
  <c r="I19" i="127"/>
  <c r="I18" i="127"/>
  <c r="I29" i="127"/>
  <c r="I30" i="127" s="1"/>
  <c r="J26" i="127"/>
  <c r="I20" i="127"/>
  <c r="I17" i="127"/>
  <c r="I16" i="127"/>
  <c r="I15" i="127"/>
  <c r="I15" i="126"/>
  <c r="E10" i="125"/>
  <c r="I15" i="125"/>
  <c r="I17" i="124"/>
  <c r="I18" i="123"/>
  <c r="I17" i="123"/>
  <c r="I18" i="124"/>
  <c r="I19" i="124"/>
  <c r="I16" i="124"/>
  <c r="I18" i="45"/>
  <c r="I17" i="45"/>
  <c r="I19" i="45"/>
  <c r="N1" i="136" l="1"/>
  <c r="N4" i="136" s="1"/>
  <c r="I17" i="134"/>
  <c r="N1" i="134" s="1"/>
  <c r="N4" i="134" s="1"/>
  <c r="I22" i="135"/>
  <c r="N1" i="135"/>
  <c r="N4" i="135" s="1"/>
  <c r="I22" i="127"/>
  <c r="N1" i="127" s="1"/>
  <c r="N4" i="127" s="1"/>
  <c r="I20" i="124"/>
  <c r="N1" i="124" s="1"/>
  <c r="I22" i="44"/>
  <c r="I18" i="44"/>
  <c r="I19" i="44"/>
  <c r="I17" i="44"/>
  <c r="I16" i="44"/>
  <c r="I15" i="44"/>
  <c r="J10" i="46"/>
  <c r="E10" i="46" s="1"/>
  <c r="I23" i="46"/>
  <c r="N10" i="42"/>
  <c r="E10" i="42"/>
  <c r="J10" i="42"/>
  <c r="J10" i="107" l="1"/>
  <c r="I17" i="107"/>
  <c r="F15" i="106" l="1"/>
  <c r="N10" i="39"/>
  <c r="I26" i="107"/>
  <c r="I27" i="107" s="1"/>
  <c r="J22" i="107"/>
  <c r="J23" i="107" s="1"/>
  <c r="F15" i="107"/>
  <c r="N10" i="107"/>
  <c r="N10" i="106"/>
  <c r="F15" i="38"/>
  <c r="I19" i="31"/>
  <c r="E10" i="28"/>
  <c r="I28" i="132" l="1"/>
  <c r="I27" i="132"/>
  <c r="J23" i="132"/>
  <c r="J24" i="132" s="1"/>
  <c r="I19" i="132"/>
  <c r="I18" i="132"/>
  <c r="F18" i="132"/>
  <c r="I17" i="132"/>
  <c r="I16" i="132"/>
  <c r="I15" i="132"/>
  <c r="F15" i="132"/>
  <c r="I14" i="132"/>
  <c r="J10" i="132"/>
  <c r="E10" i="132"/>
  <c r="N10" i="132" s="1"/>
  <c r="N11" i="132" s="1"/>
  <c r="I20" i="132" l="1"/>
  <c r="N1" i="132"/>
  <c r="N4" i="132" s="1"/>
  <c r="I14" i="106"/>
  <c r="F18" i="28"/>
  <c r="J10" i="124" l="1"/>
  <c r="N10" i="124"/>
  <c r="N11" i="124" s="1"/>
  <c r="I25" i="126"/>
  <c r="I26" i="126" s="1"/>
  <c r="J21" i="126"/>
  <c r="J22" i="126" s="1"/>
  <c r="I14" i="126"/>
  <c r="J10" i="126"/>
  <c r="N10" i="126" s="1"/>
  <c r="N11" i="126" s="1"/>
  <c r="I25" i="125"/>
  <c r="I26" i="125" s="1"/>
  <c r="J21" i="125"/>
  <c r="J22" i="125" s="1"/>
  <c r="I14" i="125"/>
  <c r="J10" i="125"/>
  <c r="N10" i="125" s="1"/>
  <c r="N11" i="125" s="1"/>
  <c r="I28" i="124"/>
  <c r="I29" i="124" s="1"/>
  <c r="J24" i="124"/>
  <c r="J25" i="124" s="1"/>
  <c r="I14" i="124"/>
  <c r="J10" i="123"/>
  <c r="E10" i="123" s="1"/>
  <c r="I25" i="123"/>
  <c r="I26" i="123" s="1"/>
  <c r="J21" i="123"/>
  <c r="J22" i="123" s="1"/>
  <c r="I16" i="123"/>
  <c r="I14" i="123"/>
  <c r="I18" i="126" l="1"/>
  <c r="N1" i="126" s="1"/>
  <c r="N4" i="126" s="1"/>
  <c r="I18" i="125"/>
  <c r="N1" i="125" s="1"/>
  <c r="N4" i="125" s="1"/>
  <c r="N4" i="124"/>
  <c r="E10" i="126"/>
  <c r="E10" i="124"/>
  <c r="N10" i="123"/>
  <c r="N11" i="123" s="1"/>
  <c r="N1" i="123" l="1"/>
  <c r="N4" i="123" s="1"/>
  <c r="I15" i="46" l="1"/>
  <c r="I16" i="46"/>
  <c r="I17" i="46"/>
  <c r="I18" i="46"/>
  <c r="I19" i="46"/>
  <c r="I20" i="46"/>
  <c r="I21" i="46"/>
  <c r="I22" i="46"/>
  <c r="I24" i="46"/>
  <c r="I16" i="107" l="1"/>
  <c r="I15" i="107"/>
  <c r="I14" i="107"/>
  <c r="E10" i="107"/>
  <c r="N11" i="107" s="1"/>
  <c r="I24" i="106"/>
  <c r="I25" i="106" s="1"/>
  <c r="I16" i="106"/>
  <c r="I15" i="106"/>
  <c r="J10" i="106"/>
  <c r="N11" i="106" s="1"/>
  <c r="I20" i="106" l="1"/>
  <c r="N1" i="106"/>
  <c r="N4" i="106" s="1"/>
  <c r="I19" i="107" l="1"/>
  <c r="N1" i="107" s="1"/>
  <c r="N4" i="107" s="1"/>
  <c r="I39" i="67" l="1"/>
  <c r="I40" i="67" s="1"/>
  <c r="J35" i="67"/>
  <c r="J36" i="67" s="1"/>
  <c r="I31" i="67"/>
  <c r="I30" i="67"/>
  <c r="I29" i="67"/>
  <c r="I28" i="67"/>
  <c r="I27" i="67"/>
  <c r="I26" i="67"/>
  <c r="I25" i="67"/>
  <c r="I24" i="67"/>
  <c r="I23" i="67"/>
  <c r="I22" i="67"/>
  <c r="I21" i="67"/>
  <c r="I20" i="67"/>
  <c r="I19" i="67"/>
  <c r="I18" i="67"/>
  <c r="I17" i="67"/>
  <c r="N13" i="67"/>
  <c r="N12" i="67"/>
  <c r="N11" i="67"/>
  <c r="E11" i="67"/>
  <c r="N10" i="67"/>
  <c r="E10" i="67"/>
  <c r="I32" i="67" l="1"/>
  <c r="N14" i="67"/>
  <c r="N1" i="67" l="1"/>
  <c r="N4" i="67" s="1"/>
  <c r="I32" i="46" l="1"/>
  <c r="I33" i="46" s="1"/>
  <c r="J28" i="46"/>
  <c r="J29" i="46" s="1"/>
  <c r="I14" i="46"/>
  <c r="I25" i="46" s="1"/>
  <c r="N10" i="46"/>
  <c r="N11" i="46" s="1"/>
  <c r="I29" i="45"/>
  <c r="I30" i="45" s="1"/>
  <c r="J25" i="45"/>
  <c r="J26" i="45" s="1"/>
  <c r="I21" i="45"/>
  <c r="I20" i="45"/>
  <c r="I16" i="45"/>
  <c r="I15" i="45"/>
  <c r="I14" i="45"/>
  <c r="N10" i="45"/>
  <c r="N11" i="45" s="1"/>
  <c r="E10" i="45"/>
  <c r="J10" i="44"/>
  <c r="E10" i="44" s="1"/>
  <c r="I30" i="44"/>
  <c r="I31" i="44" s="1"/>
  <c r="J26" i="44"/>
  <c r="J27" i="44" s="1"/>
  <c r="I21" i="44"/>
  <c r="I20" i="44"/>
  <c r="I14" i="44"/>
  <c r="I28" i="42"/>
  <c r="I29" i="42" s="1"/>
  <c r="J24" i="42"/>
  <c r="J25" i="42" s="1"/>
  <c r="I20" i="42"/>
  <c r="I19" i="42"/>
  <c r="I18" i="42"/>
  <c r="I17" i="42"/>
  <c r="I16" i="42"/>
  <c r="I15" i="42"/>
  <c r="I14" i="42"/>
  <c r="N11" i="42"/>
  <c r="I22" i="39"/>
  <c r="I23" i="39" s="1"/>
  <c r="J18" i="39"/>
  <c r="J19" i="39" s="1"/>
  <c r="I14" i="39"/>
  <c r="I15" i="39" s="1"/>
  <c r="N11" i="39"/>
  <c r="I27" i="38"/>
  <c r="I28" i="38" s="1"/>
  <c r="J23" i="38"/>
  <c r="J24" i="38" s="1"/>
  <c r="I19" i="38"/>
  <c r="F18" i="38"/>
  <c r="I18" i="38" s="1"/>
  <c r="I17" i="38"/>
  <c r="I16" i="38"/>
  <c r="I15" i="38"/>
  <c r="I14" i="38"/>
  <c r="J10" i="38"/>
  <c r="E10" i="38" s="1"/>
  <c r="N10" i="38" s="1"/>
  <c r="N11" i="38" s="1"/>
  <c r="I25" i="37"/>
  <c r="I26" i="37" s="1"/>
  <c r="J21" i="37"/>
  <c r="J22" i="37" s="1"/>
  <c r="I17" i="37"/>
  <c r="I16" i="37"/>
  <c r="F15" i="37"/>
  <c r="I15" i="37" s="1"/>
  <c r="I14" i="37"/>
  <c r="E10" i="37"/>
  <c r="N10" i="37" s="1"/>
  <c r="N11" i="37" s="1"/>
  <c r="I25" i="36"/>
  <c r="I26" i="36" s="1"/>
  <c r="J21" i="36"/>
  <c r="J22" i="36" s="1"/>
  <c r="I17" i="36"/>
  <c r="I16" i="36"/>
  <c r="I15" i="36"/>
  <c r="I14" i="36"/>
  <c r="E10" i="36"/>
  <c r="N10" i="36" s="1"/>
  <c r="N11" i="36" s="1"/>
  <c r="I30" i="34"/>
  <c r="I31" i="34" s="1"/>
  <c r="J26" i="34"/>
  <c r="J27" i="34" s="1"/>
  <c r="I22" i="34"/>
  <c r="I21" i="34"/>
  <c r="I20" i="34"/>
  <c r="I19" i="34"/>
  <c r="I18" i="34"/>
  <c r="I17" i="34"/>
  <c r="I16" i="34"/>
  <c r="I15" i="34"/>
  <c r="I14" i="34"/>
  <c r="J10" i="34"/>
  <c r="I27" i="32"/>
  <c r="I28" i="32" s="1"/>
  <c r="J23" i="32"/>
  <c r="J24" i="32" s="1"/>
  <c r="I19" i="32"/>
  <c r="I18" i="32"/>
  <c r="I17" i="32"/>
  <c r="I16" i="32"/>
  <c r="I15" i="32"/>
  <c r="I14" i="32"/>
  <c r="N10" i="32"/>
  <c r="N11" i="32" s="1"/>
  <c r="E10" i="32"/>
  <c r="I27" i="31"/>
  <c r="I28" i="31" s="1"/>
  <c r="J23" i="31"/>
  <c r="J24" i="31" s="1"/>
  <c r="I18" i="31"/>
  <c r="I17" i="31"/>
  <c r="I16" i="31"/>
  <c r="I15" i="31"/>
  <c r="I14" i="31"/>
  <c r="N10" i="31"/>
  <c r="N11" i="31" s="1"/>
  <c r="E10" i="31"/>
  <c r="I33" i="30"/>
  <c r="I34" i="30" s="1"/>
  <c r="J29" i="30"/>
  <c r="J30" i="30" s="1"/>
  <c r="I25" i="30"/>
  <c r="I24" i="30"/>
  <c r="I23" i="30"/>
  <c r="I22" i="30"/>
  <c r="I21" i="30"/>
  <c r="I20" i="30"/>
  <c r="I19" i="30"/>
  <c r="I18" i="30"/>
  <c r="I17" i="30"/>
  <c r="I16" i="30"/>
  <c r="I15" i="30"/>
  <c r="I14" i="30"/>
  <c r="N10" i="30"/>
  <c r="N11" i="30" s="1"/>
  <c r="E10" i="30"/>
  <c r="I26" i="28"/>
  <c r="I27" i="28" s="1"/>
  <c r="J22" i="28"/>
  <c r="J23" i="28" s="1"/>
  <c r="I18" i="28"/>
  <c r="I17" i="28"/>
  <c r="I16" i="28"/>
  <c r="I15" i="28"/>
  <c r="I14" i="28"/>
  <c r="N10" i="28"/>
  <c r="N11" i="28" s="1"/>
  <c r="N10" i="44" l="1"/>
  <c r="N11" i="44" s="1"/>
  <c r="E10" i="34"/>
  <c r="N10" i="34" s="1"/>
  <c r="N11" i="34" s="1"/>
  <c r="I18" i="36"/>
  <c r="I18" i="37"/>
  <c r="N1" i="37" s="1"/>
  <c r="N4" i="37" s="1"/>
  <c r="I21" i="42"/>
  <c r="N1" i="42" s="1"/>
  <c r="N4" i="42" s="1"/>
  <c r="I20" i="32"/>
  <c r="N1" i="32" s="1"/>
  <c r="N4" i="32" s="1"/>
  <c r="I26" i="30"/>
  <c r="I19" i="28"/>
  <c r="N1" i="28" s="1"/>
  <c r="N4" i="28" s="1"/>
  <c r="I20" i="31"/>
  <c r="N1" i="31" s="1"/>
  <c r="N4" i="31" s="1"/>
  <c r="I23" i="34"/>
  <c r="N1" i="46"/>
  <c r="N4" i="46" s="1"/>
  <c r="I22" i="45"/>
  <c r="N1" i="45" s="1"/>
  <c r="N4" i="45" s="1"/>
  <c r="I23" i="44"/>
  <c r="N1" i="44" s="1"/>
  <c r="N4" i="44" s="1"/>
  <c r="N1" i="39"/>
  <c r="N4" i="39" s="1"/>
  <c r="N1" i="30"/>
  <c r="N4" i="30" s="1"/>
  <c r="N1" i="36"/>
  <c r="N4" i="36" s="1"/>
  <c r="I20" i="38"/>
  <c r="N1" i="34" l="1"/>
  <c r="N4" i="34" s="1"/>
  <c r="N1" i="38"/>
  <c r="N4" i="38" s="1"/>
</calcChain>
</file>

<file path=xl/sharedStrings.xml><?xml version="1.0" encoding="utf-8"?>
<sst xmlns="http://schemas.openxmlformats.org/spreadsheetml/2006/main" count="2828" uniqueCount="321">
  <si>
    <t>University</t>
  </si>
  <si>
    <t>VIT University</t>
  </si>
  <si>
    <t>Car #</t>
  </si>
  <si>
    <t>Part Cost</t>
  </si>
  <si>
    <t>System</t>
  </si>
  <si>
    <t>FileLink1</t>
  </si>
  <si>
    <t>Qty</t>
  </si>
  <si>
    <t>Assembly</t>
  </si>
  <si>
    <t>FileLink2</t>
  </si>
  <si>
    <t>Back to BOM</t>
  </si>
  <si>
    <t>Part</t>
  </si>
  <si>
    <t>FileLink3</t>
  </si>
  <si>
    <t>Extended Cost</t>
  </si>
  <si>
    <t>P/N Base</t>
  </si>
  <si>
    <t>Suffix</t>
  </si>
  <si>
    <t>AA</t>
  </si>
  <si>
    <t>Details</t>
  </si>
  <si>
    <t>ItemOrder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</si>
  <si>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</si>
  <si>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</si>
  <si>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</si>
  <si>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</si>
  <si>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</si>
  <si>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</si>
  <si>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</si>
  <si>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</si>
  <si>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</si>
  <si>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</si>
  <si>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</si>
  <si>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Quantity</t>
  </si>
  <si>
    <t>Sub Total</t>
  </si>
  <si>
    <t>Steel, Alloy</t>
  </si>
  <si>
    <t>Kg</t>
  </si>
  <si>
    <t>mm</t>
  </si>
  <si>
    <t>Cross Sectional</t>
  </si>
  <si>
    <t>Process</t>
  </si>
  <si>
    <t>Unit</t>
  </si>
  <si>
    <t>Multiplier</t>
  </si>
  <si>
    <t>Mult. Val.</t>
  </si>
  <si>
    <t>Tube cut</t>
  </si>
  <si>
    <t>cm</t>
  </si>
  <si>
    <t>None</t>
  </si>
  <si>
    <t>Laser Cut</t>
  </si>
  <si>
    <t>Steel</t>
  </si>
  <si>
    <t>unit</t>
  </si>
  <si>
    <t>Fastener</t>
  </si>
  <si>
    <t>Tooling</t>
  </si>
  <si>
    <t>PVF</t>
  </si>
  <si>
    <t>FracIncld</t>
  </si>
  <si>
    <t>kg</t>
  </si>
  <si>
    <t>Machining Setup, Install and remove</t>
  </si>
  <si>
    <t>Steel, Mild</t>
  </si>
  <si>
    <t>Back To BOM</t>
  </si>
  <si>
    <t>Repeat 2</t>
  </si>
  <si>
    <t>cm^3</t>
  </si>
  <si>
    <t>Lamination, Manual</t>
  </si>
  <si>
    <t>m^2</t>
  </si>
  <si>
    <t>Repeat 4</t>
  </si>
  <si>
    <t>Aluminum,Premium</t>
  </si>
  <si>
    <t>Aluminum</t>
  </si>
  <si>
    <t>Tapping holes</t>
  </si>
  <si>
    <t>hole</t>
  </si>
  <si>
    <t>Machining</t>
  </si>
  <si>
    <t>Assemble, 1 kg, Line-on-Line</t>
  </si>
  <si>
    <t>Steering</t>
  </si>
  <si>
    <t xml:space="preserve">Steering Rack Assembly </t>
  </si>
  <si>
    <t>Rack Housing</t>
  </si>
  <si>
    <t>Rack Bar</t>
  </si>
  <si>
    <t>Pinion Gear</t>
  </si>
  <si>
    <t>Coupler</t>
  </si>
  <si>
    <t>Lower Rack Clamps</t>
  </si>
  <si>
    <t>Upper Rack Clamps</t>
  </si>
  <si>
    <t>Clevis</t>
  </si>
  <si>
    <t>Rack Stopper</t>
  </si>
  <si>
    <t>Suspension</t>
  </si>
  <si>
    <t>Die Casting</t>
  </si>
  <si>
    <t>To cast the housing</t>
  </si>
  <si>
    <t>Hand Finish - Material Removal</t>
  </si>
  <si>
    <t>To finish the surface</t>
  </si>
  <si>
    <t>Drilled holes &lt; 25.4 mm dia.</t>
  </si>
  <si>
    <t>To drill holes to attach the dust cover</t>
  </si>
  <si>
    <t>Tapping Holes</t>
  </si>
  <si>
    <t>To tap the holes</t>
  </si>
  <si>
    <t>Threading, Internal (machining)</t>
  </si>
  <si>
    <t>To make threads for the bolt</t>
  </si>
  <si>
    <t>Die Casting - Die</t>
  </si>
  <si>
    <t>To make the die</t>
  </si>
  <si>
    <t>die</t>
  </si>
  <si>
    <t>Steel,Alloy</t>
  </si>
  <si>
    <t>To setup the billet on lathe for turning and facing</t>
  </si>
  <si>
    <t>To turn and face from one side</t>
  </si>
  <si>
    <t>Machining Setup, Change</t>
  </si>
  <si>
    <t>To change the setup to turn from the other side</t>
  </si>
  <si>
    <t>To turn and face from the other side</t>
  </si>
  <si>
    <t>To setup the bar on a universal milling machine</t>
  </si>
  <si>
    <t>To mill the flat surface</t>
  </si>
  <si>
    <t>To change the setup to mill the bottom surface</t>
  </si>
  <si>
    <t>To change the setup for teeth cutting</t>
  </si>
  <si>
    <t>Mill - Form Cutter</t>
  </si>
  <si>
    <t>To cut the teeth</t>
  </si>
  <si>
    <t>To drill hole to attach the clevis</t>
  </si>
  <si>
    <t>Hole</t>
  </si>
  <si>
    <t xml:space="preserve">Steering </t>
  </si>
  <si>
    <t>Pinion Gear to transfer the steering motion</t>
  </si>
  <si>
    <t>Steel,Mild</t>
  </si>
  <si>
    <t xml:space="preserve">Cross Sectional </t>
  </si>
  <si>
    <t>Setup change to turn and face from the other side</t>
  </si>
  <si>
    <t xml:space="preserve">Setup change to make the teeth </t>
  </si>
  <si>
    <t>Gear Shaping (hobbing)</t>
  </si>
  <si>
    <t>To make the teeth around the periphery of the billet</t>
  </si>
  <si>
    <t>To connect the pinion and pinion shaft</t>
  </si>
  <si>
    <t>To install the billet on lathe</t>
  </si>
  <si>
    <t>Setup change to turn and face from other side</t>
  </si>
  <si>
    <t>To place it on the milling machine</t>
  </si>
  <si>
    <t>To make the splines</t>
  </si>
  <si>
    <t>To connect the pinion adapter and the pinion shaft</t>
  </si>
  <si>
    <t>Cross sectional</t>
  </si>
  <si>
    <t>To turn and face from one end</t>
  </si>
  <si>
    <t>To change the setup to machine from the other end</t>
  </si>
  <si>
    <t>To turn and face from the other end</t>
  </si>
  <si>
    <t>To drill the hole</t>
  </si>
  <si>
    <t>To make the internal keyway</t>
  </si>
  <si>
    <t>To make the keyway in the slotter machine</t>
  </si>
  <si>
    <t>Broach, Internal</t>
  </si>
  <si>
    <t>To make splines on the Internal part</t>
  </si>
  <si>
    <t>Steering Rack</t>
  </si>
  <si>
    <t>Aluminum, Premium</t>
  </si>
  <si>
    <t>Material removal to obtain the External Profile</t>
  </si>
  <si>
    <t xml:space="preserve">Machining </t>
  </si>
  <si>
    <t>2 Lower aluminum clamps for rack mounting on the chassis</t>
  </si>
  <si>
    <t>Aluminum block for lower clamp</t>
  </si>
  <si>
    <t>Material removal to obtain the external profile</t>
  </si>
  <si>
    <t>Connect the rack to the tie rod</t>
  </si>
  <si>
    <t>Remove material from side surface to get profile</t>
  </si>
  <si>
    <t>To drill holes for attaching the tie rod</t>
  </si>
  <si>
    <t>To remove material for the U-shape</t>
  </si>
  <si>
    <t>Stopper to prevent over travel of the rack</t>
  </si>
  <si>
    <t>To cut the tube to remove extra material</t>
  </si>
  <si>
    <t>Rack Bolt</t>
  </si>
  <si>
    <t>Setup change to turn from the other side</t>
  </si>
  <si>
    <t>To setup the billet on milling machine</t>
  </si>
  <si>
    <t>To mill the dome and the hexagonal sides</t>
  </si>
  <si>
    <t>Threading, External (machining)</t>
  </si>
  <si>
    <t>To make threads on the bolt</t>
  </si>
  <si>
    <t>Steering Column Assembly</t>
  </si>
  <si>
    <t>Bevel Casing</t>
  </si>
  <si>
    <t>To house the bevel</t>
  </si>
  <si>
    <t>To manufacture the bevel housing</t>
  </si>
  <si>
    <t>To start machining from the front</t>
  </si>
  <si>
    <t>Bevel Gear</t>
  </si>
  <si>
    <t>Bevel gear for motion transmission</t>
  </si>
  <si>
    <t>Cylindrical Billet</t>
  </si>
  <si>
    <t xml:space="preserve">Machining  </t>
  </si>
  <si>
    <t>Setup change for making the taper</t>
  </si>
  <si>
    <t>To install the workpiece on the hobbing machine</t>
  </si>
  <si>
    <t>Pinion Shaft</t>
  </si>
  <si>
    <t>To manufacture the shaft</t>
  </si>
  <si>
    <t>To install the billet on the lathe</t>
  </si>
  <si>
    <t>To change the setup for milling other suface</t>
  </si>
  <si>
    <t>To drill the hole to fasten to the coupler</t>
  </si>
  <si>
    <t>Hobbing</t>
  </si>
  <si>
    <t xml:space="preserve">Pinion Adapter </t>
  </si>
  <si>
    <t>To setup for machining on other side</t>
  </si>
  <si>
    <t>Tube Cut</t>
  </si>
  <si>
    <t>Steering Wheel Assembly</t>
  </si>
  <si>
    <t>Quick release</t>
  </si>
  <si>
    <t xml:space="preserve">To eject the steering wheel </t>
  </si>
  <si>
    <t>Aluminum, Premium (per kg)</t>
  </si>
  <si>
    <t>Billet for front part</t>
  </si>
  <si>
    <t>Billet for rear part</t>
  </si>
  <si>
    <t>Bearing Ball, Steel</t>
  </si>
  <si>
    <t>Spring, Compression (General)</t>
  </si>
  <si>
    <t>To turn and face, make the groove</t>
  </si>
  <si>
    <t>To drill the central hole</t>
  </si>
  <si>
    <t>To setup on vertical milling machine</t>
  </si>
  <si>
    <t>To change the setup for broaching</t>
  </si>
  <si>
    <t>To make the internal splines</t>
  </si>
  <si>
    <t>To turn and face</t>
  </si>
  <si>
    <t>Drilled hole &lt; 50.8 mm dia.</t>
  </si>
  <si>
    <t>To change the setup for machining the taper and holes</t>
  </si>
  <si>
    <t>To assemble the two parts along with the bearing ball and compression spring</t>
  </si>
  <si>
    <t>To place the circlip in its place</t>
  </si>
  <si>
    <t>Assemble, 1 kg, Interference</t>
  </si>
  <si>
    <t>To press fit the two parts</t>
  </si>
  <si>
    <t>Retaining Ring, Internal</t>
  </si>
  <si>
    <t>To hold the steel balls in place</t>
  </si>
  <si>
    <t>A-Arms Assembly</t>
  </si>
  <si>
    <t>Drilled Holes &lt;25.4 mm</t>
  </si>
  <si>
    <t>Control arm tubes</t>
  </si>
  <si>
    <t>Steel tubes for a arms</t>
  </si>
  <si>
    <t>A-arm tubes</t>
  </si>
  <si>
    <t>Carbon fibre</t>
  </si>
  <si>
    <t>Fillament Winding</t>
  </si>
  <si>
    <t>To lay the fibres on the mandrel</t>
  </si>
  <si>
    <t>To cut the tube in required Dimensions</t>
  </si>
  <si>
    <t xml:space="preserve">cm  </t>
  </si>
  <si>
    <t>Cure, Oven</t>
  </si>
  <si>
    <t>To cure the tube in Oven</t>
  </si>
  <si>
    <t>Aluminium Tool</t>
  </si>
  <si>
    <t>Machining Setup install and remove</t>
  </si>
  <si>
    <t xml:space="preserve">To turn the billet </t>
  </si>
  <si>
    <t>To make the triangular flange</t>
  </si>
  <si>
    <t>Bar to transmit motion from the pinion to the wheels</t>
  </si>
  <si>
    <t>Aluminum rack housing to cover the rack bar and other components</t>
  </si>
  <si>
    <t>To setup the cylindrical billet on lathe</t>
  </si>
  <si>
    <t xml:space="preserve">Broach , Internal </t>
  </si>
  <si>
    <t xml:space="preserve">Material to make coupler </t>
  </si>
  <si>
    <t>To change the setup to turn and face from the other end</t>
  </si>
  <si>
    <t>To install the coupler on an internal broaching machine</t>
  </si>
  <si>
    <t>2 Upper aluminum clamps for  mounting steering rack on the chassis</t>
  </si>
  <si>
    <t>Install the block for drilling from top surface</t>
  </si>
  <si>
    <t xml:space="preserve">To drill the hole for attachment with upper rack clamp through bolt </t>
  </si>
  <si>
    <t>To fix the rectangular billet on milling machine</t>
  </si>
  <si>
    <t>Install the rectangular billet for milling from front surface</t>
  </si>
  <si>
    <t>Aluminum billet for upper clamp</t>
  </si>
  <si>
    <t>Material to make the clevis</t>
  </si>
  <si>
    <t>Install the cylindrical billet on lathe for turning</t>
  </si>
  <si>
    <t>Shaft to connect Bevel gear and steering rack</t>
  </si>
  <si>
    <t>To drill the hole to fasten to the bevel gear</t>
  </si>
  <si>
    <t>To install the rectangular billet on the machine</t>
  </si>
  <si>
    <t xml:space="preserve">To turn and face from one side </t>
  </si>
  <si>
    <t xml:space="preserve">To mill surface to obtain tapered profile </t>
  </si>
  <si>
    <t xml:space="preserve">To make rectangular slot throughout to attach bevel gear with pinion shaft </t>
  </si>
  <si>
    <t>Bevel Casing Mount</t>
  </si>
  <si>
    <t xml:space="preserve">To rigidly mount the bevel casing in its position </t>
  </si>
  <si>
    <t>To manufacture the mount</t>
  </si>
  <si>
    <t xml:space="preserve">To change the setup for drilling holes </t>
  </si>
  <si>
    <t xml:space="preserve">To drill the holes </t>
  </si>
  <si>
    <t xml:space="preserve">Quick Release shaft </t>
  </si>
  <si>
    <t xml:space="preserve">To hold the quick release and steering wheel in position and transmit motion to bevel gear </t>
  </si>
  <si>
    <t xml:space="preserve">To manufacture the shaft </t>
  </si>
  <si>
    <t>To install the cylindrical billet on the machine</t>
  </si>
  <si>
    <t xml:space="preserve">To start turning and facing front front </t>
  </si>
  <si>
    <t>Broaching (External)</t>
  </si>
  <si>
    <t xml:space="preserve">To make spline on shaft to lock the quick release </t>
  </si>
  <si>
    <t xml:space="preserve">To setup the  billet on lathe </t>
  </si>
  <si>
    <t>To fix the billet vertically for milling the U-shape</t>
  </si>
  <si>
    <t>To drill holes for attaching the clevis to the steering rack</t>
  </si>
  <si>
    <t xml:space="preserve">Tie Rod </t>
  </si>
  <si>
    <t xml:space="preserve">To assist the proper steering angle   </t>
  </si>
  <si>
    <t>Hole Length &gt;= 4D</t>
  </si>
  <si>
    <t xml:space="preserve">Rectangular </t>
  </si>
  <si>
    <t>Raw material to Cast rack housing</t>
  </si>
  <si>
    <t>Raw material to make the rack bar</t>
  </si>
  <si>
    <t>Raw material to make pinion gear</t>
  </si>
  <si>
    <t>Raw material to make  pinion adapter</t>
  </si>
  <si>
    <t xml:space="preserve">To drill the hole at centre </t>
  </si>
  <si>
    <t xml:space="preserve">Cylindrical </t>
  </si>
  <si>
    <t xml:space="preserve">To setup cylindrical  billet in lathe </t>
  </si>
  <si>
    <t xml:space="preserve">Steering Assembly </t>
  </si>
  <si>
    <t>cylindrical</t>
  </si>
  <si>
    <t>Threading (External)</t>
  </si>
  <si>
    <t>To make threading in inseert to bone it with CF tube</t>
  </si>
  <si>
    <t xml:space="preserve">Tie Rod Inser </t>
  </si>
  <si>
    <t xml:space="preserve">To bond a arm plate with CF control arms </t>
  </si>
  <si>
    <t>Raw material to make the inserts</t>
  </si>
  <si>
    <t>Raw Material to make the rack stopper</t>
  </si>
  <si>
    <t xml:space="preserve">To tighten the Steering rack </t>
  </si>
  <si>
    <t>Raw material to make the bolt</t>
  </si>
  <si>
    <t xml:space="preserve">Steel, </t>
  </si>
  <si>
    <t>To setup part on milling machine</t>
  </si>
  <si>
    <t xml:space="preserve">To make the rectangular insert </t>
  </si>
  <si>
    <t xml:space="preserve">To make the key for locking of shaft with rack </t>
  </si>
  <si>
    <t xml:space="preserve">Milling the billet to get inner profile </t>
  </si>
  <si>
    <t xml:space="preserve">To obtain the step for bearing seat </t>
  </si>
  <si>
    <t xml:space="preserve">To obtain the outer profile of casing </t>
  </si>
  <si>
    <t xml:space="preserve">To drill the hole to insert bevel into casing </t>
  </si>
  <si>
    <t>To drill the hole for mounting bevel casing to chassis</t>
  </si>
  <si>
    <t>To drill the hole to fasten bevel gear with the shaft</t>
  </si>
  <si>
    <t>To make teeths on the gear</t>
  </si>
  <si>
    <t>To Setup rectangular billet on lathe machine</t>
  </si>
  <si>
    <t>rectangular</t>
  </si>
  <si>
    <t>To install the broach tool and setup fixture</t>
  </si>
  <si>
    <t>To machine rectangular insert  to bolt shaft with bevel gear</t>
  </si>
  <si>
    <t>O clamp</t>
  </si>
  <si>
    <t>To install the rectangular sheet on laser cut machine</t>
  </si>
  <si>
    <t xml:space="preserve">To get required profile of  O clamp </t>
  </si>
  <si>
    <t>O clamp mount</t>
  </si>
  <si>
    <t xml:space="preserve">To rigidly mount steering shaft in its position </t>
  </si>
  <si>
    <t>Steel , Mild</t>
  </si>
  <si>
    <t xml:space="preserve">Steering Wheel </t>
  </si>
  <si>
    <t>Wood , Medium Density Fibreboard</t>
  </si>
  <si>
    <t xml:space="preserve">Raw material to steeering Wheel </t>
  </si>
  <si>
    <t xml:space="preserve">To setup the rectangular block on milling machine </t>
  </si>
  <si>
    <t>Repeat 1</t>
  </si>
  <si>
    <t xml:space="preserve">Milling to obtain the inner area </t>
  </si>
  <si>
    <t>To drill holes for attaching buttons</t>
  </si>
  <si>
    <t>To drill holes for fastening the two parts of steering wheel</t>
  </si>
  <si>
    <t>Wood</t>
  </si>
  <si>
    <t>To obtain the outer profile of steering wheel</t>
  </si>
  <si>
    <t>Setup change for making front part of steering</t>
  </si>
  <si>
    <t>Rectangular</t>
  </si>
  <si>
    <t xml:space="preserve">Steering Wheel lower part </t>
  </si>
  <si>
    <t xml:space="preserve">Raw material to make pedal shifter </t>
  </si>
  <si>
    <t>Plastic , ABS(per kg)</t>
  </si>
  <si>
    <t xml:space="preserve">Rapid Prototype - Plastic </t>
  </si>
  <si>
    <t xml:space="preserve">To print the mount layer by layer </t>
  </si>
  <si>
    <t xml:space="preserve">To mount pedal shifter with steering wheel </t>
  </si>
  <si>
    <t xml:space="preserve">Pedal Shifter mount </t>
  </si>
  <si>
    <t>Pedal Shifter</t>
  </si>
  <si>
    <t xml:space="preserve">To shift the gears in less time </t>
  </si>
  <si>
    <t xml:space="preserve">To print the pedal layer by layer </t>
  </si>
  <si>
    <t xml:space="preserve">To print the nut layer by layer </t>
  </si>
  <si>
    <t xml:space="preserve">Custom nut </t>
  </si>
  <si>
    <t xml:space="preserve">Custom Bolt </t>
  </si>
  <si>
    <t xml:space="preserve">To fasten the shifter rigidly </t>
  </si>
  <si>
    <t xml:space="preserve">Bevel Casing Mount tab </t>
  </si>
  <si>
    <t xml:space="preserve">To rigidly mount the bevel casing in its position with chassis </t>
  </si>
  <si>
    <t xml:space="preserve">Steel , Mild </t>
  </si>
  <si>
    <t>To install the rectangular sheeton laser cut machine</t>
  </si>
  <si>
    <t xml:space="preserve">To get the profile of the tab </t>
  </si>
  <si>
    <t xml:space="preserve">Steel </t>
  </si>
  <si>
    <t xml:space="preserve">Spring </t>
  </si>
  <si>
    <t xml:space="preserve">To actuate the shifter and retract its position </t>
  </si>
  <si>
    <t>Spring , Tension (General)</t>
  </si>
  <si>
    <t>none</t>
  </si>
  <si>
    <t xml:space="preserve">Steering Wheel Sleeve </t>
  </si>
  <si>
    <t xml:space="preserve">To hold bolt in position inside the steering wheel </t>
  </si>
  <si>
    <t>To manufacture the sleeve</t>
  </si>
  <si>
    <t xml:space="preserve">Tube Cut </t>
  </si>
  <si>
    <t xml:space="preserve">To cut the sleeve of desired 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</si>
</sst>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$-409]* #,##0.00_ ;_-[$$-409]* \-#,##0.00\ ;_-[$$-409]* &quot;-&quot;??_ ;_-@_ "/>
    <numFmt numFmtId="167" formatCode="_(* #,##0.000_);_(* \(#,##0.000\);_(* &quot;-&quot;??_);_(@_)"/>
    <numFmt numFmtId="168" formatCode="_(&quot;$&quot;* #,##0.000_);_(&quot;$&quot;* \(#,##0.000\);_(&quot;$&quot;* &quot;-&quot;??_);_(@_)"/>
    <numFmt numFmtId="169" formatCode="0.000"/>
    <numFmt numFmtId="170" formatCode="_(* #,##0.0000_);_(* \(#,##0.0000\);_(* &quot;-&quot;??_);_(@_)"/>
    <numFmt numFmtId="171" formatCode="&quot;$&quot;#,##0.00"/>
    <numFmt numFmtId="172" formatCode="_(* #,##0.00000_);_(* \(#,##0.00000\);_(* &quot;-&quot;??_);_(@_)"/>
    <numFmt numFmtId="173" formatCode="_(* #,##0_);_(* \(#,##0\);_(* &quot;-&quot;??_);_(@_)"/>
    <numFmt numFmtId="174" formatCode="0.0000"/>
    <numFmt numFmtId="175" formatCode="_ * #,##0.0000_ ;_ * \-#,##0.0000_ ;_ * &quot;-&quot;??_ ;_ @_ "/>
    <numFmt numFmtId="176" formatCode="_(* #,##0.0000000_);_(* \(#,##0.0000000\);_(* &quot;-&quot;??_);_(@_)"/>
    <numFmt numFmtId="177" formatCode="[$-409]d/mmm/yy;@"/>
  </numFmts>
  <fonts count="18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MS Sans Serif"/>
      <family val="2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164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0" fillId="0" borderId="0"/>
    <xf numFmtId="164" fontId="3" fillId="0" borderId="0" applyFont="0" applyFill="0" applyBorder="0" applyAlignment="0" applyProtection="0"/>
    <xf numFmtId="171" fontId="13" fillId="0" borderId="4">
      <alignment vertical="center" wrapText="1"/>
    </xf>
    <xf numFmtId="164" fontId="7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14" fillId="3" borderId="6">
      <alignment vertical="center" wrapText="1"/>
    </xf>
    <xf numFmtId="0" fontId="16" fillId="0" borderId="0"/>
    <xf numFmtId="0" fontId="17" fillId="0" borderId="0"/>
    <xf numFmtId="0" fontId="10" fillId="0" borderId="0"/>
    <xf numFmtId="164" fontId="7" fillId="0" borderId="0" applyFont="0" applyFill="0" applyBorder="0" applyAlignment="0" applyProtection="0"/>
    <xf numFmtId="177" fontId="13" fillId="0" borderId="4">
      <alignment vertical="center" wrapText="1"/>
    </xf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</cellStyleXfs>
  <cellXfs count="176"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2" fillId="0" borderId="1" xfId="0" quotePrefix="1" applyFont="1" applyFill="1" applyBorder="1" applyAlignment="1">
      <alignment horizontal="right"/>
    </xf>
    <xf numFmtId="164" fontId="2" fillId="0" borderId="1" xfId="1" applyNumberFormat="1" applyFont="1" applyFill="1" applyBorder="1"/>
    <xf numFmtId="37" fontId="2" fillId="0" borderId="1" xfId="2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1" fillId="0" borderId="0" xfId="0" applyFont="1" applyFill="1" applyBorder="1"/>
    <xf numFmtId="0" fontId="2" fillId="0" borderId="1" xfId="0" applyFont="1" applyFill="1" applyBorder="1" applyAlignment="1" applyProtection="1">
      <alignment vertical="center" wrapText="1"/>
    </xf>
    <xf numFmtId="164" fontId="2" fillId="0" borderId="1" xfId="1" applyFont="1" applyFill="1" applyBorder="1"/>
    <xf numFmtId="165" fontId="2" fillId="0" borderId="1" xfId="2" applyFont="1" applyFill="1" applyBorder="1"/>
    <xf numFmtId="11" fontId="2" fillId="0" borderId="1" xfId="0" applyNumberFormat="1" applyFont="1" applyFill="1" applyBorder="1"/>
    <xf numFmtId="0" fontId="6" fillId="0" borderId="1" xfId="4" applyFont="1" applyFill="1" applyBorder="1" applyAlignment="1">
      <alignment wrapText="1"/>
    </xf>
    <xf numFmtId="0" fontId="2" fillId="0" borderId="1" xfId="0" applyNumberFormat="1" applyFont="1" applyFill="1" applyBorder="1"/>
    <xf numFmtId="0" fontId="2" fillId="0" borderId="0" xfId="0" applyNumberFormat="1" applyFont="1" applyFill="1" applyBorder="1"/>
    <xf numFmtId="39" fontId="2" fillId="0" borderId="1" xfId="1" applyNumberFormat="1" applyFont="1" applyFill="1" applyBorder="1"/>
    <xf numFmtId="37" fontId="2" fillId="0" borderId="1" xfId="1" applyNumberFormat="1" applyFont="1" applyFill="1" applyBorder="1"/>
    <xf numFmtId="0" fontId="2" fillId="0" borderId="0" xfId="0" applyFont="1" applyFill="1" applyBorder="1" applyAlignment="1">
      <alignment horizontal="right"/>
    </xf>
    <xf numFmtId="164" fontId="2" fillId="0" borderId="0" xfId="0" applyNumberFormat="1" applyFont="1" applyFill="1" applyBorder="1"/>
    <xf numFmtId="0" fontId="1" fillId="0" borderId="0" xfId="0" applyFont="1" applyFill="1" applyBorder="1" applyProtection="1">
      <protection hidden="1"/>
    </xf>
    <xf numFmtId="167" fontId="2" fillId="0" borderId="1" xfId="2" applyNumberFormat="1" applyFont="1" applyFill="1" applyBorder="1"/>
    <xf numFmtId="0" fontId="2" fillId="0" borderId="1" xfId="2" applyNumberFormat="1" applyFont="1" applyFill="1" applyBorder="1"/>
    <xf numFmtId="0" fontId="2" fillId="0" borderId="0" xfId="0" applyFont="1" applyFill="1" applyBorder="1" applyProtection="1">
      <protection hidden="1"/>
    </xf>
    <xf numFmtId="165" fontId="2" fillId="0" borderId="1" xfId="2" applyNumberFormat="1" applyFont="1" applyFill="1" applyBorder="1"/>
    <xf numFmtId="0" fontId="9" fillId="0" borderId="1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164" fontId="9" fillId="0" borderId="1" xfId="1" applyFont="1" applyFill="1" applyBorder="1"/>
    <xf numFmtId="0" fontId="9" fillId="0" borderId="1" xfId="0" applyNumberFormat="1" applyFont="1" applyFill="1" applyBorder="1"/>
    <xf numFmtId="2" fontId="9" fillId="0" borderId="1" xfId="0" applyNumberFormat="1" applyFont="1" applyFill="1" applyBorder="1"/>
    <xf numFmtId="0" fontId="9" fillId="0" borderId="0" xfId="0" applyFont="1" applyFill="1" applyBorder="1" applyAlignment="1">
      <alignment horizontal="right"/>
    </xf>
    <xf numFmtId="164" fontId="9" fillId="0" borderId="0" xfId="0" applyNumberFormat="1" applyFont="1" applyFill="1" applyBorder="1"/>
    <xf numFmtId="0" fontId="9" fillId="0" borderId="0" xfId="0" applyFont="1" applyFill="1" applyBorder="1" applyProtection="1">
      <protection hidden="1"/>
    </xf>
    <xf numFmtId="0" fontId="2" fillId="2" borderId="1" xfId="0" applyFont="1" applyFill="1" applyBorder="1"/>
    <xf numFmtId="0" fontId="2" fillId="0" borderId="1" xfId="0" applyNumberFormat="1" applyFont="1" applyFill="1" applyBorder="1" applyAlignment="1">
      <alignment wrapText="1"/>
    </xf>
    <xf numFmtId="43" fontId="2" fillId="0" borderId="1" xfId="0" applyNumberFormat="1" applyFont="1" applyFill="1" applyBorder="1"/>
    <xf numFmtId="165" fontId="2" fillId="0" borderId="1" xfId="0" applyNumberFormat="1" applyFont="1" applyFill="1" applyBorder="1"/>
    <xf numFmtId="0" fontId="2" fillId="0" borderId="5" xfId="0" applyNumberFormat="1" applyFont="1" applyFill="1" applyBorder="1" applyAlignment="1">
      <alignment wrapText="1"/>
    </xf>
    <xf numFmtId="0" fontId="2" fillId="0" borderId="5" xfId="0" applyFont="1" applyFill="1" applyBorder="1"/>
    <xf numFmtId="164" fontId="2" fillId="0" borderId="5" xfId="1" applyFont="1" applyFill="1" applyBorder="1"/>
    <xf numFmtId="0" fontId="6" fillId="0" borderId="5" xfId="4" applyFont="1" applyFill="1" applyBorder="1" applyAlignment="1">
      <alignment wrapText="1"/>
    </xf>
    <xf numFmtId="0" fontId="6" fillId="0" borderId="6" xfId="4" applyFont="1" applyFill="1" applyBorder="1" applyAlignment="1">
      <alignment wrapText="1"/>
    </xf>
    <xf numFmtId="2" fontId="2" fillId="0" borderId="1" xfId="0" applyNumberFormat="1" applyFont="1" applyFill="1" applyBorder="1"/>
    <xf numFmtId="0" fontId="2" fillId="0" borderId="5" xfId="0" quotePrefix="1" applyFont="1" applyFill="1" applyBorder="1" applyAlignment="1">
      <alignment horizontal="right"/>
    </xf>
    <xf numFmtId="164" fontId="2" fillId="0" borderId="5" xfId="1" applyNumberFormat="1" applyFont="1" applyFill="1" applyBorder="1"/>
    <xf numFmtId="37" fontId="2" fillId="0" borderId="5" xfId="2" applyNumberFormat="1" applyFont="1" applyFill="1" applyBorder="1"/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 applyAlignment="1" applyProtection="1">
      <alignment vertical="center" wrapText="1"/>
    </xf>
    <xf numFmtId="165" fontId="2" fillId="0" borderId="5" xfId="2" applyFont="1" applyFill="1" applyBorder="1"/>
    <xf numFmtId="11" fontId="2" fillId="0" borderId="5" xfId="0" applyNumberFormat="1" applyFont="1" applyFill="1" applyBorder="1"/>
    <xf numFmtId="167" fontId="2" fillId="0" borderId="5" xfId="2" applyNumberFormat="1" applyFont="1" applyFill="1" applyBorder="1"/>
    <xf numFmtId="0" fontId="2" fillId="0" borderId="5" xfId="2" applyNumberFormat="1" applyFont="1" applyFill="1" applyBorder="1"/>
    <xf numFmtId="39" fontId="2" fillId="0" borderId="5" xfId="1" applyNumberFormat="1" applyFont="1" applyFill="1" applyBorder="1"/>
    <xf numFmtId="0" fontId="2" fillId="0" borderId="5" xfId="0" applyNumberFormat="1" applyFont="1" applyFill="1" applyBorder="1"/>
    <xf numFmtId="37" fontId="2" fillId="0" borderId="5" xfId="1" applyNumberFormat="1" applyFont="1" applyFill="1" applyBorder="1"/>
    <xf numFmtId="165" fontId="2" fillId="0" borderId="5" xfId="0" applyNumberFormat="1" applyFont="1" applyFill="1" applyBorder="1"/>
    <xf numFmtId="0" fontId="2" fillId="0" borderId="5" xfId="0" applyFont="1" applyFill="1" applyBorder="1" applyAlignment="1"/>
    <xf numFmtId="172" fontId="2" fillId="0" borderId="5" xfId="2" applyNumberFormat="1" applyFont="1" applyFill="1" applyBorder="1"/>
    <xf numFmtId="43" fontId="2" fillId="0" borderId="5" xfId="0" applyNumberFormat="1" applyFont="1" applyFill="1" applyBorder="1"/>
    <xf numFmtId="170" fontId="2" fillId="0" borderId="5" xfId="2" applyNumberFormat="1" applyFont="1" applyFill="1" applyBorder="1"/>
    <xf numFmtId="0" fontId="2" fillId="2" borderId="1" xfId="0" applyFont="1" applyFill="1" applyBorder="1" applyAlignment="1">
      <alignment horizontal="left"/>
    </xf>
    <xf numFmtId="170" fontId="2" fillId="0" borderId="1" xfId="2" applyNumberFormat="1" applyFont="1" applyFill="1" applyBorder="1"/>
    <xf numFmtId="169" fontId="2" fillId="0" borderId="5" xfId="0" applyNumberFormat="1" applyFont="1" applyFill="1" applyBorder="1"/>
    <xf numFmtId="2" fontId="2" fillId="0" borderId="5" xfId="0" applyNumberFormat="1" applyFont="1" applyFill="1" applyBorder="1"/>
    <xf numFmtId="174" fontId="2" fillId="0" borderId="1" xfId="0" applyNumberFormat="1" applyFont="1" applyFill="1" applyBorder="1"/>
    <xf numFmtId="164" fontId="2" fillId="0" borderId="0" xfId="1" applyNumberFormat="1" applyFont="1" applyFill="1" applyBorder="1"/>
    <xf numFmtId="0" fontId="1" fillId="4" borderId="1" xfId="0" applyFont="1" applyFill="1" applyBorder="1"/>
    <xf numFmtId="0" fontId="4" fillId="4" borderId="1" xfId="3" applyFill="1" applyBorder="1"/>
    <xf numFmtId="0" fontId="1" fillId="4" borderId="8" xfId="0" applyFont="1" applyFill="1" applyBorder="1" applyAlignment="1">
      <alignment horizontal="right"/>
    </xf>
    <xf numFmtId="164" fontId="1" fillId="4" borderId="8" xfId="0" applyNumberFormat="1" applyFont="1" applyFill="1" applyBorder="1"/>
    <xf numFmtId="0" fontId="6" fillId="0" borderId="9" xfId="4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/>
    <xf numFmtId="0" fontId="1" fillId="4" borderId="2" xfId="0" applyFont="1" applyFill="1" applyBorder="1" applyAlignment="1">
      <alignment horizontal="left"/>
    </xf>
    <xf numFmtId="168" fontId="1" fillId="4" borderId="1" xfId="0" applyNumberFormat="1" applyFont="1" applyFill="1" applyBorder="1"/>
    <xf numFmtId="0" fontId="2" fillId="0" borderId="7" xfId="0" applyFont="1" applyFill="1" applyBorder="1"/>
    <xf numFmtId="0" fontId="6" fillId="0" borderId="7" xfId="4" applyFont="1" applyFill="1" applyBorder="1" applyAlignment="1">
      <alignment wrapText="1"/>
    </xf>
    <xf numFmtId="0" fontId="2" fillId="0" borderId="7" xfId="0" applyNumberFormat="1" applyFont="1" applyFill="1" applyBorder="1"/>
    <xf numFmtId="164" fontId="2" fillId="0" borderId="7" xfId="1" applyFont="1" applyFill="1" applyBorder="1"/>
    <xf numFmtId="2" fontId="1" fillId="4" borderId="1" xfId="0" applyNumberFormat="1" applyFont="1" applyFill="1" applyBorder="1"/>
    <xf numFmtId="172" fontId="2" fillId="0" borderId="1" xfId="2" applyNumberFormat="1" applyFont="1" applyFill="1" applyBorder="1"/>
    <xf numFmtId="164" fontId="2" fillId="0" borderId="1" xfId="1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/>
    <xf numFmtId="0" fontId="2" fillId="0" borderId="3" xfId="0" applyNumberFormat="1" applyFont="1" applyFill="1" applyBorder="1"/>
    <xf numFmtId="164" fontId="2" fillId="0" borderId="5" xfId="1" applyFont="1" applyFill="1" applyBorder="1" applyAlignment="1">
      <alignment wrapText="1"/>
    </xf>
    <xf numFmtId="0" fontId="2" fillId="0" borderId="5" xfId="0" applyNumberFormat="1" applyFont="1" applyFill="1" applyBorder="1" applyAlignment="1"/>
    <xf numFmtId="0" fontId="1" fillId="4" borderId="5" xfId="0" applyFont="1" applyFill="1" applyBorder="1"/>
    <xf numFmtId="0" fontId="1" fillId="4" borderId="5" xfId="0" applyFont="1" applyFill="1" applyBorder="1" applyAlignment="1">
      <alignment horizontal="right"/>
    </xf>
    <xf numFmtId="164" fontId="1" fillId="4" borderId="5" xfId="0" applyNumberFormat="1" applyFont="1" applyFill="1" applyBorder="1"/>
    <xf numFmtId="166" fontId="1" fillId="4" borderId="5" xfId="0" applyNumberFormat="1" applyFont="1" applyFill="1" applyBorder="1"/>
    <xf numFmtId="0" fontId="4" fillId="4" borderId="5" xfId="3" applyFill="1" applyBorder="1"/>
    <xf numFmtId="165" fontId="2" fillId="2" borderId="5" xfId="2" applyFont="1" applyFill="1" applyBorder="1"/>
    <xf numFmtId="0" fontId="2" fillId="2" borderId="5" xfId="2" applyNumberFormat="1" applyFont="1" applyFill="1" applyBorder="1"/>
    <xf numFmtId="168" fontId="1" fillId="4" borderId="5" xfId="0" applyNumberFormat="1" applyFont="1" applyFill="1" applyBorder="1"/>
    <xf numFmtId="164" fontId="1" fillId="4" borderId="5" xfId="5" applyFont="1" applyFill="1" applyBorder="1"/>
    <xf numFmtId="0" fontId="9" fillId="0" borderId="5" xfId="0" applyFont="1" applyFill="1" applyBorder="1"/>
    <xf numFmtId="0" fontId="8" fillId="4" borderId="2" xfId="0" applyFont="1" applyFill="1" applyBorder="1" applyAlignment="1">
      <alignment horizontal="left"/>
    </xf>
    <xf numFmtId="0" fontId="9" fillId="0" borderId="5" xfId="0" quotePrefix="1" applyFont="1" applyFill="1" applyBorder="1" applyAlignment="1">
      <alignment horizontal="right"/>
    </xf>
    <xf numFmtId="0" fontId="8" fillId="4" borderId="5" xfId="0" applyFont="1" applyFill="1" applyBorder="1"/>
    <xf numFmtId="164" fontId="9" fillId="0" borderId="5" xfId="1" applyNumberFormat="1" applyFont="1" applyFill="1" applyBorder="1"/>
    <xf numFmtId="37" fontId="9" fillId="0" borderId="5" xfId="2" applyNumberFormat="1" applyFont="1" applyFill="1" applyBorder="1"/>
    <xf numFmtId="0" fontId="9" fillId="0" borderId="5" xfId="0" applyFont="1" applyFill="1" applyBorder="1" applyAlignment="1">
      <alignment horizontal="left"/>
    </xf>
    <xf numFmtId="164" fontId="9" fillId="0" borderId="5" xfId="1" applyFont="1" applyFill="1" applyBorder="1"/>
    <xf numFmtId="43" fontId="9" fillId="0" borderId="5" xfId="0" applyNumberFormat="1" applyFont="1" applyFill="1" applyBorder="1"/>
    <xf numFmtId="165" fontId="9" fillId="0" borderId="5" xfId="2" applyFont="1" applyFill="1" applyBorder="1"/>
    <xf numFmtId="170" fontId="9" fillId="0" borderId="5" xfId="2" applyNumberFormat="1" applyFont="1" applyFill="1" applyBorder="1"/>
    <xf numFmtId="0" fontId="9" fillId="0" borderId="5" xfId="2" applyNumberFormat="1" applyFont="1" applyFill="1" applyBorder="1"/>
    <xf numFmtId="0" fontId="8" fillId="4" borderId="5" xfId="0" applyFont="1" applyFill="1" applyBorder="1" applyAlignment="1">
      <alignment horizontal="right"/>
    </xf>
    <xf numFmtId="168" fontId="8" fillId="4" borderId="5" xfId="0" applyNumberFormat="1" applyFont="1" applyFill="1" applyBorder="1"/>
    <xf numFmtId="0" fontId="11" fillId="0" borderId="5" xfId="4" applyFont="1" applyFill="1" applyBorder="1" applyAlignment="1">
      <alignment wrapText="1"/>
    </xf>
    <xf numFmtId="0" fontId="9" fillId="0" borderId="5" xfId="0" applyNumberFormat="1" applyFont="1" applyFill="1" applyBorder="1"/>
    <xf numFmtId="174" fontId="9" fillId="0" borderId="5" xfId="0" applyNumberFormat="1" applyFont="1" applyFill="1" applyBorder="1"/>
    <xf numFmtId="0" fontId="8" fillId="4" borderId="8" xfId="0" applyFont="1" applyFill="1" applyBorder="1" applyAlignment="1">
      <alignment horizontal="right"/>
    </xf>
    <xf numFmtId="164" fontId="8" fillId="4" borderId="5" xfId="0" applyNumberFormat="1" applyFont="1" applyFill="1" applyBorder="1"/>
    <xf numFmtId="164" fontId="9" fillId="0" borderId="0" xfId="1" applyNumberFormat="1" applyFont="1" applyFill="1" applyBorder="1"/>
    <xf numFmtId="39" fontId="9" fillId="0" borderId="5" xfId="1" applyNumberFormat="1" applyFont="1" applyFill="1" applyBorder="1"/>
    <xf numFmtId="37" fontId="9" fillId="0" borderId="5" xfId="1" applyNumberFormat="1" applyFont="1" applyFill="1" applyBorder="1"/>
    <xf numFmtId="0" fontId="3" fillId="0" borderId="6" xfId="4" applyFont="1" applyFill="1" applyBorder="1" applyAlignment="1">
      <alignment wrapText="1"/>
    </xf>
    <xf numFmtId="169" fontId="1" fillId="4" borderId="1" xfId="0" applyNumberFormat="1" applyFont="1" applyFill="1" applyBorder="1"/>
    <xf numFmtId="0" fontId="2" fillId="0" borderId="1" xfId="8" applyFont="1" applyFill="1" applyBorder="1" applyAlignment="1" applyProtection="1">
      <alignment vertical="center" wrapText="1"/>
    </xf>
    <xf numFmtId="175" fontId="2" fillId="0" borderId="1" xfId="0" applyNumberFormat="1" applyFont="1" applyFill="1" applyBorder="1"/>
    <xf numFmtId="1" fontId="9" fillId="0" borderId="1" xfId="0" applyNumberFormat="1" applyFont="1" applyFill="1" applyBorder="1"/>
    <xf numFmtId="0" fontId="1" fillId="4" borderId="10" xfId="0" applyFont="1" applyFill="1" applyBorder="1" applyAlignment="1">
      <alignment horizontal="right"/>
    </xf>
    <xf numFmtId="164" fontId="1" fillId="4" borderId="10" xfId="0" applyNumberFormat="1" applyFont="1" applyFill="1" applyBorder="1"/>
    <xf numFmtId="0" fontId="1" fillId="4" borderId="5" xfId="0" applyNumberFormat="1" applyFont="1" applyFill="1" applyBorder="1"/>
    <xf numFmtId="0" fontId="15" fillId="4" borderId="5" xfId="0" applyFont="1" applyFill="1" applyBorder="1"/>
    <xf numFmtId="18" fontId="9" fillId="0" borderId="5" xfId="15" applyNumberFormat="1" applyFont="1" applyFill="1" applyBorder="1" applyAlignment="1" applyProtection="1">
      <protection locked="0"/>
    </xf>
    <xf numFmtId="0" fontId="2" fillId="0" borderId="5" xfId="16" applyFont="1" applyFill="1" applyBorder="1" applyAlignment="1" applyProtection="1">
      <alignment vertical="center" wrapText="1"/>
    </xf>
    <xf numFmtId="176" fontId="2" fillId="0" borderId="5" xfId="2" applyNumberFormat="1" applyFont="1" applyFill="1" applyBorder="1"/>
    <xf numFmtId="2" fontId="2" fillId="2" borderId="5" xfId="0" applyNumberFormat="1" applyFont="1" applyFill="1" applyBorder="1"/>
    <xf numFmtId="0" fontId="1" fillId="4" borderId="1" xfId="0" applyNumberFormat="1" applyFont="1" applyFill="1" applyBorder="1"/>
    <xf numFmtId="0" fontId="15" fillId="4" borderId="0" xfId="0" applyFont="1" applyFill="1"/>
    <xf numFmtId="18" fontId="9" fillId="0" borderId="1" xfId="15" applyNumberFormat="1" applyFont="1" applyFill="1" applyBorder="1" applyAlignment="1" applyProtection="1">
      <protection locked="0"/>
    </xf>
    <xf numFmtId="0" fontId="2" fillId="0" borderId="1" xfId="16" applyFont="1" applyFill="1" applyBorder="1" applyAlignment="1" applyProtection="1">
      <alignment vertical="center" wrapText="1"/>
    </xf>
    <xf numFmtId="176" fontId="2" fillId="0" borderId="1" xfId="2" applyNumberFormat="1" applyFont="1" applyFill="1" applyBorder="1"/>
    <xf numFmtId="166" fontId="1" fillId="4" borderId="1" xfId="0" applyNumberFormat="1" applyFont="1" applyFill="1" applyBorder="1"/>
    <xf numFmtId="0" fontId="1" fillId="4" borderId="11" xfId="0" applyFont="1" applyFill="1" applyBorder="1" applyAlignment="1">
      <alignment horizontal="right"/>
    </xf>
    <xf numFmtId="164" fontId="1" fillId="4" borderId="11" xfId="0" applyNumberFormat="1" applyFont="1" applyFill="1" applyBorder="1"/>
    <xf numFmtId="0" fontId="2" fillId="2" borderId="5" xfId="0" applyFont="1" applyFill="1" applyBorder="1"/>
    <xf numFmtId="0" fontId="2" fillId="2" borderId="1" xfId="2" applyNumberFormat="1" applyFont="1" applyFill="1" applyBorder="1"/>
    <xf numFmtId="164" fontId="2" fillId="2" borderId="1" xfId="1" applyFont="1" applyFill="1" applyBorder="1"/>
    <xf numFmtId="164" fontId="2" fillId="0" borderId="1" xfId="5" applyFont="1" applyFill="1" applyBorder="1"/>
    <xf numFmtId="0" fontId="15" fillId="4" borderId="1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164" fontId="2" fillId="2" borderId="1" xfId="1" applyNumberFormat="1" applyFont="1" applyFill="1" applyBorder="1"/>
    <xf numFmtId="2" fontId="2" fillId="0" borderId="1" xfId="1" applyNumberFormat="1" applyFont="1" applyFill="1" applyBorder="1"/>
    <xf numFmtId="173" fontId="2" fillId="0" borderId="1" xfId="2" applyNumberFormat="1" applyFont="1" applyFill="1" applyBorder="1"/>
    <xf numFmtId="168" fontId="1" fillId="4" borderId="11" xfId="0" applyNumberFormat="1" applyFont="1" applyFill="1" applyBorder="1"/>
    <xf numFmtId="164" fontId="2" fillId="0" borderId="11" xfId="1" applyFont="1" applyFill="1" applyBorder="1"/>
    <xf numFmtId="164" fontId="2" fillId="0" borderId="1" xfId="17" applyFont="1" applyFill="1" applyBorder="1"/>
    <xf numFmtId="164" fontId="1" fillId="4" borderId="1" xfId="17" applyFont="1" applyFill="1" applyBorder="1"/>
    <xf numFmtId="0" fontId="2" fillId="2" borderId="5" xfId="0" applyNumberFormat="1" applyFont="1" applyFill="1" applyBorder="1"/>
    <xf numFmtId="0" fontId="12" fillId="2" borderId="1" xfId="0" applyFont="1" applyFill="1" applyBorder="1"/>
    <xf numFmtId="0" fontId="9" fillId="2" borderId="5" xfId="0" applyFont="1" applyFill="1" applyBorder="1"/>
    <xf numFmtId="0" fontId="6" fillId="2" borderId="1" xfId="4" applyFont="1" applyFill="1" applyBorder="1" applyAlignment="1">
      <alignment wrapText="1"/>
    </xf>
    <xf numFmtId="37" fontId="2" fillId="2" borderId="5" xfId="2" applyNumberFormat="1" applyFont="1" applyFill="1" applyBorder="1"/>
    <xf numFmtId="0" fontId="9" fillId="2" borderId="1" xfId="0" applyFont="1" applyFill="1" applyBorder="1"/>
    <xf numFmtId="164" fontId="2" fillId="0" borderId="0" xfId="1" applyFont="1" applyFill="1" applyBorder="1"/>
    <xf numFmtId="0" fontId="2" fillId="0" borderId="8" xfId="0" applyFont="1" applyFill="1" applyBorder="1"/>
    <xf numFmtId="0" fontId="6" fillId="2" borderId="5" xfId="4" applyFont="1" applyFill="1" applyBorder="1" applyAlignment="1">
      <alignment wrapText="1"/>
    </xf>
    <xf numFmtId="164" fontId="2" fillId="2" borderId="5" xfId="1" applyFont="1" applyFill="1" applyBorder="1"/>
    <xf numFmtId="0" fontId="2" fillId="2" borderId="0" xfId="0" applyFont="1" applyFill="1" applyBorder="1"/>
    <xf numFmtId="0" fontId="6" fillId="2" borderId="6" xfId="4" applyFont="1" applyFill="1" applyBorder="1" applyAlignment="1">
      <alignment wrapText="1"/>
    </xf>
    <xf numFmtId="0" fontId="2" fillId="2" borderId="5" xfId="0" applyNumberFormat="1" applyFont="1" applyFill="1" applyBorder="1" applyAlignment="1">
      <alignment wrapText="1"/>
    </xf>
    <xf numFmtId="43" fontId="2" fillId="2" borderId="5" xfId="20" applyFont="1" applyFill="1" applyBorder="1"/>
    <xf numFmtId="18" fontId="9" fillId="0" borderId="5" xfId="15" applyNumberFormat="1" applyFont="1" applyFill="1" applyBorder="1" applyAlignment="1" applyProtection="1">
      <alignment wrapText="1"/>
      <protection locked="0"/>
    </xf>
    <xf numFmtId="0" fontId="11" fillId="5" borderId="5" xfId="4" applyFont="1" applyFill="1" applyBorder="1" applyAlignment="1">
      <alignment wrapText="1"/>
    </xf>
    <xf numFmtId="0" fontId="11" fillId="2" borderId="5" xfId="4" applyFont="1" applyFill="1" applyBorder="1" applyAlignment="1">
      <alignment wrapText="1"/>
    </xf>
    <xf numFmtId="0" fontId="2" fillId="2" borderId="8" xfId="0" applyFont="1" applyFill="1" applyBorder="1"/>
    <xf numFmtId="0" fontId="2" fillId="0" borderId="0" xfId="0" applyFont="1" applyFill="1" applyBorder="1" applyAlignment="1">
      <alignment wrapText="1"/>
    </xf>
    <xf numFmtId="0" fontId="17" fillId="0" borderId="0" xfId="15"/>
  </cellXfs>
  <cellStyles count="22">
    <cellStyle name="Comma" xfId="20" builtinId="3"/>
    <cellStyle name="Comma 2 3" xfId="2" xr:uid="{00000000-0005-0000-0000-000001000000}"/>
    <cellStyle name="Comma 4" xfId="12" xr:uid="{00000000-0005-0000-0000-000002000000}"/>
    <cellStyle name="Cost_Red" xfId="13" xr:uid="{00000000-0005-0000-0000-000003000000}"/>
    <cellStyle name="Currency 2" xfId="5" xr:uid="{00000000-0005-0000-0000-000004000000}"/>
    <cellStyle name="Currency 2 2" xfId="1" xr:uid="{00000000-0005-0000-0000-000005000000}"/>
    <cellStyle name="Currency 2 3 2 2" xfId="19" xr:uid="{00000000-0005-0000-0000-000006000000}"/>
    <cellStyle name="Currency 3" xfId="6" xr:uid="{00000000-0005-0000-0000-000007000000}"/>
    <cellStyle name="Currency 3 2" xfId="11" xr:uid="{00000000-0005-0000-0000-000008000000}"/>
    <cellStyle name="Currency 4" xfId="7" xr:uid="{00000000-0005-0000-0000-000009000000}"/>
    <cellStyle name="Currency 4 2" xfId="9" xr:uid="{00000000-0005-0000-0000-00000A000000}"/>
    <cellStyle name="Currency 4 3" xfId="17" xr:uid="{00000000-0005-0000-0000-00000B000000}"/>
    <cellStyle name="Hyperlink" xfId="3" builtinId="8"/>
    <cellStyle name="Normal" xfId="0" builtinId="0"/>
    <cellStyle name="Normal 2 2 2" xfId="14" xr:uid="{00000000-0005-0000-0000-00000E000000}"/>
    <cellStyle name="Normal 2 2 2 2" xfId="15" xr:uid="{00000000-0005-0000-0000-00000F000000}"/>
    <cellStyle name="Normal 2 2 3" xfId="8" xr:uid="{00000000-0005-0000-0000-000010000000}"/>
    <cellStyle name="Normal 2 3" xfId="21" xr:uid="{00000000-0005-0000-0000-000011000000}"/>
    <cellStyle name="Normal 3 3" xfId="16" xr:uid="{00000000-0005-0000-0000-000012000000}"/>
    <cellStyle name="Normal_Sheet1" xfId="4" xr:uid="{00000000-0005-0000-0000-000013000000}"/>
    <cellStyle name="Style 1" xfId="18" xr:uid="{00000000-0005-0000-0000-000014000000}"/>
    <cellStyle name="Style 1 3" xfId="10" xr:uid="{00000000-0005-0000-0000-000015000000}"/>
  </cellStyles>
  <dxfs count="0"/>
  <tableStyles count="0" defaultTableStyle="TableStyleMedium2" defaultPivotStyle="PivotStyleLight16"/>
  <colors>
    <mruColors>
      <color rgb="FFFFFF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54430</xdr:colOff>
      <xdr:row>0</xdr:row>
      <xdr:rowOff>174170</xdr:rowOff>
    </xdr:from>
    <xdr:to>
      <xdr:col>3</xdr:col>
      <xdr:colOff>1</xdr:colOff>
      <xdr:row>6</xdr:row>
      <xdr:rowOff>315765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9CAAA-3A52-4B72-96B8-DE2186C3F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7373" y="174170"/>
          <a:ext cx="2950028" cy="11975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68582</xdr:colOff>
      <xdr:row>0</xdr:row>
      <xdr:rowOff>152401</xdr:rowOff>
    </xdr:from>
    <xdr:to>
      <xdr:col>14</xdr:col>
      <xdr:colOff>320040</xdr:colOff>
      <xdr:row>34</xdr:row>
      <xdr:rowOff>84581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386485-FA1C-4121-BB2A-43A17C148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2" y="152401"/>
          <a:ext cx="8785858" cy="6150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458840</xdr:colOff>
      <xdr:row>0</xdr:row>
      <xdr:rowOff>40967</xdr:rowOff>
    </xdr:from>
    <xdr:to>
      <xdr:col>2</xdr:col>
      <xdr:colOff>2795382</xdr:colOff>
      <xdr:row>7</xdr:row>
      <xdr:rowOff>139290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A48AD-C90F-45EA-B8EA-CE12FC05A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7808" y="40967"/>
          <a:ext cx="2336542" cy="14912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704646</xdr:colOff>
      <xdr:row>1</xdr:row>
      <xdr:rowOff>49161</xdr:rowOff>
    </xdr:from>
    <xdr:to>
      <xdr:col>2</xdr:col>
      <xdr:colOff>2018932</xdr:colOff>
      <xdr:row>7</xdr:row>
      <xdr:rowOff>399752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ECD0C8-8C04-4495-AF59-165EE8CF4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7872" y="221226"/>
          <a:ext cx="1314286" cy="15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205740</xdr:colOff>
      <xdr:row>33</xdr:row>
      <xdr:rowOff>128977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592BD-475C-47E0-8D99-5D924BB5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40140" cy="61640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739139</xdr:colOff>
      <xdr:row>1</xdr:row>
      <xdr:rowOff>7621</xdr:rowOff>
    </xdr:from>
    <xdr:to>
      <xdr:col>2</xdr:col>
      <xdr:colOff>2500882</xdr:colOff>
      <xdr:row>6</xdr:row>
      <xdr:rowOff>274321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01CD78-81AD-476C-88E1-D65078A5E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119" b="1701"/>
        <a:stretch/>
      </xdr:blipFill>
      <xdr:spPr>
        <a:xfrm rot="5400000">
          <a:off x="4435601" y="-122681"/>
          <a:ext cx="1150620" cy="17617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167639</xdr:colOff>
      <xdr:row>33</xdr:row>
      <xdr:rowOff>84137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28B7AF-6CE8-4C24-9DDB-51C64D1A6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02039" cy="611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7">
    <tabColor rgb="FFFF0000"/>
    <pageSetUpPr fitToPage="1"/>
  </sheetPr>
  <dimension ref="A1:Q30"/>
  <sheetViews>
    <sheetView zoomScale="85" zoomScaleNormal="85" workbookViewId="0">
      <selection activeCell="B30" sqref="B30"/>
    </sheetView>
  </sheetViews>
  <sheetFormatPr defaultColWidth="9.109375" defaultRowHeight="13.8" x14ac:dyDescent="0.3"/>
  <cols>
    <col min="1" max="1" width="9.6640625" style="2" customWidth="1"/>
    <col min="2" max="2" width="32.109375" style="2" customWidth="1"/>
    <col min="3" max="3" width="43.777343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5.6640625" style="2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4.66406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N11+I19+J23+I27</f>
        <v>19.978493333333329</v>
      </c>
    </row>
    <row r="2" spans="1:14" x14ac:dyDescent="0.3">
      <c r="A2" s="68" t="s">
        <v>4</v>
      </c>
      <c r="B2" s="1" t="s">
        <v>74</v>
      </c>
      <c r="D2" s="68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1" t="s">
        <v>65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66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19.978493333333329</v>
      </c>
    </row>
    <row r="5" spans="1:14" x14ac:dyDescent="0.3">
      <c r="A5" s="68" t="s">
        <v>13</v>
      </c>
      <c r="B5" s="6"/>
      <c r="J5" s="68" t="s">
        <v>11</v>
      </c>
      <c r="K5" s="1"/>
    </row>
    <row r="6" spans="1:14" x14ac:dyDescent="0.3">
      <c r="A6" s="68" t="s">
        <v>14</v>
      </c>
      <c r="B6" s="1" t="s">
        <v>15</v>
      </c>
    </row>
    <row r="7" spans="1:14" ht="27.6" x14ac:dyDescent="0.3">
      <c r="A7" s="68" t="s">
        <v>16</v>
      </c>
      <c r="B7" s="7" t="s">
        <v>203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58</v>
      </c>
      <c r="C10" s="1" t="s">
        <v>242</v>
      </c>
      <c r="D10" s="10">
        <v>4.2</v>
      </c>
      <c r="E10" s="37">
        <f>J10*K10*L10</f>
        <v>1.0529999999999999</v>
      </c>
      <c r="F10" s="1" t="s">
        <v>32</v>
      </c>
      <c r="G10" s="1"/>
      <c r="H10" s="11"/>
      <c r="I10" s="12" t="s">
        <v>34</v>
      </c>
      <c r="J10" s="63">
        <v>1.2999999999999999E-2</v>
      </c>
      <c r="K10" s="21">
        <v>0.03</v>
      </c>
      <c r="L10" s="11">
        <v>2700</v>
      </c>
      <c r="M10" s="22">
        <v>1</v>
      </c>
      <c r="N10" s="4">
        <f>D10*E10*M10</f>
        <v>4.4226000000000001</v>
      </c>
    </row>
    <row r="11" spans="1:14" s="8" customFormat="1" x14ac:dyDescent="0.3">
      <c r="M11" s="74" t="s">
        <v>30</v>
      </c>
      <c r="N11" s="75">
        <f>SUM(N10:N10)</f>
        <v>4.4226000000000001</v>
      </c>
    </row>
    <row r="13" spans="1:14" s="8" customFormat="1" x14ac:dyDescent="0.3">
      <c r="A13" s="68" t="s">
        <v>17</v>
      </c>
      <c r="B13" s="68" t="s">
        <v>35</v>
      </c>
      <c r="C13" s="68" t="s">
        <v>19</v>
      </c>
      <c r="D13" s="68" t="s">
        <v>20</v>
      </c>
      <c r="E13" s="68" t="s">
        <v>36</v>
      </c>
      <c r="F13" s="68" t="s">
        <v>29</v>
      </c>
      <c r="G13" s="68" t="s">
        <v>37</v>
      </c>
      <c r="H13" s="68" t="s">
        <v>38</v>
      </c>
      <c r="I13" s="68" t="s">
        <v>30</v>
      </c>
    </row>
    <row r="14" spans="1:14" x14ac:dyDescent="0.3">
      <c r="A14" s="78">
        <v>1</v>
      </c>
      <c r="B14" s="79" t="s">
        <v>75</v>
      </c>
      <c r="C14" s="80" t="s">
        <v>76</v>
      </c>
      <c r="D14" s="81">
        <v>4</v>
      </c>
      <c r="E14" s="78" t="s">
        <v>32</v>
      </c>
      <c r="F14" s="78">
        <v>1.56</v>
      </c>
      <c r="G14" s="78" t="s">
        <v>59</v>
      </c>
      <c r="H14" s="78">
        <v>1</v>
      </c>
      <c r="I14" s="81">
        <f>IF('Rack Housing'!$H14&lt;&gt;"",'Rack Housing'!$D14*'Rack Housing'!$F14*'Rack Housing'!$H14,'Rack Housing'!$D14*'Rack Housing'!$F14)</f>
        <v>6.24</v>
      </c>
    </row>
    <row r="15" spans="1:14" x14ac:dyDescent="0.3">
      <c r="A15" s="1">
        <v>2</v>
      </c>
      <c r="B15" s="13" t="s">
        <v>77</v>
      </c>
      <c r="C15" s="14" t="s">
        <v>78</v>
      </c>
      <c r="D15" s="10">
        <v>0.2</v>
      </c>
      <c r="E15" s="1" t="s">
        <v>54</v>
      </c>
      <c r="F15" s="1">
        <v>5.01</v>
      </c>
      <c r="G15" s="1" t="s">
        <v>59</v>
      </c>
      <c r="H15" s="1">
        <v>1</v>
      </c>
      <c r="I15" s="10">
        <f>IF('Rack Housing'!$H15&lt;&gt;"",'Rack Housing'!$D15*'Rack Housing'!$F15*'Rack Housing'!$H15,'Rack Housing'!$D15*'Rack Housing'!$F15)</f>
        <v>1.002</v>
      </c>
    </row>
    <row r="16" spans="1:14" x14ac:dyDescent="0.3">
      <c r="A16" s="1">
        <v>3</v>
      </c>
      <c r="B16" s="13" t="s">
        <v>79</v>
      </c>
      <c r="C16" s="35" t="s">
        <v>80</v>
      </c>
      <c r="D16" s="10">
        <v>0.35</v>
      </c>
      <c r="E16" s="1" t="s">
        <v>61</v>
      </c>
      <c r="F16" s="1">
        <v>4</v>
      </c>
      <c r="G16" s="1" t="s">
        <v>240</v>
      </c>
      <c r="H16" s="1">
        <v>1.5</v>
      </c>
      <c r="I16" s="10">
        <f>IF('Rack Housing'!$H16&lt;&gt;"",'Rack Housing'!$D16*'Rack Housing'!$F16*'Rack Housing'!$H16,'Rack Housing'!$D16*'Rack Housing'!$F16)</f>
        <v>2.0999999999999996</v>
      </c>
    </row>
    <row r="17" spans="1:17" x14ac:dyDescent="0.3">
      <c r="A17" s="1">
        <v>4</v>
      </c>
      <c r="B17" s="13" t="s">
        <v>81</v>
      </c>
      <c r="C17" s="14" t="s">
        <v>82</v>
      </c>
      <c r="D17" s="10">
        <v>0.35</v>
      </c>
      <c r="E17" s="1" t="s">
        <v>61</v>
      </c>
      <c r="F17" s="1">
        <v>3</v>
      </c>
      <c r="G17" s="1" t="s">
        <v>240</v>
      </c>
      <c r="H17" s="1">
        <v>1.5</v>
      </c>
      <c r="I17" s="10">
        <f>IF('Rack Housing'!$H17&lt;&gt;"",'Rack Housing'!$D17*'Rack Housing'!$F17*'Rack Housing'!$H17,'Rack Housing'!$D17*'Rack Housing'!$F17)</f>
        <v>1.5749999999999997</v>
      </c>
    </row>
    <row r="18" spans="1:17" x14ac:dyDescent="0.3">
      <c r="A18" s="1">
        <v>5</v>
      </c>
      <c r="B18" s="13" t="s">
        <v>83</v>
      </c>
      <c r="C18" s="14" t="s">
        <v>84</v>
      </c>
      <c r="D18" s="10">
        <v>0.1</v>
      </c>
      <c r="E18" s="1" t="s">
        <v>40</v>
      </c>
      <c r="F18" s="1">
        <f>2.57*2.54*2</f>
        <v>13.0556</v>
      </c>
      <c r="G18" s="1" t="s">
        <v>59</v>
      </c>
      <c r="H18" s="1">
        <v>1</v>
      </c>
      <c r="I18" s="10">
        <f>IF('Rack Housing'!$H18&lt;&gt;"",'Rack Housing'!$D18*'Rack Housing'!$F18*'Rack Housing'!$H18,'Rack Housing'!$D18*'Rack Housing'!$F18)</f>
        <v>1.3055600000000001</v>
      </c>
    </row>
    <row r="19" spans="1:17" s="8" customFormat="1" x14ac:dyDescent="0.3">
      <c r="H19" s="70" t="s">
        <v>30</v>
      </c>
      <c r="I19" s="71">
        <f>SUM(I14:I18)</f>
        <v>12.222559999999998</v>
      </c>
    </row>
    <row r="21" spans="1:17" s="8" customFormat="1" x14ac:dyDescent="0.3">
      <c r="A21" s="68" t="s">
        <v>17</v>
      </c>
      <c r="B21" s="68" t="s">
        <v>45</v>
      </c>
      <c r="C21" s="68" t="s">
        <v>19</v>
      </c>
      <c r="D21" s="68" t="s">
        <v>20</v>
      </c>
      <c r="E21" s="68" t="s">
        <v>21</v>
      </c>
      <c r="F21" s="68" t="s">
        <v>22</v>
      </c>
      <c r="G21" s="68" t="s">
        <v>23</v>
      </c>
      <c r="H21" s="68" t="s">
        <v>24</v>
      </c>
      <c r="I21" s="68" t="s">
        <v>29</v>
      </c>
      <c r="J21" s="68" t="s">
        <v>30</v>
      </c>
    </row>
    <row r="22" spans="1:17" x14ac:dyDescent="0.3">
      <c r="A22" s="1"/>
      <c r="B22" s="1"/>
      <c r="C22" s="1"/>
      <c r="D22" s="1"/>
      <c r="E22" s="1"/>
      <c r="F22" s="16"/>
      <c r="G22" s="1"/>
      <c r="H22" s="14"/>
      <c r="I22" s="17"/>
      <c r="J22" s="10">
        <f>D22*I22</f>
        <v>0</v>
      </c>
    </row>
    <row r="23" spans="1:17" s="8" customFormat="1" x14ac:dyDescent="0.3">
      <c r="I23" s="74" t="s">
        <v>30</v>
      </c>
      <c r="J23" s="75">
        <f>SUM(J22:J22)</f>
        <v>0</v>
      </c>
    </row>
    <row r="24" spans="1:17" x14ac:dyDescent="0.3">
      <c r="H24" s="18"/>
      <c r="I24" s="19"/>
    </row>
    <row r="25" spans="1:17" s="8" customFormat="1" x14ac:dyDescent="0.3">
      <c r="A25" s="68" t="s">
        <v>17</v>
      </c>
      <c r="B25" s="68" t="s">
        <v>46</v>
      </c>
      <c r="C25" s="68" t="s">
        <v>19</v>
      </c>
      <c r="D25" s="68" t="s">
        <v>20</v>
      </c>
      <c r="E25" s="68" t="s">
        <v>36</v>
      </c>
      <c r="F25" s="68" t="s">
        <v>29</v>
      </c>
      <c r="G25" s="68" t="s">
        <v>47</v>
      </c>
      <c r="H25" s="68" t="s">
        <v>48</v>
      </c>
      <c r="I25" s="68" t="s">
        <v>30</v>
      </c>
    </row>
    <row r="26" spans="1:17" x14ac:dyDescent="0.3">
      <c r="A26" s="34">
        <v>1</v>
      </c>
      <c r="B26" s="157" t="s">
        <v>85</v>
      </c>
      <c r="C26" s="34" t="s">
        <v>86</v>
      </c>
      <c r="D26" s="144">
        <v>10000</v>
      </c>
      <c r="E26" s="34" t="s">
        <v>87</v>
      </c>
      <c r="F26" s="34">
        <v>1</v>
      </c>
      <c r="G26" s="34">
        <v>3000</v>
      </c>
      <c r="H26" s="34">
        <v>1</v>
      </c>
      <c r="I26" s="144">
        <f>IF('Rack Housing'!$G26&lt;&gt;"",(D26*F26)/(G26*H26),"")</f>
        <v>3.3333333333333335</v>
      </c>
    </row>
    <row r="27" spans="1:17" s="8" customFormat="1" x14ac:dyDescent="0.3">
      <c r="H27" s="74" t="s">
        <v>30</v>
      </c>
      <c r="I27" s="82">
        <f>SUM(I26:I26)</f>
        <v>3.3333333333333335</v>
      </c>
    </row>
    <row r="28" spans="1:17" x14ac:dyDescent="0.3">
      <c r="H28" s="18"/>
      <c r="I28" s="19"/>
    </row>
    <row r="30" spans="1:17" x14ac:dyDescent="0.3">
      <c r="Q30" s="23"/>
    </row>
  </sheetData>
  <hyperlinks>
    <hyperlink ref="J3" location="BOM!A1" display="FileLink1" xr:uid="{00000000-0004-0000-2700-000000000000}"/>
  </hyperlinks>
  <pageMargins left="0.5" right="0.5" top="0.75" bottom="0.75" header="0.3" footer="0.3"/>
  <pageSetup scale="6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6">
    <tabColor rgb="FFFFFF00"/>
    <pageSetUpPr fitToPage="1"/>
  </sheetPr>
  <dimension ref="A1:Q30"/>
  <sheetViews>
    <sheetView zoomScaleNormal="100" workbookViewId="0">
      <selection activeCell="G17" sqref="G17"/>
    </sheetView>
  </sheetViews>
  <sheetFormatPr defaultColWidth="8.88671875" defaultRowHeight="13.8" x14ac:dyDescent="0.3"/>
  <cols>
    <col min="1" max="1" width="15" style="2" bestFit="1" customWidth="1"/>
    <col min="2" max="2" width="34.44140625" style="2" customWidth="1"/>
    <col min="3" max="3" width="43.77734375" style="2" bestFit="1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17.77734375" style="2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332031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90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N11+I18+J22+I26</f>
        <v>4.7577811200000006</v>
      </c>
    </row>
    <row r="2" spans="1:14" x14ac:dyDescent="0.3">
      <c r="A2" s="90" t="s">
        <v>4</v>
      </c>
      <c r="B2" s="39" t="s">
        <v>64</v>
      </c>
      <c r="D2" s="90" t="s">
        <v>5</v>
      </c>
      <c r="E2" s="39"/>
      <c r="M2" s="90" t="s">
        <v>6</v>
      </c>
      <c r="N2" s="160">
        <v>2</v>
      </c>
    </row>
    <row r="3" spans="1:14" ht="14.4" x14ac:dyDescent="0.3">
      <c r="A3" s="90" t="s">
        <v>7</v>
      </c>
      <c r="B3" s="39" t="s">
        <v>65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70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9.5155622400000013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ht="27.6" x14ac:dyDescent="0.3">
      <c r="A7" s="90" t="s">
        <v>16</v>
      </c>
      <c r="B7" s="48" t="s">
        <v>129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39" t="s">
        <v>126</v>
      </c>
      <c r="C10" s="48" t="s">
        <v>130</v>
      </c>
      <c r="D10" s="40">
        <v>4.2</v>
      </c>
      <c r="E10" s="57">
        <f>J10*K10*L10</f>
        <v>0.15543360000000001</v>
      </c>
      <c r="F10" s="39" t="s">
        <v>49</v>
      </c>
      <c r="G10" s="39"/>
      <c r="H10" s="50"/>
      <c r="I10" s="51" t="s">
        <v>34</v>
      </c>
      <c r="J10" s="61">
        <v>2.0560000000000001E-3</v>
      </c>
      <c r="K10" s="52">
        <v>2.8000000000000001E-2</v>
      </c>
      <c r="L10" s="95">
        <v>2700</v>
      </c>
      <c r="M10" s="96">
        <v>1</v>
      </c>
      <c r="N10" s="45">
        <f>D10*E10*M10</f>
        <v>0.65282112000000003</v>
      </c>
    </row>
    <row r="11" spans="1:14" s="8" customFormat="1" x14ac:dyDescent="0.3">
      <c r="M11" s="91" t="s">
        <v>30</v>
      </c>
      <c r="N11" s="97">
        <f>SUM(N10:N10)</f>
        <v>0.65282112000000003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ht="27.6" x14ac:dyDescent="0.3">
      <c r="A14" s="39">
        <v>1</v>
      </c>
      <c r="B14" s="55" t="s">
        <v>50</v>
      </c>
      <c r="C14" s="38" t="s">
        <v>213</v>
      </c>
      <c r="D14" s="40">
        <v>1.3</v>
      </c>
      <c r="E14" s="39" t="s">
        <v>44</v>
      </c>
      <c r="F14" s="39">
        <v>1</v>
      </c>
      <c r="G14" s="39" t="s">
        <v>41</v>
      </c>
      <c r="H14" s="39">
        <v>1</v>
      </c>
      <c r="I14" s="40">
        <f>IF('Lower Rack Clamps'!$H14&lt;&gt;"",'Lower Rack Clamps'!$D14*'Lower Rack Clamps'!$F14*'Lower Rack Clamps'!$H14,'Lower Rack Clamps'!$D14*'Lower Rack Clamps'!$F14)</f>
        <v>1.3</v>
      </c>
    </row>
    <row r="15" spans="1:14" ht="12.75" customHeight="1" x14ac:dyDescent="0.3">
      <c r="A15" s="39">
        <v>2</v>
      </c>
      <c r="B15" s="55" t="s">
        <v>62</v>
      </c>
      <c r="C15" s="38" t="s">
        <v>131</v>
      </c>
      <c r="D15" s="40">
        <v>0.04</v>
      </c>
      <c r="E15" s="39" t="s">
        <v>54</v>
      </c>
      <c r="F15" s="65">
        <f>25.568+2.056</f>
        <v>27.624000000000002</v>
      </c>
      <c r="G15" s="39" t="s">
        <v>59</v>
      </c>
      <c r="H15" s="39">
        <v>1</v>
      </c>
      <c r="I15" s="45">
        <f>IF('Lower Rack Clamps'!$H15&lt;&gt;"",'Lower Rack Clamps'!$D15*'Lower Rack Clamps'!$F15*'Lower Rack Clamps'!$H15,'Lower Rack Clamps'!$D15*'Lower Rack Clamps'!$F15)</f>
        <v>1.1049600000000002</v>
      </c>
    </row>
    <row r="16" spans="1:14" ht="12.75" customHeight="1" x14ac:dyDescent="0.3">
      <c r="A16" s="39">
        <v>3</v>
      </c>
      <c r="B16" s="38" t="s">
        <v>91</v>
      </c>
      <c r="C16" s="38" t="s">
        <v>210</v>
      </c>
      <c r="D16" s="40">
        <v>0.65</v>
      </c>
      <c r="E16" s="39" t="s">
        <v>44</v>
      </c>
      <c r="F16" s="39">
        <v>1</v>
      </c>
      <c r="G16" s="39" t="s">
        <v>41</v>
      </c>
      <c r="H16" s="39">
        <v>1</v>
      </c>
      <c r="I16" s="45">
        <f>IF('Lower Rack Clamps'!$H16&lt;&gt;"",'Lower Rack Clamps'!$D16*'Lower Rack Clamps'!$F16*'Lower Rack Clamps'!$H16,'Lower Rack Clamps'!$D16*'Lower Rack Clamps'!$F16)</f>
        <v>0.65</v>
      </c>
    </row>
    <row r="17" spans="1:17" ht="27.6" x14ac:dyDescent="0.3">
      <c r="A17" s="39">
        <v>4</v>
      </c>
      <c r="B17" s="41" t="s">
        <v>79</v>
      </c>
      <c r="C17" s="38" t="s">
        <v>211</v>
      </c>
      <c r="D17" s="40">
        <v>0.35</v>
      </c>
      <c r="E17" s="39" t="s">
        <v>61</v>
      </c>
      <c r="F17" s="65">
        <v>2</v>
      </c>
      <c r="G17" s="58" t="s">
        <v>240</v>
      </c>
      <c r="H17" s="39">
        <v>1.5</v>
      </c>
      <c r="I17" s="45">
        <f>IF('Lower Rack Clamps'!$H17&lt;&gt;"",'Lower Rack Clamps'!$D17*'Lower Rack Clamps'!$F17*'Lower Rack Clamps'!$H17,'Lower Rack Clamps'!$D17*'Lower Rack Clamps'!$F17)</f>
        <v>1.0499999999999998</v>
      </c>
    </row>
    <row r="18" spans="1:17" s="8" customFormat="1" x14ac:dyDescent="0.3">
      <c r="H18" s="91" t="s">
        <v>30</v>
      </c>
      <c r="I18" s="92">
        <f>SUM(I14:I17)</f>
        <v>4.1049600000000002</v>
      </c>
    </row>
    <row r="20" spans="1:17" s="8" customFormat="1" x14ac:dyDescent="0.3">
      <c r="A20" s="90" t="s">
        <v>17</v>
      </c>
      <c r="B20" s="90" t="s">
        <v>45</v>
      </c>
      <c r="C20" s="90" t="s">
        <v>19</v>
      </c>
      <c r="D20" s="90" t="s">
        <v>20</v>
      </c>
      <c r="E20" s="90" t="s">
        <v>21</v>
      </c>
      <c r="F20" s="90" t="s">
        <v>22</v>
      </c>
      <c r="G20" s="90" t="s">
        <v>23</v>
      </c>
      <c r="H20" s="90" t="s">
        <v>24</v>
      </c>
      <c r="I20" s="90" t="s">
        <v>29</v>
      </c>
      <c r="J20" s="90" t="s">
        <v>30</v>
      </c>
    </row>
    <row r="21" spans="1:17" x14ac:dyDescent="0.3">
      <c r="A21" s="39"/>
      <c r="B21" s="39"/>
      <c r="C21" s="39"/>
      <c r="D21" s="39"/>
      <c r="E21" s="39"/>
      <c r="F21" s="54"/>
      <c r="G21" s="39"/>
      <c r="H21" s="55"/>
      <c r="I21" s="56"/>
      <c r="J21" s="40">
        <f>D21*I21</f>
        <v>0</v>
      </c>
    </row>
    <row r="22" spans="1:17" s="8" customFormat="1" x14ac:dyDescent="0.3">
      <c r="I22" s="91" t="s">
        <v>30</v>
      </c>
      <c r="J22" s="92">
        <f>SUM(J21:J21)</f>
        <v>0</v>
      </c>
    </row>
    <row r="23" spans="1:17" x14ac:dyDescent="0.3">
      <c r="H23" s="18"/>
      <c r="I23" s="19"/>
    </row>
    <row r="24" spans="1:17" s="8" customFormat="1" x14ac:dyDescent="0.3">
      <c r="A24" s="90" t="s">
        <v>17</v>
      </c>
      <c r="B24" s="90" t="s">
        <v>46</v>
      </c>
      <c r="C24" s="90" t="s">
        <v>19</v>
      </c>
      <c r="D24" s="90" t="s">
        <v>20</v>
      </c>
      <c r="E24" s="90" t="s">
        <v>36</v>
      </c>
      <c r="F24" s="90" t="s">
        <v>29</v>
      </c>
      <c r="G24" s="90" t="s">
        <v>47</v>
      </c>
      <c r="H24" s="90" t="s">
        <v>48</v>
      </c>
      <c r="I24" s="90" t="s">
        <v>30</v>
      </c>
    </row>
    <row r="25" spans="1:17" x14ac:dyDescent="0.3">
      <c r="A25" s="39"/>
      <c r="B25" s="39"/>
      <c r="C25" s="39"/>
      <c r="D25" s="40"/>
      <c r="E25" s="39"/>
      <c r="F25" s="39"/>
      <c r="G25" s="39"/>
      <c r="H25" s="39"/>
      <c r="I25" s="40">
        <f>IF(G25="",D25*F25,D25*F25/(G25*H25))</f>
        <v>0</v>
      </c>
    </row>
    <row r="26" spans="1:17" s="8" customFormat="1" x14ac:dyDescent="0.3">
      <c r="H26" s="91" t="s">
        <v>30</v>
      </c>
      <c r="I26" s="98">
        <f>SUM(I25:I25)</f>
        <v>0</v>
      </c>
    </row>
    <row r="27" spans="1:17" x14ac:dyDescent="0.3">
      <c r="H27" s="18"/>
      <c r="I27" s="19"/>
    </row>
    <row r="30" spans="1:17" x14ac:dyDescent="0.3">
      <c r="Q30" s="23"/>
    </row>
  </sheetData>
  <hyperlinks>
    <hyperlink ref="J3" location="BOM!A1" display="FileLink1" xr:uid="{00000000-0004-0000-2F00-000000000000}"/>
  </hyperlinks>
  <pageMargins left="0.5" right="0.5" top="0.75" bottom="0.75" header="0.3" footer="0.3"/>
  <pageSetup scale="68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FE39-1E06-419D-B303-7C799EED0527}">
  <sheetPr>
    <tabColor rgb="FFFFFF00"/>
  </sheetPr>
  <dimension ref="A1"/>
  <sheetViews>
    <sheetView workbookViewId="0">
      <selection activeCell="R34" sqref="R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7">
    <tabColor rgb="FFFFFF00"/>
    <pageSetUpPr fitToPage="1"/>
  </sheetPr>
  <dimension ref="A1:Q30"/>
  <sheetViews>
    <sheetView zoomScale="93" zoomScaleNormal="93" workbookViewId="0">
      <selection activeCell="D33" sqref="D33"/>
    </sheetView>
  </sheetViews>
  <sheetFormatPr defaultColWidth="9.109375" defaultRowHeight="13.8" x14ac:dyDescent="0.3"/>
  <cols>
    <col min="1" max="1" width="9.6640625" style="26" customWidth="1"/>
    <col min="2" max="2" width="30.33203125" style="26" customWidth="1"/>
    <col min="3" max="3" width="48" style="26" customWidth="1"/>
    <col min="4" max="4" width="16" style="26" customWidth="1"/>
    <col min="5" max="5" width="14.109375" style="26" bestFit="1" customWidth="1"/>
    <col min="6" max="6" width="12" style="26" bestFit="1" customWidth="1"/>
    <col min="7" max="7" width="17.33203125" style="26" customWidth="1"/>
    <col min="8" max="8" width="13.88671875" style="26" bestFit="1" customWidth="1"/>
    <col min="9" max="9" width="19.88671875" style="26" customWidth="1"/>
    <col min="10" max="10" width="13.88671875" style="26" bestFit="1" customWidth="1"/>
    <col min="11" max="11" width="15.88671875" style="26" customWidth="1"/>
    <col min="12" max="12" width="11.33203125" style="26" bestFit="1" customWidth="1"/>
    <col min="13" max="13" width="13.88671875" style="26" bestFit="1" customWidth="1"/>
    <col min="14" max="14" width="15" style="26" bestFit="1" customWidth="1"/>
    <col min="15" max="15" width="9.109375" style="26"/>
    <col min="16" max="16" width="9.44140625" style="26" bestFit="1" customWidth="1"/>
    <col min="17" max="18" width="9.109375" style="26"/>
    <col min="19" max="19" width="10.44140625" style="26" bestFit="1" customWidth="1"/>
    <col min="20" max="20" width="9.44140625" style="26" bestFit="1" customWidth="1"/>
    <col min="21" max="21" width="9.109375" style="26"/>
    <col min="22" max="22" width="9.44140625" style="26" bestFit="1" customWidth="1"/>
    <col min="23" max="23" width="9.109375" style="26"/>
    <col min="24" max="25" width="10.109375" style="26" bestFit="1" customWidth="1"/>
    <col min="26" max="28" width="9.33203125" style="26" bestFit="1" customWidth="1"/>
    <col min="29" max="16384" width="9.109375" style="26"/>
  </cols>
  <sheetData>
    <row r="1" spans="1:14" x14ac:dyDescent="0.3">
      <c r="A1" s="90" t="s">
        <v>0</v>
      </c>
      <c r="B1" s="99" t="s">
        <v>1</v>
      </c>
      <c r="J1" s="100" t="s">
        <v>2</v>
      </c>
      <c r="K1" s="101">
        <v>254</v>
      </c>
      <c r="M1" s="102" t="s">
        <v>3</v>
      </c>
      <c r="N1" s="103">
        <f>N11+I20+J24+I28</f>
        <v>3.8532439999999997</v>
      </c>
    </row>
    <row r="2" spans="1:14" x14ac:dyDescent="0.3">
      <c r="A2" s="102" t="s">
        <v>4</v>
      </c>
      <c r="B2" s="99" t="s">
        <v>64</v>
      </c>
      <c r="D2" s="102" t="s">
        <v>5</v>
      </c>
      <c r="E2" s="99"/>
      <c r="M2" s="102" t="s">
        <v>6</v>
      </c>
      <c r="N2" s="104">
        <v>2</v>
      </c>
    </row>
    <row r="3" spans="1:14" ht="14.4" x14ac:dyDescent="0.3">
      <c r="A3" s="102" t="s">
        <v>7</v>
      </c>
      <c r="B3" s="39" t="s">
        <v>65</v>
      </c>
      <c r="D3" s="102" t="s">
        <v>8</v>
      </c>
      <c r="E3" s="99"/>
      <c r="J3" s="94" t="s">
        <v>5</v>
      </c>
      <c r="K3" s="99" t="s">
        <v>52</v>
      </c>
    </row>
    <row r="4" spans="1:14" x14ac:dyDescent="0.3">
      <c r="A4" s="102" t="s">
        <v>10</v>
      </c>
      <c r="B4" s="105" t="s">
        <v>72</v>
      </c>
      <c r="D4" s="102" t="s">
        <v>11</v>
      </c>
      <c r="E4" s="99"/>
      <c r="J4" s="102" t="s">
        <v>8</v>
      </c>
      <c r="K4" s="99"/>
      <c r="M4" s="102" t="s">
        <v>12</v>
      </c>
      <c r="N4" s="103">
        <f>N1*N2</f>
        <v>7.7064879999999993</v>
      </c>
    </row>
    <row r="5" spans="1:14" x14ac:dyDescent="0.3">
      <c r="A5" s="102" t="s">
        <v>13</v>
      </c>
      <c r="B5" s="47"/>
      <c r="J5" s="102" t="s">
        <v>11</v>
      </c>
      <c r="K5" s="99"/>
    </row>
    <row r="6" spans="1:14" x14ac:dyDescent="0.3">
      <c r="A6" s="102" t="s">
        <v>14</v>
      </c>
      <c r="B6" s="99" t="s">
        <v>15</v>
      </c>
    </row>
    <row r="7" spans="1:14" x14ac:dyDescent="0.3">
      <c r="A7" s="102" t="s">
        <v>16</v>
      </c>
      <c r="B7" s="99" t="s">
        <v>132</v>
      </c>
    </row>
    <row r="9" spans="1:14" s="27" customFormat="1" x14ac:dyDescent="0.3">
      <c r="A9" s="102" t="s">
        <v>17</v>
      </c>
      <c r="B9" s="102" t="s">
        <v>18</v>
      </c>
      <c r="C9" s="102" t="s">
        <v>19</v>
      </c>
      <c r="D9" s="102" t="s">
        <v>20</v>
      </c>
      <c r="E9" s="102" t="s">
        <v>21</v>
      </c>
      <c r="F9" s="102" t="s">
        <v>22</v>
      </c>
      <c r="G9" s="102" t="s">
        <v>23</v>
      </c>
      <c r="H9" s="102" t="s">
        <v>24</v>
      </c>
      <c r="I9" s="102" t="s">
        <v>25</v>
      </c>
      <c r="J9" s="102" t="s">
        <v>26</v>
      </c>
      <c r="K9" s="102" t="s">
        <v>27</v>
      </c>
      <c r="L9" s="102" t="s">
        <v>28</v>
      </c>
      <c r="M9" s="102" t="s">
        <v>29</v>
      </c>
      <c r="N9" s="102" t="s">
        <v>30</v>
      </c>
    </row>
    <row r="10" spans="1:14" x14ac:dyDescent="0.3">
      <c r="A10" s="99">
        <v>1</v>
      </c>
      <c r="B10" s="99" t="s">
        <v>58</v>
      </c>
      <c r="C10" s="99" t="s">
        <v>215</v>
      </c>
      <c r="D10" s="106">
        <v>4.2</v>
      </c>
      <c r="E10" s="107">
        <f>J10*K10*L10</f>
        <v>2.4300000000000002E-2</v>
      </c>
      <c r="F10" s="99" t="s">
        <v>49</v>
      </c>
      <c r="G10" s="99"/>
      <c r="H10" s="108"/>
      <c r="I10" s="51" t="s">
        <v>34</v>
      </c>
      <c r="J10" s="109">
        <f>750/1000000</f>
        <v>7.5000000000000002E-4</v>
      </c>
      <c r="K10" s="108">
        <v>1.2E-2</v>
      </c>
      <c r="L10" s="108">
        <v>2700</v>
      </c>
      <c r="M10" s="110">
        <v>1</v>
      </c>
      <c r="N10" s="103">
        <f>E10*D10</f>
        <v>0.10206000000000001</v>
      </c>
    </row>
    <row r="11" spans="1:14" s="27" customFormat="1" x14ac:dyDescent="0.3">
      <c r="M11" s="111" t="s">
        <v>30</v>
      </c>
      <c r="N11" s="112">
        <f>SUM(N10:N10)</f>
        <v>0.10206000000000001</v>
      </c>
    </row>
    <row r="13" spans="1:14" s="27" customFormat="1" x14ac:dyDescent="0.3">
      <c r="A13" s="102" t="s">
        <v>17</v>
      </c>
      <c r="B13" s="102" t="s">
        <v>35</v>
      </c>
      <c r="C13" s="102" t="s">
        <v>19</v>
      </c>
      <c r="D13" s="102" t="s">
        <v>20</v>
      </c>
      <c r="E13" s="102" t="s">
        <v>36</v>
      </c>
      <c r="F13" s="102" t="s">
        <v>29</v>
      </c>
      <c r="G13" s="102" t="s">
        <v>37</v>
      </c>
      <c r="H13" s="102" t="s">
        <v>38</v>
      </c>
      <c r="I13" s="102" t="s">
        <v>30</v>
      </c>
    </row>
    <row r="14" spans="1:14" x14ac:dyDescent="0.3">
      <c r="A14" s="99">
        <v>1</v>
      </c>
      <c r="B14" s="113" t="s">
        <v>50</v>
      </c>
      <c r="C14" s="114" t="s">
        <v>212</v>
      </c>
      <c r="D14" s="106">
        <v>1.3</v>
      </c>
      <c r="E14" s="99" t="s">
        <v>44</v>
      </c>
      <c r="F14" s="99">
        <v>1</v>
      </c>
      <c r="G14" s="158" t="s">
        <v>41</v>
      </c>
      <c r="H14" s="99">
        <v>1</v>
      </c>
      <c r="I14" s="106">
        <f>IF(Clevis!$H14&lt;&gt;"",Clevis!$D14*Clevis!$F14*Clevis!$H14,Clevis!$D14*Clevis!$F14)</f>
        <v>1.3</v>
      </c>
    </row>
    <row r="15" spans="1:14" x14ac:dyDescent="0.3">
      <c r="A15" s="99">
        <v>2</v>
      </c>
      <c r="B15" s="113" t="s">
        <v>62</v>
      </c>
      <c r="C15" s="114" t="s">
        <v>133</v>
      </c>
      <c r="D15" s="106">
        <v>0.04</v>
      </c>
      <c r="E15" s="99" t="s">
        <v>54</v>
      </c>
      <c r="F15" s="115">
        <f>(9000-7613.72)/1000</f>
        <v>1.3862799999999997</v>
      </c>
      <c r="G15" s="99" t="s">
        <v>59</v>
      </c>
      <c r="H15" s="99">
        <v>1</v>
      </c>
      <c r="I15" s="103">
        <f>IF(Clevis!$H15&lt;&gt;"",Clevis!$D15*Clevis!$F15*Clevis!$H15,Clevis!$D15*Clevis!$F15)</f>
        <v>5.5451199999999992E-2</v>
      </c>
    </row>
    <row r="16" spans="1:14" x14ac:dyDescent="0.3">
      <c r="A16" s="99">
        <v>3</v>
      </c>
      <c r="B16" s="171" t="s">
        <v>79</v>
      </c>
      <c r="C16" s="114" t="s">
        <v>134</v>
      </c>
      <c r="D16" s="106">
        <v>0.35</v>
      </c>
      <c r="E16" s="99" t="s">
        <v>61</v>
      </c>
      <c r="F16" s="99">
        <v>2</v>
      </c>
      <c r="G16" s="1" t="s">
        <v>240</v>
      </c>
      <c r="H16" s="99">
        <v>1.5</v>
      </c>
      <c r="I16" s="103">
        <f>IF(Clevis!$H16&lt;&gt;"",Clevis!$D16*Clevis!$F16*Clevis!$H16,Clevis!$D16*Clevis!$F16)</f>
        <v>1.0499999999999998</v>
      </c>
    </row>
    <row r="17" spans="1:17" x14ac:dyDescent="0.3">
      <c r="A17" s="99">
        <v>4</v>
      </c>
      <c r="B17" s="114" t="s">
        <v>91</v>
      </c>
      <c r="C17" s="114" t="s">
        <v>236</v>
      </c>
      <c r="D17" s="106">
        <v>0.65</v>
      </c>
      <c r="E17" s="99" t="s">
        <v>44</v>
      </c>
      <c r="F17" s="99">
        <v>1</v>
      </c>
      <c r="G17" s="158" t="s">
        <v>41</v>
      </c>
      <c r="H17" s="99">
        <v>1</v>
      </c>
      <c r="I17" s="103">
        <f>IF(Clevis!$H17&lt;&gt;"",Clevis!$D17*Clevis!$F17*Clevis!$H17,Clevis!$D17*Clevis!$F17)</f>
        <v>0.65</v>
      </c>
    </row>
    <row r="18" spans="1:17" x14ac:dyDescent="0.3">
      <c r="A18" s="99">
        <v>5</v>
      </c>
      <c r="B18" s="113" t="s">
        <v>62</v>
      </c>
      <c r="C18" s="114" t="s">
        <v>135</v>
      </c>
      <c r="D18" s="106">
        <v>0.04</v>
      </c>
      <c r="E18" s="99" t="s">
        <v>54</v>
      </c>
      <c r="F18" s="115">
        <f>(8613.72-4345.4)/1000</f>
        <v>4.2683200000000001</v>
      </c>
      <c r="G18" s="99" t="s">
        <v>59</v>
      </c>
      <c r="H18" s="99">
        <v>1</v>
      </c>
      <c r="I18" s="103">
        <f>IF(Clevis!$H18&lt;&gt;"",Clevis!$D18*Clevis!$F18*Clevis!$H18,Clevis!$D18*Clevis!$F18)</f>
        <v>0.17073280000000002</v>
      </c>
    </row>
    <row r="19" spans="1:17" x14ac:dyDescent="0.3">
      <c r="A19" s="99">
        <v>6</v>
      </c>
      <c r="B19" s="113" t="s">
        <v>79</v>
      </c>
      <c r="C19" s="114" t="s">
        <v>237</v>
      </c>
      <c r="D19" s="106">
        <v>0.35</v>
      </c>
      <c r="E19" s="99" t="s">
        <v>61</v>
      </c>
      <c r="F19" s="99">
        <v>1</v>
      </c>
      <c r="G19" s="1" t="s">
        <v>240</v>
      </c>
      <c r="H19" s="99">
        <v>1.5</v>
      </c>
      <c r="I19" s="103">
        <f>IF(Clevis!$H19&lt;&gt;"",Clevis!$D19*Clevis!$F19*Clevis!$H19,Clevis!$D19*Clevis!$F19)</f>
        <v>0.52499999999999991</v>
      </c>
    </row>
    <row r="20" spans="1:17" s="27" customFormat="1" x14ac:dyDescent="0.3">
      <c r="H20" s="116" t="s">
        <v>30</v>
      </c>
      <c r="I20" s="117">
        <f>SUM(I14:I19)</f>
        <v>3.7511839999999999</v>
      </c>
      <c r="J20" s="118"/>
    </row>
    <row r="22" spans="1:17" s="27" customFormat="1" x14ac:dyDescent="0.3">
      <c r="A22" s="102" t="s">
        <v>17</v>
      </c>
      <c r="B22" s="102" t="s">
        <v>45</v>
      </c>
      <c r="C22" s="102" t="s">
        <v>19</v>
      </c>
      <c r="D22" s="102" t="s">
        <v>20</v>
      </c>
      <c r="E22" s="102" t="s">
        <v>21</v>
      </c>
      <c r="F22" s="102" t="s">
        <v>22</v>
      </c>
      <c r="G22" s="102" t="s">
        <v>23</v>
      </c>
      <c r="H22" s="102" t="s">
        <v>24</v>
      </c>
      <c r="I22" s="102" t="s">
        <v>29</v>
      </c>
      <c r="J22" s="102" t="s">
        <v>30</v>
      </c>
    </row>
    <row r="23" spans="1:17" x14ac:dyDescent="0.3">
      <c r="A23" s="99"/>
      <c r="B23" s="99"/>
      <c r="C23" s="99"/>
      <c r="D23" s="99"/>
      <c r="E23" s="99"/>
      <c r="F23" s="119"/>
      <c r="G23" s="99"/>
      <c r="H23" s="114"/>
      <c r="I23" s="120"/>
      <c r="J23" s="106">
        <f>D23*I23</f>
        <v>0</v>
      </c>
    </row>
    <row r="24" spans="1:17" s="27" customFormat="1" x14ac:dyDescent="0.3">
      <c r="I24" s="111" t="s">
        <v>30</v>
      </c>
      <c r="J24" s="117">
        <f>SUM(J23:J23)</f>
        <v>0</v>
      </c>
    </row>
    <row r="25" spans="1:17" x14ac:dyDescent="0.3">
      <c r="H25" s="31"/>
      <c r="I25" s="32"/>
    </row>
    <row r="26" spans="1:17" s="27" customFormat="1" x14ac:dyDescent="0.3">
      <c r="A26" s="102" t="s">
        <v>17</v>
      </c>
      <c r="B26" s="102" t="s">
        <v>46</v>
      </c>
      <c r="C26" s="102" t="s">
        <v>19</v>
      </c>
      <c r="D26" s="102" t="s">
        <v>20</v>
      </c>
      <c r="E26" s="102" t="s">
        <v>36</v>
      </c>
      <c r="F26" s="102" t="s">
        <v>29</v>
      </c>
      <c r="G26" s="102" t="s">
        <v>47</v>
      </c>
      <c r="H26" s="102" t="s">
        <v>48</v>
      </c>
      <c r="I26" s="102" t="s">
        <v>30</v>
      </c>
    </row>
    <row r="27" spans="1:17" x14ac:dyDescent="0.3">
      <c r="A27" s="99"/>
      <c r="B27" s="99"/>
      <c r="C27" s="99"/>
      <c r="D27" s="106"/>
      <c r="E27" s="99"/>
      <c r="F27" s="99"/>
      <c r="G27" s="99"/>
      <c r="H27" s="99"/>
      <c r="I27" s="106">
        <f>D27*F27</f>
        <v>0</v>
      </c>
    </row>
    <row r="28" spans="1:17" s="27" customFormat="1" x14ac:dyDescent="0.3">
      <c r="H28" s="111" t="s">
        <v>30</v>
      </c>
      <c r="I28" s="117">
        <f>SUM(I27)</f>
        <v>0</v>
      </c>
    </row>
    <row r="29" spans="1:17" x14ac:dyDescent="0.3">
      <c r="H29" s="31"/>
      <c r="I29" s="32"/>
    </row>
    <row r="30" spans="1:17" x14ac:dyDescent="0.3">
      <c r="Q30" s="33"/>
    </row>
  </sheetData>
  <hyperlinks>
    <hyperlink ref="J3" location="BOM!A1" display="FileLink1" xr:uid="{00000000-0004-0000-3000-000000000000}"/>
  </hyperlinks>
  <pageMargins left="0.5" right="0.5" top="0.75" bottom="0.75" header="0.3" footer="0.3"/>
  <pageSetup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6637-1402-4DC6-81CF-3C3B39048776}">
  <sheetPr>
    <tabColor rgb="FFFFFF00"/>
  </sheetPr>
  <dimension ref="A1:Q30"/>
  <sheetViews>
    <sheetView workbookViewId="0">
      <selection activeCell="G19" sqref="G19"/>
    </sheetView>
  </sheetViews>
  <sheetFormatPr defaultColWidth="9.109375" defaultRowHeight="13.8" x14ac:dyDescent="0.3"/>
  <cols>
    <col min="1" max="1" width="9.6640625" style="26" customWidth="1"/>
    <col min="2" max="2" width="30.33203125" style="26" customWidth="1"/>
    <col min="3" max="3" width="48" style="26" customWidth="1"/>
    <col min="4" max="4" width="16" style="26" customWidth="1"/>
    <col min="5" max="5" width="14.109375" style="26" bestFit="1" customWidth="1"/>
    <col min="6" max="6" width="12" style="26" bestFit="1" customWidth="1"/>
    <col min="7" max="7" width="17.33203125" style="26" customWidth="1"/>
    <col min="8" max="8" width="13.88671875" style="26" bestFit="1" customWidth="1"/>
    <col min="9" max="9" width="19.88671875" style="26" customWidth="1"/>
    <col min="10" max="10" width="13.88671875" style="26" bestFit="1" customWidth="1"/>
    <col min="11" max="11" width="15.88671875" style="26" customWidth="1"/>
    <col min="12" max="12" width="11.33203125" style="26" bestFit="1" customWidth="1"/>
    <col min="13" max="13" width="13.88671875" style="26" bestFit="1" customWidth="1"/>
    <col min="14" max="14" width="15" style="26" bestFit="1" customWidth="1"/>
    <col min="15" max="15" width="9.109375" style="26"/>
    <col min="16" max="16" width="9.44140625" style="26" bestFit="1" customWidth="1"/>
    <col min="17" max="18" width="9.109375" style="26"/>
    <col min="19" max="19" width="10.44140625" style="26" bestFit="1" customWidth="1"/>
    <col min="20" max="20" width="9.44140625" style="26" bestFit="1" customWidth="1"/>
    <col min="21" max="21" width="9.109375" style="26"/>
    <col min="22" max="22" width="9.44140625" style="26" bestFit="1" customWidth="1"/>
    <col min="23" max="23" width="9.109375" style="26"/>
    <col min="24" max="25" width="10.109375" style="26" bestFit="1" customWidth="1"/>
    <col min="26" max="28" width="9.33203125" style="26" bestFit="1" customWidth="1"/>
    <col min="29" max="16384" width="9.109375" style="26"/>
  </cols>
  <sheetData>
    <row r="1" spans="1:14" x14ac:dyDescent="0.3">
      <c r="A1" s="90" t="s">
        <v>0</v>
      </c>
      <c r="B1" s="99" t="s">
        <v>1</v>
      </c>
      <c r="J1" s="100" t="s">
        <v>2</v>
      </c>
      <c r="K1" s="101">
        <v>254</v>
      </c>
      <c r="M1" s="102" t="s">
        <v>3</v>
      </c>
      <c r="N1" s="103">
        <f>N11+I20+J24+I28</f>
        <v>3.8532439999999997</v>
      </c>
    </row>
    <row r="2" spans="1:14" x14ac:dyDescent="0.3">
      <c r="A2" s="102" t="s">
        <v>4</v>
      </c>
      <c r="B2" s="99" t="s">
        <v>64</v>
      </c>
      <c r="D2" s="102" t="s">
        <v>5</v>
      </c>
      <c r="E2" s="99"/>
      <c r="M2" s="102" t="s">
        <v>6</v>
      </c>
      <c r="N2" s="104">
        <v>2</v>
      </c>
    </row>
    <row r="3" spans="1:14" ht="14.4" x14ac:dyDescent="0.3">
      <c r="A3" s="102" t="s">
        <v>7</v>
      </c>
      <c r="B3" s="39" t="s">
        <v>65</v>
      </c>
      <c r="D3" s="102" t="s">
        <v>8</v>
      </c>
      <c r="E3" s="99"/>
      <c r="J3" s="94" t="s">
        <v>5</v>
      </c>
      <c r="K3" s="99" t="s">
        <v>52</v>
      </c>
    </row>
    <row r="4" spans="1:14" x14ac:dyDescent="0.3">
      <c r="A4" s="102" t="s">
        <v>10</v>
      </c>
      <c r="B4" s="105" t="s">
        <v>238</v>
      </c>
      <c r="D4" s="102" t="s">
        <v>11</v>
      </c>
      <c r="E4" s="99"/>
      <c r="J4" s="102" t="s">
        <v>8</v>
      </c>
      <c r="K4" s="99"/>
      <c r="M4" s="102" t="s">
        <v>12</v>
      </c>
      <c r="N4" s="103">
        <f>N1*N2</f>
        <v>7.7064879999999993</v>
      </c>
    </row>
    <row r="5" spans="1:14" x14ac:dyDescent="0.3">
      <c r="A5" s="102" t="s">
        <v>13</v>
      </c>
      <c r="B5" s="47"/>
      <c r="J5" s="102" t="s">
        <v>11</v>
      </c>
      <c r="K5" s="99"/>
    </row>
    <row r="6" spans="1:14" x14ac:dyDescent="0.3">
      <c r="A6" s="102" t="s">
        <v>14</v>
      </c>
      <c r="B6" s="99" t="s">
        <v>15</v>
      </c>
    </row>
    <row r="7" spans="1:14" x14ac:dyDescent="0.3">
      <c r="A7" s="102" t="s">
        <v>16</v>
      </c>
      <c r="B7" s="99" t="s">
        <v>239</v>
      </c>
    </row>
    <row r="9" spans="1:14" s="27" customFormat="1" x14ac:dyDescent="0.3">
      <c r="A9" s="102" t="s">
        <v>17</v>
      </c>
      <c r="B9" s="102" t="s">
        <v>18</v>
      </c>
      <c r="C9" s="102" t="s">
        <v>19</v>
      </c>
      <c r="D9" s="102" t="s">
        <v>20</v>
      </c>
      <c r="E9" s="102" t="s">
        <v>21</v>
      </c>
      <c r="F9" s="102" t="s">
        <v>22</v>
      </c>
      <c r="G9" s="102" t="s">
        <v>23</v>
      </c>
      <c r="H9" s="102" t="s">
        <v>24</v>
      </c>
      <c r="I9" s="102" t="s">
        <v>25</v>
      </c>
      <c r="J9" s="102" t="s">
        <v>26</v>
      </c>
      <c r="K9" s="102" t="s">
        <v>27</v>
      </c>
      <c r="L9" s="102" t="s">
        <v>28</v>
      </c>
      <c r="M9" s="102" t="s">
        <v>29</v>
      </c>
      <c r="N9" s="102" t="s">
        <v>30</v>
      </c>
    </row>
    <row r="10" spans="1:14" x14ac:dyDescent="0.3">
      <c r="A10" s="99">
        <v>1</v>
      </c>
      <c r="B10" s="99" t="s">
        <v>58</v>
      </c>
      <c r="C10" s="99" t="s">
        <v>215</v>
      </c>
      <c r="D10" s="106">
        <v>4.2</v>
      </c>
      <c r="E10" s="107">
        <f>J10*K10*L10</f>
        <v>2.4300000000000002E-2</v>
      </c>
      <c r="F10" s="99" t="s">
        <v>49</v>
      </c>
      <c r="G10" s="99"/>
      <c r="H10" s="108"/>
      <c r="I10" s="51" t="s">
        <v>34</v>
      </c>
      <c r="J10" s="109">
        <f>750/1000000</f>
        <v>7.5000000000000002E-4</v>
      </c>
      <c r="K10" s="108">
        <v>1.2E-2</v>
      </c>
      <c r="L10" s="108">
        <v>2700</v>
      </c>
      <c r="M10" s="110">
        <v>1</v>
      </c>
      <c r="N10" s="103">
        <f>E10*D10</f>
        <v>0.10206000000000001</v>
      </c>
    </row>
    <row r="11" spans="1:14" s="27" customFormat="1" x14ac:dyDescent="0.3">
      <c r="M11" s="111" t="s">
        <v>30</v>
      </c>
      <c r="N11" s="112">
        <f>SUM(N10:N10)</f>
        <v>0.10206000000000001</v>
      </c>
    </row>
    <row r="13" spans="1:14" s="27" customFormat="1" x14ac:dyDescent="0.3">
      <c r="A13" s="102" t="s">
        <v>17</v>
      </c>
      <c r="B13" s="102" t="s">
        <v>35</v>
      </c>
      <c r="C13" s="102" t="s">
        <v>19</v>
      </c>
      <c r="D13" s="102" t="s">
        <v>20</v>
      </c>
      <c r="E13" s="102" t="s">
        <v>36</v>
      </c>
      <c r="F13" s="102" t="s">
        <v>29</v>
      </c>
      <c r="G13" s="102" t="s">
        <v>37</v>
      </c>
      <c r="H13" s="102" t="s">
        <v>38</v>
      </c>
      <c r="I13" s="102" t="s">
        <v>30</v>
      </c>
    </row>
    <row r="14" spans="1:14" x14ac:dyDescent="0.3">
      <c r="A14" s="99">
        <v>1</v>
      </c>
      <c r="B14" s="113" t="s">
        <v>50</v>
      </c>
      <c r="C14" s="114" t="s">
        <v>212</v>
      </c>
      <c r="D14" s="106">
        <v>1.3</v>
      </c>
      <c r="E14" s="99" t="s">
        <v>44</v>
      </c>
      <c r="F14" s="99">
        <v>1</v>
      </c>
      <c r="G14" s="158" t="s">
        <v>41</v>
      </c>
      <c r="H14" s="99">
        <v>1</v>
      </c>
      <c r="I14" s="106">
        <f>IF(Clevis!$H14&lt;&gt;"",Clevis!$D14*Clevis!$F14*Clevis!$H14,Clevis!$D14*Clevis!$F14)</f>
        <v>1.3</v>
      </c>
    </row>
    <row r="15" spans="1:14" x14ac:dyDescent="0.3">
      <c r="A15" s="99">
        <v>2</v>
      </c>
      <c r="B15" s="113" t="s">
        <v>62</v>
      </c>
      <c r="C15" s="114" t="s">
        <v>133</v>
      </c>
      <c r="D15" s="106">
        <v>0.04</v>
      </c>
      <c r="E15" s="99" t="s">
        <v>54</v>
      </c>
      <c r="F15" s="115">
        <f>(9000-8613.72)/1000</f>
        <v>0.38628000000000068</v>
      </c>
      <c r="G15" s="99" t="s">
        <v>59</v>
      </c>
      <c r="H15" s="99">
        <v>1</v>
      </c>
      <c r="I15" s="103">
        <f>IF(Clevis!$H15&lt;&gt;"",Clevis!$D15*Clevis!$F15*Clevis!$H15,Clevis!$D15*Clevis!$F15)</f>
        <v>5.5451199999999992E-2</v>
      </c>
    </row>
    <row r="16" spans="1:14" x14ac:dyDescent="0.3">
      <c r="A16" s="99">
        <v>3</v>
      </c>
      <c r="B16" s="113" t="s">
        <v>79</v>
      </c>
      <c r="C16" s="114" t="s">
        <v>134</v>
      </c>
      <c r="D16" s="106">
        <v>0.35</v>
      </c>
      <c r="E16" s="99" t="s">
        <v>61</v>
      </c>
      <c r="F16" s="99">
        <v>2</v>
      </c>
      <c r="G16" s="158" t="s">
        <v>59</v>
      </c>
      <c r="H16" s="99">
        <v>1</v>
      </c>
      <c r="I16" s="103">
        <f>IF(Clevis!$H16&lt;&gt;"",Clevis!$D16*Clevis!$F16*Clevis!$H16,Clevis!$D16*Clevis!$F16)</f>
        <v>1.0499999999999998</v>
      </c>
    </row>
    <row r="17" spans="1:17" x14ac:dyDescent="0.3">
      <c r="A17" s="99">
        <v>4</v>
      </c>
      <c r="B17" s="114" t="s">
        <v>91</v>
      </c>
      <c r="C17" s="114" t="s">
        <v>236</v>
      </c>
      <c r="D17" s="106">
        <v>0.65</v>
      </c>
      <c r="E17" s="99" t="s">
        <v>44</v>
      </c>
      <c r="F17" s="99">
        <v>1</v>
      </c>
      <c r="G17" s="158" t="s">
        <v>41</v>
      </c>
      <c r="H17" s="99">
        <v>1</v>
      </c>
      <c r="I17" s="103">
        <f>IF(Clevis!$H17&lt;&gt;"",Clevis!$D17*Clevis!$F17*Clevis!$H17,Clevis!$D17*Clevis!$F17)</f>
        <v>0.65</v>
      </c>
    </row>
    <row r="18" spans="1:17" x14ac:dyDescent="0.3">
      <c r="A18" s="99">
        <v>5</v>
      </c>
      <c r="B18" s="113" t="s">
        <v>62</v>
      </c>
      <c r="C18" s="114" t="s">
        <v>135</v>
      </c>
      <c r="D18" s="106">
        <v>0.04</v>
      </c>
      <c r="E18" s="99" t="s">
        <v>54</v>
      </c>
      <c r="F18" s="115">
        <f>(8613.72-4345.4)/1000</f>
        <v>4.2683200000000001</v>
      </c>
      <c r="G18" s="99" t="s">
        <v>59</v>
      </c>
      <c r="H18" s="99">
        <v>1</v>
      </c>
      <c r="I18" s="103">
        <f>IF(Clevis!$H18&lt;&gt;"",Clevis!$D18*Clevis!$F18*Clevis!$H18,Clevis!$D18*Clevis!$F18)</f>
        <v>0.17073280000000002</v>
      </c>
    </row>
    <row r="19" spans="1:17" x14ac:dyDescent="0.3">
      <c r="A19" s="99">
        <v>6</v>
      </c>
      <c r="B19" s="113" t="s">
        <v>79</v>
      </c>
      <c r="C19" s="114" t="s">
        <v>237</v>
      </c>
      <c r="D19" s="106">
        <v>0.35</v>
      </c>
      <c r="E19" s="99" t="s">
        <v>44</v>
      </c>
      <c r="F19" s="99">
        <v>1</v>
      </c>
      <c r="G19" s="158" t="s">
        <v>59</v>
      </c>
      <c r="H19" s="99">
        <v>1</v>
      </c>
      <c r="I19" s="103">
        <f>IF(Clevis!$H19&lt;&gt;"",Clevis!$D19*Clevis!$F19*Clevis!$H19,Clevis!$D19*Clevis!$F19)</f>
        <v>0.52499999999999991</v>
      </c>
    </row>
    <row r="20" spans="1:17" s="27" customFormat="1" x14ac:dyDescent="0.3">
      <c r="H20" s="116" t="s">
        <v>30</v>
      </c>
      <c r="I20" s="117">
        <f>SUM(I14:I19)</f>
        <v>3.7511839999999999</v>
      </c>
      <c r="J20" s="118"/>
    </row>
    <row r="22" spans="1:17" s="27" customFormat="1" x14ac:dyDescent="0.3">
      <c r="A22" s="102" t="s">
        <v>17</v>
      </c>
      <c r="B22" s="102" t="s">
        <v>45</v>
      </c>
      <c r="C22" s="102" t="s">
        <v>19</v>
      </c>
      <c r="D22" s="102" t="s">
        <v>20</v>
      </c>
      <c r="E22" s="102" t="s">
        <v>21</v>
      </c>
      <c r="F22" s="102" t="s">
        <v>22</v>
      </c>
      <c r="G22" s="102" t="s">
        <v>23</v>
      </c>
      <c r="H22" s="102" t="s">
        <v>24</v>
      </c>
      <c r="I22" s="102" t="s">
        <v>29</v>
      </c>
      <c r="J22" s="102" t="s">
        <v>30</v>
      </c>
    </row>
    <row r="23" spans="1:17" x14ac:dyDescent="0.3">
      <c r="A23" s="99"/>
      <c r="B23" s="99"/>
      <c r="C23" s="99"/>
      <c r="D23" s="99"/>
      <c r="E23" s="99"/>
      <c r="F23" s="119"/>
      <c r="G23" s="99"/>
      <c r="H23" s="114"/>
      <c r="I23" s="120"/>
      <c r="J23" s="106">
        <f>D23*I23</f>
        <v>0</v>
      </c>
    </row>
    <row r="24" spans="1:17" s="27" customFormat="1" x14ac:dyDescent="0.3">
      <c r="I24" s="111" t="s">
        <v>30</v>
      </c>
      <c r="J24" s="117">
        <f>SUM(J23:J23)</f>
        <v>0</v>
      </c>
    </row>
    <row r="25" spans="1:17" x14ac:dyDescent="0.3">
      <c r="H25" s="31"/>
      <c r="I25" s="32"/>
    </row>
    <row r="26" spans="1:17" s="27" customFormat="1" x14ac:dyDescent="0.3">
      <c r="A26" s="102" t="s">
        <v>17</v>
      </c>
      <c r="B26" s="102" t="s">
        <v>46</v>
      </c>
      <c r="C26" s="102" t="s">
        <v>19</v>
      </c>
      <c r="D26" s="102" t="s">
        <v>20</v>
      </c>
      <c r="E26" s="102" t="s">
        <v>36</v>
      </c>
      <c r="F26" s="102" t="s">
        <v>29</v>
      </c>
      <c r="G26" s="102" t="s">
        <v>47</v>
      </c>
      <c r="H26" s="102" t="s">
        <v>48</v>
      </c>
      <c r="I26" s="102" t="s">
        <v>30</v>
      </c>
    </row>
    <row r="27" spans="1:17" x14ac:dyDescent="0.3">
      <c r="A27" s="99"/>
      <c r="B27" s="99"/>
      <c r="C27" s="99"/>
      <c r="D27" s="106"/>
      <c r="E27" s="99"/>
      <c r="F27" s="99"/>
      <c r="G27" s="99"/>
      <c r="H27" s="99"/>
      <c r="I27" s="106">
        <f>D27*F27</f>
        <v>0</v>
      </c>
    </row>
    <row r="28" spans="1:17" s="27" customFormat="1" x14ac:dyDescent="0.3">
      <c r="H28" s="111" t="s">
        <v>30</v>
      </c>
      <c r="I28" s="117">
        <f>SUM(I27)</f>
        <v>0</v>
      </c>
    </row>
    <row r="29" spans="1:17" x14ac:dyDescent="0.3">
      <c r="H29" s="31"/>
      <c r="I29" s="32"/>
    </row>
    <row r="30" spans="1:17" x14ac:dyDescent="0.3">
      <c r="Q30" s="33"/>
    </row>
  </sheetData>
  <hyperlinks>
    <hyperlink ref="J3" location="BOM!A1" display="FileLink1" xr:uid="{2A8B1705-649F-4A2B-B765-26F78C9B28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Sheet75">
    <tabColor rgb="FFFFFF00"/>
    <pageSetUpPr fitToPage="1"/>
  </sheetPr>
  <dimension ref="A1:Q30"/>
  <sheetViews>
    <sheetView topLeftCell="B1" zoomScale="85" zoomScaleNormal="85" workbookViewId="0">
      <selection activeCell="F14" sqref="F14"/>
    </sheetView>
  </sheetViews>
  <sheetFormatPr defaultColWidth="9.109375" defaultRowHeight="13.8" x14ac:dyDescent="0.3"/>
  <cols>
    <col min="1" max="1" width="9.6640625" style="26" customWidth="1"/>
    <col min="2" max="2" width="30.33203125" style="26" customWidth="1"/>
    <col min="3" max="3" width="48" style="26" customWidth="1"/>
    <col min="4" max="4" width="16" style="26" customWidth="1"/>
    <col min="5" max="5" width="14.109375" style="26" bestFit="1" customWidth="1"/>
    <col min="6" max="6" width="12" style="26" bestFit="1" customWidth="1"/>
    <col min="7" max="7" width="17.33203125" style="26" customWidth="1"/>
    <col min="8" max="8" width="13.88671875" style="26" bestFit="1" customWidth="1"/>
    <col min="9" max="9" width="19.88671875" style="26" customWidth="1"/>
    <col min="10" max="10" width="13.88671875" style="26" bestFit="1" customWidth="1"/>
    <col min="11" max="11" width="15.88671875" style="26" customWidth="1"/>
    <col min="12" max="12" width="11.33203125" style="26" bestFit="1" customWidth="1"/>
    <col min="13" max="13" width="13.88671875" style="26" bestFit="1" customWidth="1"/>
    <col min="14" max="14" width="15" style="26" bestFit="1" customWidth="1"/>
    <col min="15" max="15" width="9.109375" style="26"/>
    <col min="16" max="16" width="9.44140625" style="26" bestFit="1" customWidth="1"/>
    <col min="17" max="18" width="9.109375" style="26"/>
    <col min="19" max="19" width="10.44140625" style="26" bestFit="1" customWidth="1"/>
    <col min="20" max="20" width="9.44140625" style="26" bestFit="1" customWidth="1"/>
    <col min="21" max="21" width="9.109375" style="26"/>
    <col min="22" max="22" width="9.44140625" style="26" bestFit="1" customWidth="1"/>
    <col min="23" max="23" width="9.109375" style="26"/>
    <col min="24" max="25" width="10.109375" style="26" bestFit="1" customWidth="1"/>
    <col min="26" max="28" width="9.33203125" style="26" bestFit="1" customWidth="1"/>
    <col min="29" max="16384" width="9.109375" style="26"/>
  </cols>
  <sheetData>
    <row r="1" spans="1:14" x14ac:dyDescent="0.3">
      <c r="A1" s="90" t="s">
        <v>0</v>
      </c>
      <c r="B1" s="99" t="s">
        <v>1</v>
      </c>
      <c r="J1" s="100" t="s">
        <v>2</v>
      </c>
      <c r="K1" s="101">
        <v>254</v>
      </c>
      <c r="M1" s="102" t="s">
        <v>3</v>
      </c>
      <c r="N1" s="103">
        <f>N11+I17+J21+I25</f>
        <v>0.21365923370361675</v>
      </c>
    </row>
    <row r="2" spans="1:14" x14ac:dyDescent="0.3">
      <c r="A2" s="102" t="s">
        <v>4</v>
      </c>
      <c r="B2" s="99" t="s">
        <v>74</v>
      </c>
      <c r="D2" s="102" t="s">
        <v>5</v>
      </c>
      <c r="E2" s="99"/>
      <c r="M2" s="102" t="s">
        <v>6</v>
      </c>
      <c r="N2" s="104">
        <v>1</v>
      </c>
    </row>
    <row r="3" spans="1:14" ht="14.4" x14ac:dyDescent="0.3">
      <c r="A3" s="102" t="s">
        <v>7</v>
      </c>
      <c r="B3" s="39" t="s">
        <v>186</v>
      </c>
      <c r="D3" s="102" t="s">
        <v>8</v>
      </c>
      <c r="E3" s="99"/>
      <c r="J3" s="94" t="s">
        <v>5</v>
      </c>
      <c r="K3" s="99" t="s">
        <v>9</v>
      </c>
    </row>
    <row r="4" spans="1:14" x14ac:dyDescent="0.3">
      <c r="A4" s="102" t="s">
        <v>10</v>
      </c>
      <c r="B4" s="105" t="s">
        <v>188</v>
      </c>
      <c r="D4" s="102" t="s">
        <v>11</v>
      </c>
      <c r="E4" s="99"/>
      <c r="J4" s="102" t="s">
        <v>8</v>
      </c>
      <c r="K4" s="99"/>
      <c r="M4" s="102" t="s">
        <v>12</v>
      </c>
      <c r="N4" s="103">
        <f>N1*N2</f>
        <v>0.21365923370361675</v>
      </c>
    </row>
    <row r="5" spans="1:14" x14ac:dyDescent="0.3">
      <c r="A5" s="102" t="s">
        <v>13</v>
      </c>
      <c r="B5" s="47"/>
      <c r="J5" s="102" t="s">
        <v>11</v>
      </c>
      <c r="K5" s="99"/>
    </row>
    <row r="6" spans="1:14" x14ac:dyDescent="0.3">
      <c r="A6" s="102" t="s">
        <v>14</v>
      </c>
      <c r="B6" s="99" t="s">
        <v>15</v>
      </c>
    </row>
    <row r="7" spans="1:14" x14ac:dyDescent="0.3">
      <c r="A7" s="102" t="s">
        <v>16</v>
      </c>
      <c r="B7" s="99" t="s">
        <v>189</v>
      </c>
    </row>
    <row r="9" spans="1:14" s="27" customFormat="1" x14ac:dyDescent="0.3">
      <c r="A9" s="102" t="s">
        <v>17</v>
      </c>
      <c r="B9" s="102" t="s">
        <v>18</v>
      </c>
      <c r="C9" s="102" t="s">
        <v>19</v>
      </c>
      <c r="D9" s="102" t="s">
        <v>20</v>
      </c>
      <c r="E9" s="102" t="s">
        <v>21</v>
      </c>
      <c r="F9" s="102" t="s">
        <v>22</v>
      </c>
      <c r="G9" s="102" t="s">
        <v>23</v>
      </c>
      <c r="H9" s="102" t="s">
        <v>24</v>
      </c>
      <c r="I9" s="102" t="s">
        <v>25</v>
      </c>
      <c r="J9" s="102" t="s">
        <v>26</v>
      </c>
      <c r="K9" s="102" t="s">
        <v>27</v>
      </c>
      <c r="L9" s="102" t="s">
        <v>28</v>
      </c>
      <c r="M9" s="102" t="s">
        <v>29</v>
      </c>
      <c r="N9" s="102" t="s">
        <v>30</v>
      </c>
    </row>
    <row r="10" spans="1:14" x14ac:dyDescent="0.3">
      <c r="A10" s="99">
        <v>1</v>
      </c>
      <c r="B10" s="99" t="s">
        <v>191</v>
      </c>
      <c r="C10" s="99" t="s">
        <v>190</v>
      </c>
      <c r="D10" s="106">
        <v>2.25</v>
      </c>
      <c r="E10" s="107">
        <v>0.05</v>
      </c>
      <c r="F10" s="99" t="s">
        <v>32</v>
      </c>
      <c r="G10" s="99"/>
      <c r="H10" s="108"/>
      <c r="I10" s="51" t="s">
        <v>34</v>
      </c>
      <c r="J10" s="109">
        <f>3.14*0.0001595*2.7</f>
        <v>1.3522410000000003E-3</v>
      </c>
      <c r="K10" s="108">
        <v>0.182</v>
      </c>
      <c r="L10" s="108">
        <v>384.1</v>
      </c>
      <c r="M10" s="110">
        <v>10</v>
      </c>
      <c r="N10" s="103">
        <f>(D10*J10*K10*L10)</f>
        <v>0.21269256703695008</v>
      </c>
    </row>
    <row r="11" spans="1:14" s="27" customFormat="1" x14ac:dyDescent="0.3">
      <c r="M11" s="111" t="s">
        <v>30</v>
      </c>
      <c r="N11" s="112">
        <f>SUM(N10:N10)</f>
        <v>0.21269256703695008</v>
      </c>
    </row>
    <row r="13" spans="1:14" s="27" customFormat="1" x14ac:dyDescent="0.3">
      <c r="A13" s="102" t="s">
        <v>17</v>
      </c>
      <c r="B13" s="102" t="s">
        <v>35</v>
      </c>
      <c r="C13" s="102" t="s">
        <v>19</v>
      </c>
      <c r="D13" s="102" t="s">
        <v>20</v>
      </c>
      <c r="E13" s="102" t="s">
        <v>36</v>
      </c>
      <c r="F13" s="102" t="s">
        <v>29</v>
      </c>
      <c r="G13" s="102" t="s">
        <v>37</v>
      </c>
      <c r="H13" s="102" t="s">
        <v>38</v>
      </c>
      <c r="I13" s="102" t="s">
        <v>30</v>
      </c>
    </row>
    <row r="14" spans="1:14" x14ac:dyDescent="0.3">
      <c r="A14" s="99">
        <v>1</v>
      </c>
      <c r="B14" s="113" t="s">
        <v>192</v>
      </c>
      <c r="C14" s="114" t="s">
        <v>193</v>
      </c>
      <c r="D14" s="106">
        <v>25</v>
      </c>
      <c r="E14" s="99" t="s">
        <v>49</v>
      </c>
      <c r="F14" s="99">
        <v>0.02</v>
      </c>
      <c r="G14" s="158" t="s">
        <v>41</v>
      </c>
      <c r="H14" s="99">
        <v>1</v>
      </c>
      <c r="I14" s="106">
        <f>IF('Tie Rod'!$H14&lt;&gt;"",'Tie Rod'!$D14*'Tie Rod'!$F14*'Tie Rod'!$H14,'Tie Rod'!$D14*'Tie Rod'!$F14)</f>
        <v>0.5</v>
      </c>
    </row>
    <row r="15" spans="1:14" x14ac:dyDescent="0.3">
      <c r="A15" s="99">
        <v>2</v>
      </c>
      <c r="B15" s="113" t="s">
        <v>196</v>
      </c>
      <c r="C15" s="114" t="s">
        <v>197</v>
      </c>
      <c r="D15" s="106">
        <v>20</v>
      </c>
      <c r="E15" s="99" t="s">
        <v>56</v>
      </c>
      <c r="F15" s="115">
        <f>3.14*0.0001595*0.58</f>
        <v>2.9048140000000001E-4</v>
      </c>
      <c r="G15" s="99" t="s">
        <v>41</v>
      </c>
      <c r="H15" s="99">
        <v>1</v>
      </c>
      <c r="I15" s="103">
        <f>D15*F15*H15</f>
        <v>5.8096280000000007E-3</v>
      </c>
    </row>
    <row r="16" spans="1:14" x14ac:dyDescent="0.3">
      <c r="A16" s="99">
        <v>3</v>
      </c>
      <c r="B16" s="172" t="s">
        <v>163</v>
      </c>
      <c r="C16" s="114" t="s">
        <v>194</v>
      </c>
      <c r="D16" s="106">
        <v>0.15</v>
      </c>
      <c r="E16" s="99" t="s">
        <v>195</v>
      </c>
      <c r="F16" s="99">
        <v>1.595</v>
      </c>
      <c r="G16" s="1" t="s">
        <v>53</v>
      </c>
      <c r="H16" s="99">
        <v>2</v>
      </c>
      <c r="I16" s="103">
        <f>IF('Tie Rod'!$H16&lt;&gt;"",'Tie Rod'!$D16*'Tie Rod'!$F16*'Tie Rod'!$H16,'Tie Rod'!$D16*'Tie Rod'!$F16)</f>
        <v>0.47849999999999998</v>
      </c>
    </row>
    <row r="17" spans="1:17" x14ac:dyDescent="0.3">
      <c r="A17" s="99"/>
      <c r="B17" s="114"/>
      <c r="C17" s="114"/>
      <c r="D17" s="106"/>
      <c r="E17" s="99"/>
      <c r="F17" s="99"/>
      <c r="G17" s="158"/>
      <c r="H17" s="99"/>
      <c r="I17" s="103"/>
    </row>
    <row r="18" spans="1:17" x14ac:dyDescent="0.3">
      <c r="A18" s="99"/>
      <c r="B18" s="113"/>
      <c r="C18" s="114"/>
      <c r="D18" s="106"/>
      <c r="E18" s="99"/>
      <c r="F18" s="115"/>
      <c r="G18" s="99"/>
      <c r="H18" s="99"/>
      <c r="I18" s="103"/>
    </row>
    <row r="19" spans="1:17" x14ac:dyDescent="0.3">
      <c r="A19" s="99"/>
      <c r="B19" s="113"/>
      <c r="C19" s="114"/>
      <c r="D19" s="106"/>
      <c r="E19" s="99"/>
      <c r="F19" s="99"/>
      <c r="G19" s="1"/>
      <c r="H19" s="99"/>
      <c r="I19" s="103"/>
    </row>
    <row r="20" spans="1:17" s="27" customFormat="1" x14ac:dyDescent="0.3">
      <c r="H20" s="116" t="s">
        <v>30</v>
      </c>
      <c r="I20" s="117">
        <f>SUM(I14:I19)</f>
        <v>0.98430962799999988</v>
      </c>
      <c r="J20" s="118"/>
    </row>
    <row r="22" spans="1:17" s="27" customFormat="1" x14ac:dyDescent="0.3">
      <c r="A22" s="102"/>
      <c r="B22" s="102"/>
      <c r="C22" s="102"/>
      <c r="D22" s="102"/>
      <c r="E22" s="102"/>
      <c r="F22" s="102"/>
      <c r="G22" s="102"/>
      <c r="H22" s="102"/>
      <c r="I22" s="102"/>
      <c r="J22" s="102"/>
    </row>
    <row r="23" spans="1:17" x14ac:dyDescent="0.3">
      <c r="A23" s="99" t="s">
        <v>17</v>
      </c>
      <c r="B23" s="99" t="s">
        <v>46</v>
      </c>
      <c r="C23" s="99" t="s">
        <v>19</v>
      </c>
      <c r="D23" s="99" t="s">
        <v>20</v>
      </c>
      <c r="E23" s="99" t="s">
        <v>36</v>
      </c>
      <c r="F23" s="119" t="s">
        <v>29</v>
      </c>
      <c r="G23" s="99" t="s">
        <v>47</v>
      </c>
      <c r="H23" s="114" t="s">
        <v>48</v>
      </c>
      <c r="I23" s="120" t="s">
        <v>30</v>
      </c>
      <c r="J23" s="106"/>
    </row>
    <row r="24" spans="1:17" s="27" customFormat="1" x14ac:dyDescent="0.3">
      <c r="A24" s="27">
        <v>1</v>
      </c>
      <c r="B24" s="27" t="s">
        <v>55</v>
      </c>
      <c r="C24" s="27" t="s">
        <v>198</v>
      </c>
      <c r="D24" s="27">
        <v>20000</v>
      </c>
      <c r="E24" s="27" t="s">
        <v>56</v>
      </c>
      <c r="F24" s="27">
        <v>2.9E-4</v>
      </c>
      <c r="G24" s="27">
        <v>3000</v>
      </c>
      <c r="H24" s="27">
        <v>2</v>
      </c>
      <c r="I24" s="111">
        <f>D24*F24/(G24*H24)</f>
        <v>9.6666666666666667E-4</v>
      </c>
      <c r="J24" s="117"/>
    </row>
    <row r="25" spans="1:17" x14ac:dyDescent="0.3">
      <c r="H25" s="31" t="s">
        <v>30</v>
      </c>
      <c r="I25" s="32">
        <f>SUM(I24:I24)</f>
        <v>9.6666666666666667E-4</v>
      </c>
    </row>
    <row r="26" spans="1:17" s="27" customFormat="1" x14ac:dyDescent="0.3">
      <c r="A26" s="102"/>
      <c r="B26" s="102"/>
      <c r="C26" s="102"/>
      <c r="D26" s="102"/>
      <c r="E26" s="102"/>
      <c r="F26" s="102"/>
      <c r="G26" s="102"/>
      <c r="H26" s="102"/>
      <c r="I26" s="102"/>
    </row>
    <row r="27" spans="1:17" x14ac:dyDescent="0.3">
      <c r="A27" s="99"/>
      <c r="B27" s="99"/>
      <c r="C27" s="99"/>
      <c r="D27" s="106"/>
      <c r="E27" s="99"/>
      <c r="F27" s="99"/>
      <c r="G27" s="99"/>
      <c r="H27" s="99"/>
      <c r="I27" s="106"/>
    </row>
    <row r="28" spans="1:17" s="27" customFormat="1" x14ac:dyDescent="0.3">
      <c r="H28" s="111"/>
      <c r="I28" s="117"/>
    </row>
    <row r="29" spans="1:17" x14ac:dyDescent="0.3">
      <c r="H29" s="31"/>
      <c r="I29" s="32"/>
    </row>
    <row r="30" spans="1:17" x14ac:dyDescent="0.3">
      <c r="Q30" s="33"/>
    </row>
  </sheetData>
  <hyperlinks>
    <hyperlink ref="J3" location="BOM!A1" display="FileLink1" xr:uid="{00000000-0004-0000-3C00-000000000000}"/>
  </hyperlinks>
  <pageMargins left="0.5" right="0.5" top="0.75" bottom="0.75" header="0.3" footer="0.3"/>
  <pageSetup scale="5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Sheet76">
    <tabColor rgb="FFFFFF00"/>
    <pageSetUpPr fitToPage="1"/>
  </sheetPr>
  <dimension ref="A1:Q29"/>
  <sheetViews>
    <sheetView zoomScale="70" zoomScaleNormal="70" workbookViewId="0">
      <selection activeCell="K10" sqref="K10"/>
    </sheetView>
  </sheetViews>
  <sheetFormatPr defaultColWidth="9.109375" defaultRowHeight="13.8" x14ac:dyDescent="0.3"/>
  <cols>
    <col min="1" max="1" width="9.6640625" style="26" customWidth="1"/>
    <col min="2" max="2" width="30.33203125" style="26" customWidth="1"/>
    <col min="3" max="3" width="48" style="26" customWidth="1"/>
    <col min="4" max="4" width="16" style="26" customWidth="1"/>
    <col min="5" max="5" width="14.109375" style="26" bestFit="1" customWidth="1"/>
    <col min="6" max="6" width="12" style="26" bestFit="1" customWidth="1"/>
    <col min="7" max="7" width="17.33203125" style="26" customWidth="1"/>
    <col min="8" max="8" width="13.88671875" style="26" bestFit="1" customWidth="1"/>
    <col min="9" max="9" width="19.88671875" style="26" customWidth="1"/>
    <col min="10" max="10" width="13.88671875" style="26" bestFit="1" customWidth="1"/>
    <col min="11" max="11" width="15.88671875" style="26" customWidth="1"/>
    <col min="12" max="12" width="11.33203125" style="26" bestFit="1" customWidth="1"/>
    <col min="13" max="13" width="13.88671875" style="26" bestFit="1" customWidth="1"/>
    <col min="14" max="14" width="15" style="26" bestFit="1" customWidth="1"/>
    <col min="15" max="15" width="9.109375" style="26"/>
    <col min="16" max="16" width="9.44140625" style="26" bestFit="1" customWidth="1"/>
    <col min="17" max="18" width="9.109375" style="26"/>
    <col min="19" max="19" width="10.44140625" style="26" bestFit="1" customWidth="1"/>
    <col min="20" max="20" width="9.44140625" style="26" bestFit="1" customWidth="1"/>
    <col min="21" max="21" width="9.109375" style="26"/>
    <col min="22" max="22" width="9.44140625" style="26" bestFit="1" customWidth="1"/>
    <col min="23" max="23" width="9.109375" style="26"/>
    <col min="24" max="25" width="10.109375" style="26" bestFit="1" customWidth="1"/>
    <col min="26" max="28" width="9.33203125" style="26" bestFit="1" customWidth="1"/>
    <col min="29" max="16384" width="9.109375" style="26"/>
  </cols>
  <sheetData>
    <row r="1" spans="1:14" x14ac:dyDescent="0.3">
      <c r="A1" s="90" t="s">
        <v>0</v>
      </c>
      <c r="B1" s="99" t="s">
        <v>1</v>
      </c>
      <c r="J1" s="100" t="s">
        <v>2</v>
      </c>
      <c r="K1" s="101">
        <v>254</v>
      </c>
      <c r="M1" s="102" t="s">
        <v>3</v>
      </c>
      <c r="N1" s="103">
        <f>(N11+I19+J23+I27)</f>
        <v>3.4492010239999997</v>
      </c>
    </row>
    <row r="2" spans="1:14" x14ac:dyDescent="0.3">
      <c r="A2" s="102" t="s">
        <v>4</v>
      </c>
      <c r="B2" s="99" t="s">
        <v>74</v>
      </c>
      <c r="D2" s="102" t="s">
        <v>5</v>
      </c>
      <c r="E2" s="99"/>
      <c r="M2" s="102" t="s">
        <v>6</v>
      </c>
      <c r="N2" s="104">
        <v>4</v>
      </c>
    </row>
    <row r="3" spans="1:14" ht="14.4" x14ac:dyDescent="0.3">
      <c r="A3" s="102" t="s">
        <v>7</v>
      </c>
      <c r="B3" s="39" t="s">
        <v>249</v>
      </c>
      <c r="D3" s="102" t="s">
        <v>8</v>
      </c>
      <c r="E3" s="99"/>
      <c r="J3" s="94" t="s">
        <v>5</v>
      </c>
      <c r="K3" s="99" t="s">
        <v>9</v>
      </c>
    </row>
    <row r="4" spans="1:14" x14ac:dyDescent="0.3">
      <c r="A4" s="102" t="s">
        <v>10</v>
      </c>
      <c r="B4" s="105" t="s">
        <v>253</v>
      </c>
      <c r="D4" s="102" t="s">
        <v>11</v>
      </c>
      <c r="E4" s="99"/>
      <c r="J4" s="102" t="s">
        <v>8</v>
      </c>
      <c r="K4" s="99"/>
      <c r="M4" s="102" t="s">
        <v>12</v>
      </c>
      <c r="N4" s="103">
        <f>N1*N2</f>
        <v>13.796804095999999</v>
      </c>
    </row>
    <row r="5" spans="1:14" x14ac:dyDescent="0.3">
      <c r="A5" s="102" t="s">
        <v>13</v>
      </c>
      <c r="B5" s="47"/>
      <c r="J5" s="102" t="s">
        <v>11</v>
      </c>
      <c r="K5" s="99"/>
    </row>
    <row r="6" spans="1:14" x14ac:dyDescent="0.3">
      <c r="A6" s="102" t="s">
        <v>14</v>
      </c>
      <c r="B6" s="99" t="s">
        <v>15</v>
      </c>
    </row>
    <row r="7" spans="1:14" x14ac:dyDescent="0.3">
      <c r="A7" s="102" t="s">
        <v>16</v>
      </c>
      <c r="B7" s="99" t="s">
        <v>254</v>
      </c>
    </row>
    <row r="9" spans="1:14" s="27" customFormat="1" x14ac:dyDescent="0.3">
      <c r="A9" s="102" t="s">
        <v>17</v>
      </c>
      <c r="B9" s="102" t="s">
        <v>18</v>
      </c>
      <c r="C9" s="102" t="s">
        <v>19</v>
      </c>
      <c r="D9" s="102" t="s">
        <v>20</v>
      </c>
      <c r="E9" s="102" t="s">
        <v>21</v>
      </c>
      <c r="F9" s="102" t="s">
        <v>22</v>
      </c>
      <c r="G9" s="102" t="s">
        <v>23</v>
      </c>
      <c r="H9" s="102" t="s">
        <v>24</v>
      </c>
      <c r="I9" s="102" t="s">
        <v>25</v>
      </c>
      <c r="J9" s="102" t="s">
        <v>26</v>
      </c>
      <c r="K9" s="102" t="s">
        <v>27</v>
      </c>
      <c r="L9" s="102" t="s">
        <v>28</v>
      </c>
      <c r="M9" s="102" t="s">
        <v>29</v>
      </c>
      <c r="N9" s="102" t="s">
        <v>30</v>
      </c>
    </row>
    <row r="10" spans="1:14" x14ac:dyDescent="0.3">
      <c r="A10" s="99">
        <v>1</v>
      </c>
      <c r="B10" s="99" t="s">
        <v>59</v>
      </c>
      <c r="C10" s="99" t="s">
        <v>255</v>
      </c>
      <c r="D10" s="106">
        <v>4.2</v>
      </c>
      <c r="E10" s="107">
        <f>K10*J10*L10</f>
        <v>3.4062720000000005E-2</v>
      </c>
      <c r="F10" s="99" t="s">
        <v>49</v>
      </c>
      <c r="G10" s="99" t="s">
        <v>247</v>
      </c>
      <c r="H10" s="108"/>
      <c r="I10" s="51"/>
      <c r="J10" s="109">
        <f>3.14*0.25*0.02^2</f>
        <v>3.1400000000000004E-4</v>
      </c>
      <c r="K10" s="108">
        <v>0.04</v>
      </c>
      <c r="L10" s="108">
        <v>2712</v>
      </c>
      <c r="M10" s="110">
        <v>1</v>
      </c>
      <c r="N10" s="103">
        <f>(D10*J10*K10*L10)</f>
        <v>0.14306342400000002</v>
      </c>
    </row>
    <row r="11" spans="1:14" s="27" customFormat="1" x14ac:dyDescent="0.3">
      <c r="M11" s="111" t="s">
        <v>30</v>
      </c>
      <c r="N11" s="112">
        <f>SUM(N10:N10)</f>
        <v>0.14306342400000002</v>
      </c>
    </row>
    <row r="13" spans="1:14" s="27" customFormat="1" x14ac:dyDescent="0.3">
      <c r="A13" s="102" t="s">
        <v>17</v>
      </c>
      <c r="B13" s="102" t="s">
        <v>35</v>
      </c>
      <c r="C13" s="102" t="s">
        <v>19</v>
      </c>
      <c r="D13" s="102" t="s">
        <v>20</v>
      </c>
      <c r="E13" s="102" t="s">
        <v>36</v>
      </c>
      <c r="F13" s="102" t="s">
        <v>29</v>
      </c>
      <c r="G13" s="102" t="s">
        <v>37</v>
      </c>
      <c r="H13" s="102" t="s">
        <v>38</v>
      </c>
      <c r="I13" s="102" t="s">
        <v>30</v>
      </c>
    </row>
    <row r="14" spans="1:14" x14ac:dyDescent="0.3">
      <c r="A14" s="99">
        <v>1</v>
      </c>
      <c r="B14" s="113" t="s">
        <v>199</v>
      </c>
      <c r="C14" s="114" t="s">
        <v>248</v>
      </c>
      <c r="D14" s="106">
        <v>1.3</v>
      </c>
      <c r="E14" s="99" t="s">
        <v>44</v>
      </c>
      <c r="F14" s="99">
        <v>1</v>
      </c>
      <c r="G14" s="158" t="s">
        <v>41</v>
      </c>
      <c r="H14" s="99">
        <v>1</v>
      </c>
      <c r="I14" s="106">
        <f>IF('Tie Rod insert'!$H14&lt;&gt;"",'Tie Rod insert'!$D14*'Tie Rod insert'!$F14*'Tie Rod insert'!$H14,'Tie Rod insert'!$D14*'Tie Rod insert'!$F14)</f>
        <v>1.3</v>
      </c>
    </row>
    <row r="15" spans="1:14" x14ac:dyDescent="0.3">
      <c r="A15" s="99">
        <v>2</v>
      </c>
      <c r="B15" s="113" t="s">
        <v>128</v>
      </c>
      <c r="C15" s="114" t="s">
        <v>200</v>
      </c>
      <c r="D15" s="106">
        <v>0.04</v>
      </c>
      <c r="E15" s="99" t="s">
        <v>54</v>
      </c>
      <c r="F15" s="115">
        <f>(3.14*0.25*(1.8^2-1.6^2)*3.8)</f>
        <v>2.0284399999999994</v>
      </c>
      <c r="G15" s="99" t="s">
        <v>59</v>
      </c>
      <c r="H15" s="99">
        <v>1</v>
      </c>
      <c r="I15" s="103">
        <f>H15*F15*D15</f>
        <v>8.1137599999999976E-2</v>
      </c>
    </row>
    <row r="16" spans="1:14" x14ac:dyDescent="0.3">
      <c r="A16" s="99">
        <v>3</v>
      </c>
      <c r="B16" s="172" t="s">
        <v>187</v>
      </c>
      <c r="C16" s="114" t="s">
        <v>246</v>
      </c>
      <c r="D16" s="106">
        <v>0.35</v>
      </c>
      <c r="E16" s="99" t="s">
        <v>61</v>
      </c>
      <c r="F16" s="99">
        <v>1</v>
      </c>
      <c r="G16" s="1" t="s">
        <v>240</v>
      </c>
      <c r="H16" s="99">
        <v>1.5</v>
      </c>
      <c r="I16" s="103">
        <f>D16*F16*H16</f>
        <v>0.52499999999999991</v>
      </c>
    </row>
    <row r="17" spans="1:17" x14ac:dyDescent="0.3">
      <c r="A17" s="99">
        <v>4</v>
      </c>
      <c r="B17" s="114" t="s">
        <v>251</v>
      </c>
      <c r="C17" s="114" t="s">
        <v>252</v>
      </c>
      <c r="D17" s="106">
        <v>0.5</v>
      </c>
      <c r="E17" s="99" t="s">
        <v>40</v>
      </c>
      <c r="F17" s="99">
        <v>2.8</v>
      </c>
      <c r="G17" s="158" t="s">
        <v>59</v>
      </c>
      <c r="H17" s="99">
        <v>1</v>
      </c>
      <c r="I17" s="103">
        <f>(D17*F17*H17)</f>
        <v>1.4</v>
      </c>
    </row>
    <row r="18" spans="1:17" x14ac:dyDescent="0.3">
      <c r="A18" s="99"/>
      <c r="B18" s="113"/>
      <c r="C18" s="114"/>
      <c r="D18" s="106"/>
      <c r="E18" s="99"/>
      <c r="F18" s="99"/>
      <c r="G18" s="1"/>
      <c r="H18" s="99"/>
      <c r="I18" s="103"/>
    </row>
    <row r="19" spans="1:17" s="27" customFormat="1" x14ac:dyDescent="0.3">
      <c r="H19" s="116" t="s">
        <v>30</v>
      </c>
      <c r="I19" s="117">
        <f>SUM(I14:I18)</f>
        <v>3.3061375999999996</v>
      </c>
      <c r="J19" s="118"/>
    </row>
    <row r="21" spans="1:17" s="27" customFormat="1" x14ac:dyDescent="0.3">
      <c r="A21" s="102" t="s">
        <v>17</v>
      </c>
      <c r="B21" s="102" t="s">
        <v>45</v>
      </c>
      <c r="C21" s="102" t="s">
        <v>19</v>
      </c>
      <c r="D21" s="102" t="s">
        <v>20</v>
      </c>
      <c r="E21" s="102" t="s">
        <v>21</v>
      </c>
      <c r="F21" s="102" t="s">
        <v>22</v>
      </c>
      <c r="G21" s="102" t="s">
        <v>23</v>
      </c>
      <c r="H21" s="102" t="s">
        <v>24</v>
      </c>
      <c r="I21" s="102" t="s">
        <v>29</v>
      </c>
      <c r="J21" s="102" t="s">
        <v>30</v>
      </c>
    </row>
    <row r="22" spans="1:17" x14ac:dyDescent="0.3">
      <c r="A22" s="99"/>
      <c r="B22" s="99"/>
      <c r="C22" s="99"/>
      <c r="D22" s="99"/>
      <c r="E22" s="99"/>
      <c r="F22" s="119"/>
      <c r="G22" s="99"/>
      <c r="H22" s="114"/>
      <c r="I22" s="120"/>
      <c r="J22" s="106">
        <f>D22*I22</f>
        <v>0</v>
      </c>
    </row>
    <row r="23" spans="1:17" s="27" customFormat="1" x14ac:dyDescent="0.3">
      <c r="I23" s="111" t="s">
        <v>30</v>
      </c>
      <c r="J23" s="117">
        <f>SUM(J22:J22)</f>
        <v>0</v>
      </c>
    </row>
    <row r="24" spans="1:17" x14ac:dyDescent="0.3">
      <c r="H24" s="31"/>
      <c r="I24" s="32"/>
    </row>
    <row r="25" spans="1:17" s="27" customFormat="1" x14ac:dyDescent="0.3">
      <c r="A25" s="102" t="s">
        <v>17</v>
      </c>
      <c r="B25" s="102" t="s">
        <v>46</v>
      </c>
      <c r="C25" s="102" t="s">
        <v>19</v>
      </c>
      <c r="D25" s="102" t="s">
        <v>20</v>
      </c>
      <c r="E25" s="102" t="s">
        <v>36</v>
      </c>
      <c r="F25" s="102" t="s">
        <v>29</v>
      </c>
      <c r="G25" s="102" t="s">
        <v>47</v>
      </c>
      <c r="H25" s="102" t="s">
        <v>48</v>
      </c>
      <c r="I25" s="102" t="s">
        <v>30</v>
      </c>
    </row>
    <row r="26" spans="1:17" x14ac:dyDescent="0.3">
      <c r="A26" s="99"/>
      <c r="B26" s="99"/>
      <c r="C26" s="99"/>
      <c r="D26" s="106"/>
      <c r="E26" s="99"/>
      <c r="F26" s="99"/>
      <c r="G26" s="99"/>
      <c r="H26" s="99"/>
      <c r="I26" s="106">
        <f>D26*F26</f>
        <v>0</v>
      </c>
    </row>
    <row r="27" spans="1:17" s="27" customFormat="1" x14ac:dyDescent="0.3">
      <c r="H27" s="111" t="s">
        <v>30</v>
      </c>
      <c r="I27" s="117">
        <f>SUM(I26)</f>
        <v>0</v>
      </c>
    </row>
    <row r="28" spans="1:17" x14ac:dyDescent="0.3">
      <c r="H28" s="31"/>
      <c r="I28" s="32"/>
    </row>
    <row r="29" spans="1:17" x14ac:dyDescent="0.3">
      <c r="Q29" s="33"/>
    </row>
  </sheetData>
  <hyperlinks>
    <hyperlink ref="J3" location="BOM!A1" display="FileLink1" xr:uid="{00000000-0004-0000-3D00-000000000000}"/>
  </hyperlinks>
  <pageMargins left="0.5" right="0.5" top="0.75" bottom="0.75" header="0.3" footer="0.3"/>
  <pageSetup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8">
    <tabColor rgb="FFFFFF00"/>
    <pageSetUpPr fitToPage="1"/>
  </sheetPr>
  <dimension ref="A1:Q30"/>
  <sheetViews>
    <sheetView zoomScale="70" zoomScaleNormal="70" workbookViewId="0">
      <selection activeCell="K16" sqref="K16"/>
    </sheetView>
  </sheetViews>
  <sheetFormatPr defaultColWidth="9.109375" defaultRowHeight="13.8" x14ac:dyDescent="0.3"/>
  <cols>
    <col min="1" max="1" width="9.6640625" style="2" customWidth="1"/>
    <col min="2" max="2" width="35.6640625" style="2" customWidth="1"/>
    <col min="3" max="3" width="40.664062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9" style="2" customWidth="1"/>
    <col min="10" max="10" width="13.88671875" style="2" bestFit="1" customWidth="1"/>
    <col min="11" max="11" width="15.10937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90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N11+I15+J19+I23</f>
        <v>1.386587625</v>
      </c>
    </row>
    <row r="2" spans="1:14" x14ac:dyDescent="0.3">
      <c r="A2" s="90" t="s">
        <v>4</v>
      </c>
      <c r="B2" s="99" t="s">
        <v>64</v>
      </c>
      <c r="D2" s="90" t="s">
        <v>5</v>
      </c>
      <c r="E2" s="39"/>
      <c r="M2" s="90" t="s">
        <v>6</v>
      </c>
      <c r="N2" s="46">
        <v>2</v>
      </c>
    </row>
    <row r="3" spans="1:14" ht="14.4" x14ac:dyDescent="0.3">
      <c r="A3" s="90" t="s">
        <v>7</v>
      </c>
      <c r="B3" s="39" t="s">
        <v>65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73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2.77317525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x14ac:dyDescent="0.3">
      <c r="A7" s="90" t="s">
        <v>16</v>
      </c>
      <c r="B7" s="39" t="s">
        <v>136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49" t="s">
        <v>51</v>
      </c>
      <c r="C10" s="39" t="s">
        <v>256</v>
      </c>
      <c r="D10" s="40">
        <v>2.25</v>
      </c>
      <c r="E10" s="39">
        <v>0.1</v>
      </c>
      <c r="F10" s="39" t="s">
        <v>49</v>
      </c>
      <c r="G10" s="39" t="s">
        <v>250</v>
      </c>
      <c r="H10" s="50"/>
      <c r="I10" s="51" t="s">
        <v>34</v>
      </c>
      <c r="J10" s="61">
        <v>1.5080000000000001E-4</v>
      </c>
      <c r="K10" s="50">
        <v>2.5000000000000001E-2</v>
      </c>
      <c r="L10" s="50">
        <v>7850</v>
      </c>
      <c r="M10" s="53">
        <v>1</v>
      </c>
      <c r="N10" s="45">
        <f>(D10*J10*K10*L10)</f>
        <v>6.6587624999999998E-2</v>
      </c>
    </row>
    <row r="11" spans="1:14" s="8" customFormat="1" x14ac:dyDescent="0.3">
      <c r="M11" s="91" t="s">
        <v>30</v>
      </c>
      <c r="N11" s="92">
        <f>SUM(N10:N10)</f>
        <v>6.6587624999999998E-2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ht="14.4" x14ac:dyDescent="0.3">
      <c r="A14" s="39">
        <v>1</v>
      </c>
      <c r="B14" s="41" t="s">
        <v>39</v>
      </c>
      <c r="C14" s="55" t="s">
        <v>137</v>
      </c>
      <c r="D14" s="40">
        <v>0.15</v>
      </c>
      <c r="E14" s="39" t="s">
        <v>40</v>
      </c>
      <c r="F14" s="64">
        <v>2.2000000000000002</v>
      </c>
      <c r="G14" s="39" t="s">
        <v>57</v>
      </c>
      <c r="H14" s="142">
        <v>4</v>
      </c>
      <c r="I14" s="40">
        <f>IF('Rack Stopper'!$H14&lt;&gt;"",'Rack Stopper'!$D14*'Rack Stopper'!$F14*'Rack Stopper'!$H14,'Rack Stopper'!$D14*'Rack Stopper'!$F14)</f>
        <v>1.32</v>
      </c>
      <c r="K14" s="121"/>
    </row>
    <row r="15" spans="1:14" s="8" customFormat="1" ht="15" customHeight="1" x14ac:dyDescent="0.3">
      <c r="H15" s="70" t="s">
        <v>30</v>
      </c>
      <c r="I15" s="71">
        <f>SUM(I14:I14)</f>
        <v>1.32</v>
      </c>
    </row>
    <row r="17" spans="1:17" s="8" customFormat="1" x14ac:dyDescent="0.3">
      <c r="A17" s="68" t="s">
        <v>17</v>
      </c>
      <c r="B17" s="68" t="s">
        <v>45</v>
      </c>
      <c r="C17" s="68" t="s">
        <v>19</v>
      </c>
      <c r="D17" s="68" t="s">
        <v>20</v>
      </c>
      <c r="E17" s="68" t="s">
        <v>21</v>
      </c>
      <c r="F17" s="68" t="s">
        <v>22</v>
      </c>
      <c r="G17" s="68" t="s">
        <v>23</v>
      </c>
      <c r="H17" s="68" t="s">
        <v>24</v>
      </c>
      <c r="I17" s="68" t="s">
        <v>29</v>
      </c>
      <c r="J17" s="68" t="s">
        <v>30</v>
      </c>
    </row>
    <row r="18" spans="1:17" x14ac:dyDescent="0.3">
      <c r="A18" s="1"/>
      <c r="B18" s="1"/>
      <c r="C18" s="1"/>
      <c r="D18" s="1"/>
      <c r="E18" s="1"/>
      <c r="F18" s="16"/>
      <c r="G18" s="1"/>
      <c r="H18" s="14"/>
      <c r="I18" s="17"/>
      <c r="J18" s="10">
        <f>D18*I18</f>
        <v>0</v>
      </c>
    </row>
    <row r="19" spans="1:17" s="8" customFormat="1" x14ac:dyDescent="0.3">
      <c r="I19" s="74" t="s">
        <v>30</v>
      </c>
      <c r="J19" s="75">
        <f>SUM(J18:J18)</f>
        <v>0</v>
      </c>
    </row>
    <row r="20" spans="1:17" x14ac:dyDescent="0.3">
      <c r="H20" s="18"/>
      <c r="I20" s="19"/>
    </row>
    <row r="21" spans="1:17" s="8" customFormat="1" x14ac:dyDescent="0.3">
      <c r="A21" s="68" t="s">
        <v>17</v>
      </c>
      <c r="B21" s="68" t="s">
        <v>46</v>
      </c>
      <c r="C21" s="68" t="s">
        <v>19</v>
      </c>
      <c r="D21" s="68" t="s">
        <v>20</v>
      </c>
      <c r="E21" s="68" t="s">
        <v>36</v>
      </c>
      <c r="F21" s="68" t="s">
        <v>29</v>
      </c>
      <c r="G21" s="68" t="s">
        <v>47</v>
      </c>
      <c r="H21" s="68" t="s">
        <v>48</v>
      </c>
      <c r="I21" s="68" t="s">
        <v>30</v>
      </c>
    </row>
    <row r="22" spans="1:17" x14ac:dyDescent="0.3">
      <c r="A22" s="1"/>
      <c r="B22" s="1"/>
      <c r="C22" s="1"/>
      <c r="D22" s="10"/>
      <c r="E22" s="1"/>
      <c r="F22" s="1"/>
      <c r="G22" s="1"/>
      <c r="H22" s="1"/>
      <c r="I22" s="10">
        <f>D22*F22</f>
        <v>0</v>
      </c>
    </row>
    <row r="23" spans="1:17" s="8" customFormat="1" x14ac:dyDescent="0.3">
      <c r="H23" s="74" t="s">
        <v>30</v>
      </c>
      <c r="I23" s="122">
        <f>SUM(I22)</f>
        <v>0</v>
      </c>
    </row>
    <row r="24" spans="1:17" x14ac:dyDescent="0.3">
      <c r="H24" s="18"/>
      <c r="I24" s="19"/>
    </row>
    <row r="30" spans="1:17" x14ac:dyDescent="0.3">
      <c r="Q30" s="23"/>
    </row>
  </sheetData>
  <hyperlinks>
    <hyperlink ref="J3" location="BOM!A1" display="FileLink1" xr:uid="{00000000-0004-0000-3100-000000000000}"/>
  </hyperlinks>
  <pageMargins left="0.5" right="0.5" top="0.75" bottom="0.75" header="0.3" footer="0.3"/>
  <pageSetup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49">
    <tabColor rgb="FFFFFF00"/>
    <pageSetUpPr fitToPage="1"/>
  </sheetPr>
  <dimension ref="A1:Q30"/>
  <sheetViews>
    <sheetView zoomScale="70" zoomScaleNormal="70" workbookViewId="0">
      <selection activeCell="L16" sqref="L16"/>
    </sheetView>
  </sheetViews>
  <sheetFormatPr defaultColWidth="9.109375" defaultRowHeight="13.8" x14ac:dyDescent="0.3"/>
  <cols>
    <col min="1" max="1" width="9.6640625" style="2" customWidth="1"/>
    <col min="2" max="2" width="34.6640625" style="2" customWidth="1"/>
    <col min="3" max="3" width="43.44140625" style="2" customWidth="1"/>
    <col min="4" max="4" width="16" style="2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9.88671875" style="2" customWidth="1"/>
    <col min="10" max="10" width="13.88671875" style="2" bestFit="1" customWidth="1"/>
    <col min="11" max="11" width="18.10937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N11+I21+J25+I29</f>
        <v>5.5570819120000001</v>
      </c>
    </row>
    <row r="2" spans="1:14" x14ac:dyDescent="0.3">
      <c r="A2" s="68" t="s">
        <v>4</v>
      </c>
      <c r="B2" s="25" t="s">
        <v>64</v>
      </c>
      <c r="D2" s="68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1" t="s">
        <v>65</v>
      </c>
      <c r="D3" s="68" t="s">
        <v>8</v>
      </c>
      <c r="E3" s="1"/>
      <c r="J3" s="69" t="s">
        <v>5</v>
      </c>
      <c r="K3" s="1" t="s">
        <v>52</v>
      </c>
    </row>
    <row r="4" spans="1:14" x14ac:dyDescent="0.3">
      <c r="A4" s="68" t="s">
        <v>10</v>
      </c>
      <c r="B4" s="6" t="s">
        <v>138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5.5570819120000001</v>
      </c>
    </row>
    <row r="5" spans="1:14" x14ac:dyDescent="0.3">
      <c r="A5" s="68" t="s">
        <v>13</v>
      </c>
      <c r="B5" s="6"/>
      <c r="J5" s="68" t="s">
        <v>11</v>
      </c>
      <c r="K5" s="1"/>
    </row>
    <row r="6" spans="1:14" x14ac:dyDescent="0.3">
      <c r="A6" s="68" t="s">
        <v>14</v>
      </c>
      <c r="B6" s="1" t="s">
        <v>15</v>
      </c>
    </row>
    <row r="7" spans="1:14" x14ac:dyDescent="0.3">
      <c r="A7" s="68" t="s">
        <v>16</v>
      </c>
      <c r="B7" s="1" t="s">
        <v>257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23" t="s">
        <v>259</v>
      </c>
      <c r="C10" s="1" t="s">
        <v>258</v>
      </c>
      <c r="D10" s="10">
        <v>4.2</v>
      </c>
      <c r="E10" s="124">
        <f>(L10*J10*K10)</f>
        <v>2.8962360000000006E-2</v>
      </c>
      <c r="F10" s="1" t="s">
        <v>49</v>
      </c>
      <c r="G10" s="1"/>
      <c r="H10" s="11"/>
      <c r="I10" s="12" t="s">
        <v>34</v>
      </c>
      <c r="J10" s="63">
        <f>536.34/1000000</f>
        <v>5.3634000000000006E-4</v>
      </c>
      <c r="K10" s="63">
        <v>0.02</v>
      </c>
      <c r="L10" s="11">
        <v>2700</v>
      </c>
      <c r="M10" s="22">
        <v>1</v>
      </c>
      <c r="N10" s="4">
        <f>(D10*J10*K10*L10)</f>
        <v>0.12164191200000002</v>
      </c>
    </row>
    <row r="11" spans="1:14" s="8" customFormat="1" x14ac:dyDescent="0.3">
      <c r="M11" s="74" t="s">
        <v>30</v>
      </c>
      <c r="N11" s="75">
        <f>SUM(N10:N10)</f>
        <v>0.12164191200000002</v>
      </c>
    </row>
    <row r="13" spans="1:14" s="8" customFormat="1" x14ac:dyDescent="0.3">
      <c r="A13" s="68" t="s">
        <v>17</v>
      </c>
      <c r="B13" s="68" t="s">
        <v>35</v>
      </c>
      <c r="C13" s="68" t="s">
        <v>19</v>
      </c>
      <c r="D13" s="68" t="s">
        <v>20</v>
      </c>
      <c r="E13" s="68" t="s">
        <v>36</v>
      </c>
      <c r="F13" s="68" t="s">
        <v>29</v>
      </c>
      <c r="G13" s="68" t="s">
        <v>37</v>
      </c>
      <c r="H13" s="68" t="s">
        <v>38</v>
      </c>
      <c r="I13" s="68" t="s">
        <v>30</v>
      </c>
    </row>
    <row r="14" spans="1:14" x14ac:dyDescent="0.3">
      <c r="A14" s="25">
        <v>1</v>
      </c>
      <c r="B14" s="13" t="s">
        <v>50</v>
      </c>
      <c r="C14" s="29" t="s">
        <v>216</v>
      </c>
      <c r="D14" s="28">
        <v>1.3</v>
      </c>
      <c r="E14" s="25" t="s">
        <v>44</v>
      </c>
      <c r="F14" s="25">
        <v>1</v>
      </c>
      <c r="G14" s="25" t="s">
        <v>41</v>
      </c>
      <c r="H14" s="25">
        <v>1</v>
      </c>
      <c r="I14" s="28">
        <f t="shared" ref="I14:I20" si="0">D14*F14*H14</f>
        <v>1.3</v>
      </c>
    </row>
    <row r="15" spans="1:14" x14ac:dyDescent="0.3">
      <c r="A15" s="25">
        <v>2</v>
      </c>
      <c r="B15" s="13" t="s">
        <v>62</v>
      </c>
      <c r="C15" s="29" t="s">
        <v>90</v>
      </c>
      <c r="D15" s="28">
        <v>0.04</v>
      </c>
      <c r="E15" s="25" t="s">
        <v>54</v>
      </c>
      <c r="F15" s="30">
        <v>12.03</v>
      </c>
      <c r="G15" s="13" t="s">
        <v>59</v>
      </c>
      <c r="H15" s="25">
        <v>1</v>
      </c>
      <c r="I15" s="28">
        <f t="shared" si="0"/>
        <v>0.48119999999999996</v>
      </c>
    </row>
    <row r="16" spans="1:14" x14ac:dyDescent="0.3">
      <c r="A16" s="25">
        <v>3</v>
      </c>
      <c r="B16" s="42" t="s">
        <v>91</v>
      </c>
      <c r="C16" s="29" t="s">
        <v>139</v>
      </c>
      <c r="D16" s="28">
        <v>0.65</v>
      </c>
      <c r="E16" s="25" t="s">
        <v>44</v>
      </c>
      <c r="F16" s="125">
        <v>1</v>
      </c>
      <c r="G16" s="13" t="s">
        <v>41</v>
      </c>
      <c r="H16" s="25">
        <v>1</v>
      </c>
      <c r="I16" s="28">
        <f t="shared" si="0"/>
        <v>0.65</v>
      </c>
    </row>
    <row r="17" spans="1:17" x14ac:dyDescent="0.3">
      <c r="A17" s="25">
        <v>4</v>
      </c>
      <c r="B17" s="13" t="s">
        <v>62</v>
      </c>
      <c r="C17" s="29" t="s">
        <v>93</v>
      </c>
      <c r="D17" s="28">
        <v>0.04</v>
      </c>
      <c r="E17" s="25" t="s">
        <v>54</v>
      </c>
      <c r="F17" s="30">
        <v>36.090000000000003</v>
      </c>
      <c r="G17" s="13" t="s">
        <v>59</v>
      </c>
      <c r="H17" s="25">
        <v>1</v>
      </c>
      <c r="I17" s="28">
        <f t="shared" si="0"/>
        <v>1.4436000000000002</v>
      </c>
    </row>
    <row r="18" spans="1:17" x14ac:dyDescent="0.3">
      <c r="A18" s="25">
        <v>5</v>
      </c>
      <c r="B18" s="13" t="s">
        <v>50</v>
      </c>
      <c r="C18" s="29" t="s">
        <v>140</v>
      </c>
      <c r="D18" s="28">
        <v>1.3</v>
      </c>
      <c r="E18" s="25" t="s">
        <v>44</v>
      </c>
      <c r="F18" s="25">
        <v>1</v>
      </c>
      <c r="G18" s="25" t="s">
        <v>41</v>
      </c>
      <c r="H18" s="25">
        <v>1</v>
      </c>
      <c r="I18" s="28">
        <f t="shared" si="0"/>
        <v>1.3</v>
      </c>
    </row>
    <row r="19" spans="1:17" x14ac:dyDescent="0.3">
      <c r="A19" s="25">
        <v>6</v>
      </c>
      <c r="B19" s="13" t="s">
        <v>62</v>
      </c>
      <c r="C19" s="29" t="s">
        <v>141</v>
      </c>
      <c r="D19" s="28">
        <v>0.04</v>
      </c>
      <c r="E19" s="25" t="s">
        <v>54</v>
      </c>
      <c r="F19" s="25">
        <v>0.16600000000000001</v>
      </c>
      <c r="G19" s="25" t="s">
        <v>59</v>
      </c>
      <c r="H19" s="25">
        <v>1</v>
      </c>
      <c r="I19" s="28">
        <f t="shared" si="0"/>
        <v>6.6400000000000001E-3</v>
      </c>
    </row>
    <row r="20" spans="1:17" x14ac:dyDescent="0.3">
      <c r="A20" s="25">
        <v>7</v>
      </c>
      <c r="B20" s="13" t="s">
        <v>142</v>
      </c>
      <c r="C20" s="29" t="s">
        <v>143</v>
      </c>
      <c r="D20" s="28">
        <v>0.1</v>
      </c>
      <c r="E20" s="25" t="s">
        <v>40</v>
      </c>
      <c r="F20" s="161">
        <v>2.54</v>
      </c>
      <c r="G20" s="25" t="s">
        <v>41</v>
      </c>
      <c r="H20" s="25">
        <v>1</v>
      </c>
      <c r="I20" s="28">
        <f t="shared" si="0"/>
        <v>0.254</v>
      </c>
    </row>
    <row r="21" spans="1:17" s="8" customFormat="1" x14ac:dyDescent="0.3">
      <c r="H21" s="70" t="s">
        <v>30</v>
      </c>
      <c r="I21" s="71">
        <f>SUM(I14:I20)</f>
        <v>5.4354399999999998</v>
      </c>
      <c r="J21" s="67"/>
    </row>
    <row r="23" spans="1:17" s="8" customFormat="1" x14ac:dyDescent="0.3">
      <c r="A23" s="68" t="s">
        <v>17</v>
      </c>
      <c r="B23" s="68" t="s">
        <v>45</v>
      </c>
      <c r="C23" s="68" t="s">
        <v>19</v>
      </c>
      <c r="D23" s="68" t="s">
        <v>20</v>
      </c>
      <c r="E23" s="68" t="s">
        <v>21</v>
      </c>
      <c r="F23" s="68" t="s">
        <v>22</v>
      </c>
      <c r="G23" s="68" t="s">
        <v>23</v>
      </c>
      <c r="H23" s="68" t="s">
        <v>24</v>
      </c>
      <c r="I23" s="68" t="s">
        <v>29</v>
      </c>
      <c r="J23" s="68" t="s">
        <v>30</v>
      </c>
    </row>
    <row r="24" spans="1:17" x14ac:dyDescent="0.3">
      <c r="A24" s="1"/>
      <c r="B24" s="1"/>
      <c r="C24" s="1"/>
      <c r="D24" s="1"/>
      <c r="E24" s="1"/>
      <c r="F24" s="16"/>
      <c r="G24" s="1"/>
      <c r="H24" s="14"/>
      <c r="I24" s="17"/>
      <c r="J24" s="10">
        <f>D24*I24</f>
        <v>0</v>
      </c>
    </row>
    <row r="25" spans="1:17" s="8" customFormat="1" x14ac:dyDescent="0.3">
      <c r="I25" s="74" t="s">
        <v>30</v>
      </c>
      <c r="J25" s="75">
        <f>SUM(J24:J24)</f>
        <v>0</v>
      </c>
    </row>
    <row r="26" spans="1:17" x14ac:dyDescent="0.3">
      <c r="H26" s="18"/>
      <c r="I26" s="19"/>
    </row>
    <row r="27" spans="1:17" s="8" customFormat="1" x14ac:dyDescent="0.3">
      <c r="A27" s="68" t="s">
        <v>17</v>
      </c>
      <c r="B27" s="68" t="s">
        <v>46</v>
      </c>
      <c r="C27" s="68" t="s">
        <v>19</v>
      </c>
      <c r="D27" s="68" t="s">
        <v>20</v>
      </c>
      <c r="E27" s="68" t="s">
        <v>36</v>
      </c>
      <c r="F27" s="68" t="s">
        <v>29</v>
      </c>
      <c r="G27" s="68" t="s">
        <v>47</v>
      </c>
      <c r="H27" s="68" t="s">
        <v>48</v>
      </c>
      <c r="I27" s="68" t="s">
        <v>30</v>
      </c>
    </row>
    <row r="28" spans="1:17" x14ac:dyDescent="0.3">
      <c r="A28" s="1"/>
      <c r="B28" s="1"/>
      <c r="C28" s="1"/>
      <c r="D28" s="10"/>
      <c r="E28" s="1"/>
      <c r="F28" s="1"/>
      <c r="G28" s="1"/>
      <c r="H28" s="1"/>
      <c r="I28" s="10">
        <f>D28*F28</f>
        <v>0</v>
      </c>
    </row>
    <row r="29" spans="1:17" s="8" customFormat="1" x14ac:dyDescent="0.3">
      <c r="H29" s="74" t="s">
        <v>30</v>
      </c>
      <c r="I29" s="75">
        <f>SUM(I28)</f>
        <v>0</v>
      </c>
    </row>
    <row r="30" spans="1:17" x14ac:dyDescent="0.3">
      <c r="H30" s="18"/>
      <c r="I30" s="19"/>
      <c r="Q30" s="23"/>
    </row>
  </sheetData>
  <hyperlinks>
    <hyperlink ref="J3" location="BOM!A1" display="FileLink1" xr:uid="{00000000-0004-0000-3200-000000000000}"/>
  </hyperlinks>
  <pageMargins left="0.5" right="0.5" top="0.75" bottom="0.75" header="0.3" footer="0.3"/>
  <pageSetup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2">
    <tabColor rgb="FFFFFF00"/>
    <pageSetUpPr fitToPage="1"/>
  </sheetPr>
  <dimension ref="A1:Q34"/>
  <sheetViews>
    <sheetView zoomScaleNormal="100" workbookViewId="0">
      <selection activeCell="C22" sqref="C22"/>
    </sheetView>
  </sheetViews>
  <sheetFormatPr defaultColWidth="8.88671875" defaultRowHeight="13.8" x14ac:dyDescent="0.3"/>
  <cols>
    <col min="1" max="1" width="15" style="2" bestFit="1" customWidth="1"/>
    <col min="2" max="2" width="36.6640625" style="2" bestFit="1" customWidth="1"/>
    <col min="3" max="3" width="42.44140625" style="2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15.33203125" style="2" bestFit="1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8.10937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134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N11+I25+J29+I33</f>
        <v>10.072138499999998</v>
      </c>
    </row>
    <row r="2" spans="1:14" x14ac:dyDescent="0.3">
      <c r="A2" s="68" t="s">
        <v>4</v>
      </c>
      <c r="B2" s="1" t="s">
        <v>64</v>
      </c>
      <c r="D2" s="135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1" t="s">
        <v>144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155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10.072138499999998</v>
      </c>
    </row>
    <row r="5" spans="1:14" x14ac:dyDescent="0.3">
      <c r="A5" s="68" t="s">
        <v>13</v>
      </c>
      <c r="B5" s="6"/>
      <c r="J5" s="68" t="s">
        <v>11</v>
      </c>
      <c r="K5" s="1"/>
    </row>
    <row r="6" spans="1:14" x14ac:dyDescent="0.3">
      <c r="A6" s="68" t="s">
        <v>14</v>
      </c>
      <c r="B6" s="1" t="s">
        <v>15</v>
      </c>
    </row>
    <row r="7" spans="1:14" x14ac:dyDescent="0.3">
      <c r="A7" s="68" t="s">
        <v>16</v>
      </c>
      <c r="B7" s="136" t="s">
        <v>217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37" t="s">
        <v>58</v>
      </c>
      <c r="C10" s="1" t="s">
        <v>156</v>
      </c>
      <c r="D10" s="10">
        <v>4.2</v>
      </c>
      <c r="E10" s="36">
        <f>J10*K10*L10</f>
        <v>0.66764249999999992</v>
      </c>
      <c r="F10" s="1" t="s">
        <v>32</v>
      </c>
      <c r="G10" s="1"/>
      <c r="H10" s="11"/>
      <c r="I10" s="12" t="s">
        <v>105</v>
      </c>
      <c r="J10" s="138">
        <f>3.14*0.25*0.03*0.03</f>
        <v>7.0649999999999999E-4</v>
      </c>
      <c r="K10" s="11">
        <v>0.35</v>
      </c>
      <c r="L10" s="11">
        <v>2700</v>
      </c>
      <c r="M10" s="22">
        <v>1</v>
      </c>
      <c r="N10" s="4">
        <f>IF(J10="",D10*M10,D10*J10*K10*L10*M10)</f>
        <v>2.8040984999999994</v>
      </c>
    </row>
    <row r="11" spans="1:14" s="8" customFormat="1" x14ac:dyDescent="0.3">
      <c r="M11" s="74" t="s">
        <v>30</v>
      </c>
      <c r="N11" s="77">
        <f>SUM(N10:N10)</f>
        <v>2.8040984999999994</v>
      </c>
    </row>
    <row r="13" spans="1:14" s="8" customFormat="1" x14ac:dyDescent="0.3">
      <c r="A13" s="68" t="s">
        <v>17</v>
      </c>
      <c r="B13" s="68" t="s">
        <v>35</v>
      </c>
      <c r="C13" s="68" t="s">
        <v>19</v>
      </c>
      <c r="D13" s="68" t="s">
        <v>20</v>
      </c>
      <c r="E13" s="68" t="s">
        <v>36</v>
      </c>
      <c r="F13" s="68" t="s">
        <v>29</v>
      </c>
      <c r="G13" s="68" t="s">
        <v>37</v>
      </c>
      <c r="H13" s="68" t="s">
        <v>38</v>
      </c>
      <c r="I13" s="68" t="s">
        <v>30</v>
      </c>
    </row>
    <row r="14" spans="1:14" x14ac:dyDescent="0.3">
      <c r="A14" s="1">
        <v>1</v>
      </c>
      <c r="B14" s="42" t="s">
        <v>50</v>
      </c>
      <c r="C14" s="55" t="s">
        <v>157</v>
      </c>
      <c r="D14" s="40">
        <v>1.3</v>
      </c>
      <c r="E14" s="39" t="s">
        <v>44</v>
      </c>
      <c r="F14" s="39">
        <v>1</v>
      </c>
      <c r="G14" s="39" t="s">
        <v>41</v>
      </c>
      <c r="H14" s="142">
        <v>1</v>
      </c>
      <c r="I14" s="40">
        <f>IF('Pinion Shaft'!$H14&lt;&gt;"",'Pinion Shaft'!$D14*'Pinion Shaft'!$F14*'Pinion Shaft'!$H14,'Pinion Shaft'!$D14*'Pinion Shaft'!$F14)</f>
        <v>1.3</v>
      </c>
    </row>
    <row r="15" spans="1:14" x14ac:dyDescent="0.3">
      <c r="A15" s="39">
        <v>2</v>
      </c>
      <c r="B15" s="41" t="s">
        <v>62</v>
      </c>
      <c r="C15" s="55" t="s">
        <v>90</v>
      </c>
      <c r="D15" s="40">
        <v>0.04</v>
      </c>
      <c r="E15" s="39" t="s">
        <v>54</v>
      </c>
      <c r="F15" s="133">
        <v>17.399999999999999</v>
      </c>
      <c r="G15" s="142" t="s">
        <v>43</v>
      </c>
      <c r="H15" s="142">
        <v>3</v>
      </c>
      <c r="I15" s="40">
        <f>IF('Pinion Shaft'!$H15&lt;&gt;"",'Pinion Shaft'!$D15*'Pinion Shaft'!$F15*'Pinion Shaft'!$H15,'Pinion Shaft'!$D15*'Pinion Shaft'!$F15)</f>
        <v>2.0880000000000001</v>
      </c>
    </row>
    <row r="16" spans="1:14" x14ac:dyDescent="0.3">
      <c r="A16" s="39">
        <v>3</v>
      </c>
      <c r="B16" s="42" t="s">
        <v>91</v>
      </c>
      <c r="C16" s="38" t="s">
        <v>162</v>
      </c>
      <c r="D16" s="40">
        <v>0.65</v>
      </c>
      <c r="E16" s="39" t="s">
        <v>44</v>
      </c>
      <c r="F16" s="55">
        <v>1</v>
      </c>
      <c r="G16" s="39" t="s">
        <v>41</v>
      </c>
      <c r="H16" s="39">
        <v>1</v>
      </c>
      <c r="I16" s="40">
        <f>IF('Pinion Shaft'!$H16&lt;&gt;"",'Pinion Shaft'!$D16*'Pinion Shaft'!$F16*'Pinion Shaft'!$H16,'Pinion Shaft'!$D16*'Pinion Shaft'!$F16)</f>
        <v>0.65</v>
      </c>
    </row>
    <row r="17" spans="1:17" x14ac:dyDescent="0.3">
      <c r="A17" s="39">
        <v>4</v>
      </c>
      <c r="B17" s="41" t="s">
        <v>62</v>
      </c>
      <c r="C17" s="55" t="s">
        <v>93</v>
      </c>
      <c r="D17" s="40">
        <v>0.04</v>
      </c>
      <c r="E17" s="39" t="s">
        <v>54</v>
      </c>
      <c r="F17" s="65">
        <v>2.6560000000000001</v>
      </c>
      <c r="G17" s="142" t="s">
        <v>43</v>
      </c>
      <c r="H17" s="142">
        <v>3</v>
      </c>
      <c r="I17" s="40">
        <f>IF('Pinion Shaft'!$H17&lt;&gt;"",'Pinion Shaft'!$D17*'Pinion Shaft'!$F17*'Pinion Shaft'!$H17,'Pinion Shaft'!$D17*'Pinion Shaft'!$F17)</f>
        <v>0.31872</v>
      </c>
    </row>
    <row r="18" spans="1:17" x14ac:dyDescent="0.3">
      <c r="A18" s="39">
        <v>5</v>
      </c>
      <c r="B18" s="42" t="s">
        <v>50</v>
      </c>
      <c r="C18" s="14" t="s">
        <v>260</v>
      </c>
      <c r="D18" s="10">
        <v>1.3</v>
      </c>
      <c r="E18" s="1" t="s">
        <v>44</v>
      </c>
      <c r="F18" s="1">
        <v>1</v>
      </c>
      <c r="G18" s="1" t="s">
        <v>41</v>
      </c>
      <c r="H18" s="1">
        <v>1</v>
      </c>
      <c r="I18" s="40">
        <f>IF('Pinion Shaft'!$H18&lt;&gt;"",'Pinion Shaft'!$D18*'Pinion Shaft'!$F18*'Pinion Shaft'!$H18,'Pinion Shaft'!$D18*'Pinion Shaft'!$F18)</f>
        <v>1.3</v>
      </c>
    </row>
    <row r="19" spans="1:17" x14ac:dyDescent="0.3">
      <c r="A19" s="1">
        <v>6</v>
      </c>
      <c r="B19" s="13" t="s">
        <v>62</v>
      </c>
      <c r="C19" s="14" t="s">
        <v>261</v>
      </c>
      <c r="D19" s="10">
        <v>0.04</v>
      </c>
      <c r="E19" s="1" t="s">
        <v>54</v>
      </c>
      <c r="F19" s="1">
        <v>2.2509999999999999</v>
      </c>
      <c r="G19" s="34" t="s">
        <v>43</v>
      </c>
      <c r="H19" s="34">
        <v>3</v>
      </c>
      <c r="I19" s="40">
        <f>IF('Pinion Shaft'!$H19&lt;&gt;"",'Pinion Shaft'!$D19*'Pinion Shaft'!$F19*'Pinion Shaft'!$H19,'Pinion Shaft'!$D19*'Pinion Shaft'!$F19)</f>
        <v>0.27011999999999997</v>
      </c>
    </row>
    <row r="20" spans="1:17" x14ac:dyDescent="0.3">
      <c r="A20" s="1">
        <v>7</v>
      </c>
      <c r="B20" s="13" t="s">
        <v>91</v>
      </c>
      <c r="C20" s="14" t="s">
        <v>158</v>
      </c>
      <c r="D20" s="10">
        <v>0.04</v>
      </c>
      <c r="E20" s="1" t="s">
        <v>44</v>
      </c>
      <c r="F20" s="1">
        <v>1</v>
      </c>
      <c r="G20" s="34" t="s">
        <v>41</v>
      </c>
      <c r="H20" s="34">
        <v>1</v>
      </c>
      <c r="I20" s="40">
        <f>IF('Pinion Shaft'!$H20&lt;&gt;"",'Pinion Shaft'!$D20*'Pinion Shaft'!$F20*'Pinion Shaft'!$H20,'Pinion Shaft'!$D20*'Pinion Shaft'!$F20)</f>
        <v>0.04</v>
      </c>
    </row>
    <row r="21" spans="1:17" x14ac:dyDescent="0.3">
      <c r="A21" s="1">
        <v>8</v>
      </c>
      <c r="B21" s="13" t="s">
        <v>62</v>
      </c>
      <c r="C21" s="14" t="s">
        <v>262</v>
      </c>
      <c r="D21" s="10">
        <v>0.04</v>
      </c>
      <c r="E21" s="1" t="s">
        <v>54</v>
      </c>
      <c r="F21" s="1">
        <v>1.76</v>
      </c>
      <c r="G21" s="34" t="s">
        <v>43</v>
      </c>
      <c r="H21" s="34">
        <v>3</v>
      </c>
      <c r="I21" s="40">
        <f>IF('Pinion Shaft'!$H21&lt;&gt;"",'Pinion Shaft'!$D21*'Pinion Shaft'!$F21*'Pinion Shaft'!$H21,'Pinion Shaft'!$D21*'Pinion Shaft'!$F21)</f>
        <v>0.2112</v>
      </c>
    </row>
    <row r="22" spans="1:17" x14ac:dyDescent="0.3">
      <c r="A22" s="1">
        <v>9</v>
      </c>
      <c r="B22" s="13" t="s">
        <v>79</v>
      </c>
      <c r="C22" s="14" t="s">
        <v>159</v>
      </c>
      <c r="D22" s="10">
        <v>0.35</v>
      </c>
      <c r="E22" s="1" t="s">
        <v>61</v>
      </c>
      <c r="F22" s="1">
        <v>1</v>
      </c>
      <c r="G22" s="58" t="s">
        <v>240</v>
      </c>
      <c r="H22" s="1">
        <v>1.5</v>
      </c>
      <c r="I22" s="40">
        <f>IF('Pinion Shaft'!$H22&lt;&gt;"",'Pinion Shaft'!$D22*'Pinion Shaft'!$F22*'Pinion Shaft'!$H22,'Pinion Shaft'!$D22*'Pinion Shaft'!$F22)</f>
        <v>0.52499999999999991</v>
      </c>
    </row>
    <row r="23" spans="1:17" x14ac:dyDescent="0.3">
      <c r="A23" s="1">
        <v>7</v>
      </c>
      <c r="B23" s="13" t="s">
        <v>91</v>
      </c>
      <c r="C23" s="14" t="s">
        <v>158</v>
      </c>
      <c r="D23" s="10">
        <v>0.04</v>
      </c>
      <c r="E23" s="1" t="s">
        <v>44</v>
      </c>
      <c r="F23" s="1">
        <v>1</v>
      </c>
      <c r="G23" s="34" t="s">
        <v>41</v>
      </c>
      <c r="H23" s="34">
        <v>1</v>
      </c>
      <c r="I23" s="40">
        <f>IF('Pinion Shaft'!$H23&lt;&gt;"",'Pinion Shaft'!$D23*'Pinion Shaft'!$F23*'Pinion Shaft'!$H23,'Pinion Shaft'!$D23*'Pinion Shaft'!$F23)</f>
        <v>0.04</v>
      </c>
    </row>
    <row r="24" spans="1:17" x14ac:dyDescent="0.3">
      <c r="A24" s="2">
        <v>10</v>
      </c>
      <c r="B24" s="13" t="s">
        <v>79</v>
      </c>
      <c r="C24" s="14" t="s">
        <v>218</v>
      </c>
      <c r="D24" s="162">
        <v>0.35</v>
      </c>
      <c r="E24" s="2" t="s">
        <v>61</v>
      </c>
      <c r="F24" s="2">
        <v>1</v>
      </c>
      <c r="G24" s="58" t="s">
        <v>240</v>
      </c>
      <c r="H24" s="163">
        <v>1.5</v>
      </c>
      <c r="I24" s="40">
        <f>IF('Pinion Shaft'!$H24&lt;&gt;"",'Pinion Shaft'!$D24*'Pinion Shaft'!$F24*'Pinion Shaft'!$H24,'Pinion Shaft'!$D24*'Pinion Shaft'!$F24)</f>
        <v>0.52499999999999991</v>
      </c>
    </row>
    <row r="25" spans="1:17" s="8" customFormat="1" x14ac:dyDescent="0.3">
      <c r="H25" s="126" t="s">
        <v>30</v>
      </c>
      <c r="I25" s="127">
        <f>SUM(I14:I24)</f>
        <v>7.2680399999999992</v>
      </c>
    </row>
    <row r="27" spans="1:17" s="8" customFormat="1" x14ac:dyDescent="0.3">
      <c r="A27" s="68" t="s">
        <v>17</v>
      </c>
      <c r="B27" s="68" t="s">
        <v>45</v>
      </c>
      <c r="C27" s="68" t="s">
        <v>19</v>
      </c>
      <c r="D27" s="68" t="s">
        <v>20</v>
      </c>
      <c r="E27" s="68" t="s">
        <v>21</v>
      </c>
      <c r="F27" s="68" t="s">
        <v>22</v>
      </c>
      <c r="G27" s="68" t="s">
        <v>23</v>
      </c>
      <c r="H27" s="68" t="s">
        <v>24</v>
      </c>
      <c r="I27" s="68" t="s">
        <v>29</v>
      </c>
      <c r="J27" s="68" t="s">
        <v>30</v>
      </c>
    </row>
    <row r="28" spans="1:17" x14ac:dyDescent="0.3">
      <c r="A28" s="1"/>
      <c r="B28" s="1"/>
      <c r="C28" s="1"/>
      <c r="D28" s="1"/>
      <c r="E28" s="1"/>
      <c r="F28" s="16"/>
      <c r="G28" s="1"/>
      <c r="H28" s="14"/>
      <c r="I28" s="17"/>
      <c r="J28" s="10">
        <f>D28*I28</f>
        <v>0</v>
      </c>
    </row>
    <row r="29" spans="1:17" s="8" customFormat="1" x14ac:dyDescent="0.3">
      <c r="I29" s="74" t="s">
        <v>30</v>
      </c>
      <c r="J29" s="75">
        <f>SUM(J28:J28)</f>
        <v>0</v>
      </c>
    </row>
    <row r="30" spans="1:17" x14ac:dyDescent="0.3">
      <c r="H30" s="18"/>
      <c r="I30" s="19"/>
    </row>
    <row r="31" spans="1:17" s="8" customFormat="1" x14ac:dyDescent="0.3">
      <c r="A31" s="68" t="s">
        <v>17</v>
      </c>
      <c r="B31" s="68" t="s">
        <v>46</v>
      </c>
      <c r="C31" s="68" t="s">
        <v>19</v>
      </c>
      <c r="D31" s="68" t="s">
        <v>20</v>
      </c>
      <c r="E31" s="68" t="s">
        <v>36</v>
      </c>
      <c r="F31" s="68" t="s">
        <v>29</v>
      </c>
      <c r="G31" s="68" t="s">
        <v>47</v>
      </c>
      <c r="H31" s="68" t="s">
        <v>48</v>
      </c>
      <c r="I31" s="68" t="s">
        <v>30</v>
      </c>
    </row>
    <row r="32" spans="1:17" x14ac:dyDescent="0.3">
      <c r="A32" s="1"/>
      <c r="B32" s="1"/>
      <c r="C32" s="1"/>
      <c r="D32" s="10"/>
      <c r="E32" s="1"/>
      <c r="F32" s="1"/>
      <c r="G32" s="1"/>
      <c r="H32" s="1"/>
      <c r="I32" s="10" t="str">
        <f>IF('Pinion Shaft'!$G32&lt;&gt;"",D32*F32/G32*H32,"")</f>
        <v/>
      </c>
      <c r="Q32" s="23"/>
    </row>
    <row r="33" spans="8:9" s="8" customFormat="1" x14ac:dyDescent="0.3">
      <c r="H33" s="74" t="s">
        <v>30</v>
      </c>
      <c r="I33" s="139">
        <f>SUM(I32:I32)</f>
        <v>0</v>
      </c>
    </row>
    <row r="34" spans="8:9" x14ac:dyDescent="0.3">
      <c r="H34" s="18"/>
      <c r="I34" s="19"/>
    </row>
  </sheetData>
  <hyperlinks>
    <hyperlink ref="J3" location="BOM!A1" display="FileLink1" xr:uid="{00000000-0004-0000-3500-000000000000}"/>
  </hyperlinks>
  <pageMargins left="0.5" right="0.5" top="0.75" bottom="0.75" header="0.3" footer="0.3"/>
  <pageSetup scale="68"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0">
    <tabColor rgb="FFFFFF00"/>
    <pageSetUpPr fitToPage="1"/>
  </sheetPr>
  <dimension ref="A1:Q33"/>
  <sheetViews>
    <sheetView zoomScale="85" zoomScaleNormal="85" workbookViewId="0">
      <selection activeCell="C24" sqref="C24"/>
    </sheetView>
  </sheetViews>
  <sheetFormatPr defaultColWidth="8.88671875" defaultRowHeight="13.8" x14ac:dyDescent="0.3"/>
  <cols>
    <col min="1" max="1" width="9.44140625" style="2" bestFit="1" customWidth="1"/>
    <col min="2" max="2" width="34.5546875" style="2" customWidth="1"/>
    <col min="3" max="3" width="42.44140625" style="2" bestFit="1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20.6640625" style="2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441406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128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N11+I23+J27+I31</f>
        <v>37.177400000000006</v>
      </c>
    </row>
    <row r="2" spans="1:14" x14ac:dyDescent="0.3">
      <c r="A2" s="90" t="s">
        <v>4</v>
      </c>
      <c r="B2" s="39" t="s">
        <v>102</v>
      </c>
      <c r="D2" s="129" t="s">
        <v>5</v>
      </c>
      <c r="E2" s="39"/>
      <c r="M2" s="90" t="s">
        <v>6</v>
      </c>
      <c r="N2" s="46">
        <v>2</v>
      </c>
    </row>
    <row r="3" spans="1:14" ht="14.4" x14ac:dyDescent="0.3">
      <c r="A3" s="90" t="s">
        <v>7</v>
      </c>
      <c r="B3" s="39" t="s">
        <v>144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145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74.354800000000012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x14ac:dyDescent="0.3">
      <c r="A7" s="90" t="s">
        <v>16</v>
      </c>
      <c r="B7" s="130" t="s">
        <v>146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131" t="s">
        <v>58</v>
      </c>
      <c r="C10" s="39" t="s">
        <v>147</v>
      </c>
      <c r="D10" s="40">
        <v>4.2</v>
      </c>
      <c r="E10" s="60">
        <f>J10*K10*L10</f>
        <v>2.7000000000000006</v>
      </c>
      <c r="F10" s="39" t="s">
        <v>32</v>
      </c>
      <c r="G10" s="39"/>
      <c r="H10" s="50"/>
      <c r="I10" s="51" t="s">
        <v>34</v>
      </c>
      <c r="J10" s="132">
        <f>0.1*0.1</f>
        <v>1.0000000000000002E-2</v>
      </c>
      <c r="K10" s="50">
        <v>0.1</v>
      </c>
      <c r="L10" s="50">
        <v>2700</v>
      </c>
      <c r="M10" s="53">
        <v>1</v>
      </c>
      <c r="N10" s="45">
        <f>IF(J10="",D10*M10,D10*J10*K10*L10*M10)</f>
        <v>11.340000000000003</v>
      </c>
    </row>
    <row r="11" spans="1:14" s="8" customFormat="1" x14ac:dyDescent="0.3">
      <c r="M11" s="91" t="s">
        <v>30</v>
      </c>
      <c r="N11" s="92">
        <f>SUM(N10:N10)</f>
        <v>11.340000000000003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x14ac:dyDescent="0.3">
      <c r="A14" s="39">
        <v>1</v>
      </c>
      <c r="B14" s="41" t="s">
        <v>50</v>
      </c>
      <c r="C14" s="55" t="s">
        <v>219</v>
      </c>
      <c r="D14" s="40">
        <v>1.3</v>
      </c>
      <c r="E14" s="39" t="s">
        <v>36</v>
      </c>
      <c r="F14" s="39">
        <v>1</v>
      </c>
      <c r="G14" s="39" t="s">
        <v>41</v>
      </c>
      <c r="H14" s="39">
        <v>1</v>
      </c>
      <c r="I14" s="40">
        <f>IF('Bevel Casing'!$H14&lt;&gt;"",'Bevel Casing'!$D14*'Bevel Casing'!$F14*'Bevel Casing'!$H14,'Bevel Casing'!$D14*'Bevel Casing'!$F14)</f>
        <v>1.3</v>
      </c>
    </row>
    <row r="15" spans="1:14" x14ac:dyDescent="0.3">
      <c r="A15" s="39">
        <v>4</v>
      </c>
      <c r="B15" s="41" t="s">
        <v>62</v>
      </c>
      <c r="C15" s="55" t="s">
        <v>263</v>
      </c>
      <c r="D15" s="40">
        <v>0.04</v>
      </c>
      <c r="E15" s="39" t="s">
        <v>54</v>
      </c>
      <c r="F15" s="65">
        <v>213.5</v>
      </c>
      <c r="G15" s="142" t="s">
        <v>59</v>
      </c>
      <c r="H15" s="142">
        <v>1</v>
      </c>
      <c r="I15" s="40">
        <f>IF('Bevel Casing'!$H15&lt;&gt;"",'Bevel Casing'!$D15*'Bevel Casing'!$F15*'Bevel Casing'!$H15,'Bevel Casing'!$D15*'Bevel Casing'!$F15)</f>
        <v>8.5400000000000009</v>
      </c>
    </row>
    <row r="16" spans="1:14" x14ac:dyDescent="0.3">
      <c r="A16" s="39">
        <v>5</v>
      </c>
      <c r="B16" s="42" t="s">
        <v>91</v>
      </c>
      <c r="C16" s="38" t="s">
        <v>118</v>
      </c>
      <c r="D16" s="40">
        <v>0.65</v>
      </c>
      <c r="E16" s="39" t="s">
        <v>36</v>
      </c>
      <c r="F16" s="39">
        <v>1</v>
      </c>
      <c r="G16" s="142" t="s">
        <v>41</v>
      </c>
      <c r="H16" s="142">
        <v>1</v>
      </c>
      <c r="I16" s="40">
        <f>IF('Bevel Casing'!$H16&lt;&gt;"",'Bevel Casing'!$D16*'Bevel Casing'!$F16*'Bevel Casing'!$H16,'Bevel Casing'!$D16*'Bevel Casing'!$F16)</f>
        <v>0.65</v>
      </c>
    </row>
    <row r="17" spans="1:10" x14ac:dyDescent="0.3">
      <c r="A17" s="39"/>
      <c r="B17" s="41" t="s">
        <v>62</v>
      </c>
      <c r="C17" s="38" t="s">
        <v>264</v>
      </c>
      <c r="D17" s="40">
        <v>0.04</v>
      </c>
      <c r="E17" s="39" t="s">
        <v>54</v>
      </c>
      <c r="F17" s="39">
        <v>55.63</v>
      </c>
      <c r="G17" s="142" t="s">
        <v>59</v>
      </c>
      <c r="H17" s="142">
        <v>1</v>
      </c>
      <c r="I17" s="40">
        <f>(D17*F17*H17)</f>
        <v>2.2252000000000001</v>
      </c>
    </row>
    <row r="18" spans="1:10" x14ac:dyDescent="0.3">
      <c r="A18" s="2">
        <v>10</v>
      </c>
      <c r="B18" s="13" t="s">
        <v>79</v>
      </c>
      <c r="C18" s="14" t="s">
        <v>266</v>
      </c>
      <c r="D18" s="162">
        <v>0.35</v>
      </c>
      <c r="E18" s="2" t="s">
        <v>61</v>
      </c>
      <c r="F18" s="2">
        <v>1</v>
      </c>
      <c r="G18" s="58" t="s">
        <v>240</v>
      </c>
      <c r="H18" s="163">
        <v>1.5</v>
      </c>
      <c r="I18" s="40">
        <f>IF('Pinion Shaft'!$H18&lt;&gt;"",'Pinion Shaft'!$D18*'Pinion Shaft'!$F18*'Pinion Shaft'!$H18,'Pinion Shaft'!$D18*'Pinion Shaft'!$F18)</f>
        <v>1.3</v>
      </c>
    </row>
    <row r="19" spans="1:10" x14ac:dyDescent="0.3">
      <c r="A19" s="39">
        <v>5</v>
      </c>
      <c r="B19" s="42" t="s">
        <v>91</v>
      </c>
      <c r="C19" s="38" t="s">
        <v>118</v>
      </c>
      <c r="D19" s="40">
        <v>0.65</v>
      </c>
      <c r="E19" s="39" t="s">
        <v>36</v>
      </c>
      <c r="F19" s="39">
        <v>1</v>
      </c>
      <c r="G19" s="142" t="s">
        <v>41</v>
      </c>
      <c r="H19" s="142">
        <v>1</v>
      </c>
      <c r="I19" s="40">
        <f>IF('Bevel Casing'!$H19&lt;&gt;"",'Bevel Casing'!$D19*'Bevel Casing'!$F19*'Bevel Casing'!$H19,'Bevel Casing'!$D19*'Bevel Casing'!$F19)</f>
        <v>0.65</v>
      </c>
    </row>
    <row r="20" spans="1:10" x14ac:dyDescent="0.3">
      <c r="A20" s="39">
        <v>4</v>
      </c>
      <c r="B20" s="41" t="s">
        <v>62</v>
      </c>
      <c r="C20" s="55" t="s">
        <v>265</v>
      </c>
      <c r="D20" s="40">
        <v>0.04</v>
      </c>
      <c r="E20" s="39" t="s">
        <v>54</v>
      </c>
      <c r="F20" s="65">
        <v>223.68</v>
      </c>
      <c r="G20" s="142" t="s">
        <v>59</v>
      </c>
      <c r="H20" s="142">
        <v>1</v>
      </c>
      <c r="I20" s="40">
        <f>IF('Bevel Casing'!$H20&lt;&gt;"",'Bevel Casing'!$D20*'Bevel Casing'!$F20*'Bevel Casing'!$H20,'Bevel Casing'!$D20*'Bevel Casing'!$F20)</f>
        <v>8.9472000000000005</v>
      </c>
    </row>
    <row r="21" spans="1:10" x14ac:dyDescent="0.3">
      <c r="A21" s="39">
        <v>5</v>
      </c>
      <c r="B21" s="42" t="s">
        <v>91</v>
      </c>
      <c r="C21" s="38" t="s">
        <v>118</v>
      </c>
      <c r="D21" s="40">
        <v>0.65</v>
      </c>
      <c r="E21" s="39" t="s">
        <v>36</v>
      </c>
      <c r="F21" s="39">
        <v>1</v>
      </c>
      <c r="G21" s="142" t="s">
        <v>41</v>
      </c>
      <c r="H21" s="142">
        <v>1</v>
      </c>
      <c r="I21" s="40">
        <f>IF('Bevel Casing'!$H21&lt;&gt;"",'Bevel Casing'!$D21*'Bevel Casing'!$F21*'Bevel Casing'!$H21,'Bevel Casing'!$D21*'Bevel Casing'!$F21)</f>
        <v>0.65</v>
      </c>
    </row>
    <row r="22" spans="1:10" x14ac:dyDescent="0.3">
      <c r="A22" s="2">
        <v>10</v>
      </c>
      <c r="B22" s="13" t="s">
        <v>79</v>
      </c>
      <c r="C22" s="14" t="s">
        <v>267</v>
      </c>
      <c r="D22" s="162">
        <v>0.35</v>
      </c>
      <c r="E22" s="2" t="s">
        <v>61</v>
      </c>
      <c r="F22" s="2">
        <v>3</v>
      </c>
      <c r="G22" s="58" t="s">
        <v>240</v>
      </c>
      <c r="H22" s="163">
        <v>1.5</v>
      </c>
      <c r="I22" s="40">
        <f>(D22*F22*H22)</f>
        <v>1.5749999999999997</v>
      </c>
    </row>
    <row r="23" spans="1:10" s="8" customFormat="1" x14ac:dyDescent="0.3">
      <c r="H23" s="91" t="s">
        <v>30</v>
      </c>
      <c r="I23" s="92">
        <f>SUM(I14:I22)</f>
        <v>25.837400000000002</v>
      </c>
    </row>
    <row r="25" spans="1:10" s="8" customFormat="1" x14ac:dyDescent="0.3">
      <c r="A25" s="90" t="s">
        <v>17</v>
      </c>
      <c r="B25" s="90" t="s">
        <v>45</v>
      </c>
      <c r="C25" s="90" t="s">
        <v>19</v>
      </c>
      <c r="D25" s="90" t="s">
        <v>20</v>
      </c>
      <c r="E25" s="90" t="s">
        <v>21</v>
      </c>
      <c r="F25" s="90" t="s">
        <v>22</v>
      </c>
      <c r="G25" s="90" t="s">
        <v>23</v>
      </c>
      <c r="H25" s="90" t="s">
        <v>24</v>
      </c>
      <c r="I25" s="90" t="s">
        <v>29</v>
      </c>
      <c r="J25" s="90" t="s">
        <v>30</v>
      </c>
    </row>
    <row r="26" spans="1:10" x14ac:dyDescent="0.3">
      <c r="A26" s="39"/>
      <c r="B26" s="39"/>
      <c r="C26" s="39"/>
      <c r="D26" s="39"/>
      <c r="E26" s="39"/>
      <c r="F26" s="54"/>
      <c r="G26" s="39"/>
      <c r="H26" s="55"/>
      <c r="I26" s="56"/>
      <c r="J26" s="40">
        <f>D26*I26</f>
        <v>0</v>
      </c>
    </row>
    <row r="27" spans="1:10" s="8" customFormat="1" x14ac:dyDescent="0.3">
      <c r="I27" s="91" t="s">
        <v>30</v>
      </c>
      <c r="J27" s="92">
        <f>SUM(J26:J26)</f>
        <v>0</v>
      </c>
    </row>
    <row r="28" spans="1:10" x14ac:dyDescent="0.3">
      <c r="H28" s="18"/>
      <c r="I28" s="19"/>
    </row>
    <row r="29" spans="1:10" s="8" customFormat="1" x14ac:dyDescent="0.3">
      <c r="A29" s="90" t="s">
        <v>17</v>
      </c>
      <c r="B29" s="90" t="s">
        <v>46</v>
      </c>
      <c r="C29" s="90" t="s">
        <v>19</v>
      </c>
      <c r="D29" s="90" t="s">
        <v>20</v>
      </c>
      <c r="E29" s="90" t="s">
        <v>36</v>
      </c>
      <c r="F29" s="90" t="s">
        <v>29</v>
      </c>
      <c r="G29" s="90" t="s">
        <v>47</v>
      </c>
      <c r="H29" s="90" t="s">
        <v>48</v>
      </c>
      <c r="I29" s="90" t="s">
        <v>30</v>
      </c>
    </row>
    <row r="30" spans="1:10" x14ac:dyDescent="0.3">
      <c r="A30" s="39"/>
      <c r="B30" s="39"/>
      <c r="C30" s="39"/>
      <c r="D30" s="40"/>
      <c r="E30" s="39"/>
      <c r="F30" s="39"/>
      <c r="G30" s="39"/>
      <c r="H30" s="39"/>
      <c r="I30" s="40" t="str">
        <f>IF('Bevel Casing'!$G30&lt;&gt;"",D30*F30/G30*H30,"")</f>
        <v/>
      </c>
    </row>
    <row r="31" spans="1:10" s="8" customFormat="1" x14ac:dyDescent="0.3">
      <c r="H31" s="91" t="s">
        <v>30</v>
      </c>
      <c r="I31" s="93">
        <f>SUM(I30:I30)</f>
        <v>0</v>
      </c>
    </row>
    <row r="32" spans="1:10" x14ac:dyDescent="0.3">
      <c r="H32" s="18"/>
      <c r="I32" s="19"/>
    </row>
    <row r="33" spans="17:17" x14ac:dyDescent="0.3">
      <c r="Q33" s="23"/>
    </row>
  </sheetData>
  <hyperlinks>
    <hyperlink ref="J3" location="BOM!A1" display="FileLink1" xr:uid="{00000000-0004-0000-3300-000000000000}"/>
  </hyperlinks>
  <pageMargins left="0.5" right="0.5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F472-B010-48C0-A86D-5A8457EFC140}">
  <sheetPr>
    <tabColor rgb="FFFFFF00"/>
  </sheetPr>
  <dimension ref="A1"/>
  <sheetViews>
    <sheetView tabSelected="1" zoomScaleNormal="100" workbookViewId="0">
      <selection activeCell="P20" sqref="P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1">
    <tabColor rgb="FFFFFF00"/>
    <pageSetUpPr fitToPage="1"/>
  </sheetPr>
  <dimension ref="A1:Q31"/>
  <sheetViews>
    <sheetView zoomScale="70" zoomScaleNormal="70" workbookViewId="0">
      <selection activeCell="A16" sqref="A16:XFD16"/>
    </sheetView>
  </sheetViews>
  <sheetFormatPr defaultColWidth="9.109375" defaultRowHeight="13.8" x14ac:dyDescent="0.3"/>
  <cols>
    <col min="1" max="1" width="9.6640625" style="2" customWidth="1"/>
    <col min="2" max="2" width="36.5546875" style="2" customWidth="1"/>
    <col min="3" max="3" width="60.5546875" style="2" bestFit="1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7" style="2" customWidth="1"/>
    <col min="8" max="8" width="13.88671875" style="2" bestFit="1" customWidth="1"/>
    <col min="9" max="9" width="15.5546875" style="2" bestFit="1" customWidth="1"/>
    <col min="10" max="10" width="12.88671875" style="2" customWidth="1"/>
    <col min="11" max="11" width="15.10937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90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N11+I22+J26+I30</f>
        <v>28.202266250000001</v>
      </c>
    </row>
    <row r="2" spans="1:14" x14ac:dyDescent="0.3">
      <c r="A2" s="90" t="s">
        <v>4</v>
      </c>
      <c r="B2" s="39" t="s">
        <v>64</v>
      </c>
      <c r="D2" s="90" t="s">
        <v>5</v>
      </c>
      <c r="E2" s="39"/>
      <c r="M2" s="90" t="s">
        <v>6</v>
      </c>
      <c r="N2" s="46">
        <v>2</v>
      </c>
    </row>
    <row r="3" spans="1:14" ht="14.4" x14ac:dyDescent="0.3">
      <c r="A3" s="90" t="s">
        <v>7</v>
      </c>
      <c r="B3" s="39" t="s">
        <v>144</v>
      </c>
      <c r="D3" s="90" t="s">
        <v>8</v>
      </c>
      <c r="E3" s="39"/>
      <c r="G3" s="85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149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56.404532500000002</v>
      </c>
    </row>
    <row r="5" spans="1:14" x14ac:dyDescent="0.3">
      <c r="A5" s="90" t="s">
        <v>13</v>
      </c>
      <c r="B5" s="47"/>
      <c r="C5" s="166"/>
      <c r="G5" s="85"/>
      <c r="J5" s="90" t="s">
        <v>11</v>
      </c>
      <c r="K5" s="39"/>
    </row>
    <row r="6" spans="1:14" x14ac:dyDescent="0.3">
      <c r="A6" s="90" t="s">
        <v>14</v>
      </c>
      <c r="B6" s="39" t="s">
        <v>15</v>
      </c>
      <c r="G6" s="85"/>
    </row>
    <row r="7" spans="1:14" x14ac:dyDescent="0.3">
      <c r="A7" s="90" t="s">
        <v>16</v>
      </c>
      <c r="B7" s="39" t="s">
        <v>150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39" t="s">
        <v>31</v>
      </c>
      <c r="C10" s="39" t="s">
        <v>151</v>
      </c>
      <c r="D10" s="40">
        <v>2.25</v>
      </c>
      <c r="E10" s="57">
        <f>J10*L10*K10</f>
        <v>1.4200650000000001</v>
      </c>
      <c r="F10" s="39" t="s">
        <v>32</v>
      </c>
      <c r="G10" s="39" t="s">
        <v>271</v>
      </c>
      <c r="H10" s="50"/>
      <c r="I10" s="51" t="s">
        <v>34</v>
      </c>
      <c r="J10" s="59">
        <v>1.8090000000000001E-3</v>
      </c>
      <c r="K10" s="50">
        <v>0.1</v>
      </c>
      <c r="L10" s="50">
        <v>7850</v>
      </c>
      <c r="M10" s="53">
        <v>1</v>
      </c>
      <c r="N10" s="45">
        <f>IF(J10="",D10*M10,D10*J10*K10*L10*M10)</f>
        <v>3.1951462500000005</v>
      </c>
    </row>
    <row r="11" spans="1:14" s="8" customFormat="1" x14ac:dyDescent="0.3">
      <c r="M11" s="91" t="s">
        <v>30</v>
      </c>
      <c r="N11" s="97">
        <f>SUM(N10:N10)</f>
        <v>3.1951462500000005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x14ac:dyDescent="0.3">
      <c r="A14" s="39">
        <v>1</v>
      </c>
      <c r="B14" s="55" t="s">
        <v>50</v>
      </c>
      <c r="C14" s="55" t="s">
        <v>270</v>
      </c>
      <c r="D14" s="40">
        <v>1.3</v>
      </c>
      <c r="E14" s="39" t="s">
        <v>44</v>
      </c>
      <c r="F14" s="39">
        <v>1</v>
      </c>
      <c r="G14" s="39" t="s">
        <v>41</v>
      </c>
      <c r="H14" s="142">
        <v>1</v>
      </c>
      <c r="I14" s="40">
        <f>IF(Bevel!$H14&lt;&gt;"",Bevel!$D14*Bevel!$F14*Bevel!$H14,Bevel!$D14*Bevel!$F14)</f>
        <v>1.3</v>
      </c>
    </row>
    <row r="15" spans="1:14" x14ac:dyDescent="0.3">
      <c r="A15" s="39">
        <v>2</v>
      </c>
      <c r="B15" s="55" t="s">
        <v>152</v>
      </c>
      <c r="C15" s="55" t="s">
        <v>220</v>
      </c>
      <c r="D15" s="40">
        <v>0.04</v>
      </c>
      <c r="E15" s="39" t="s">
        <v>54</v>
      </c>
      <c r="F15" s="39">
        <v>48.115000000000002</v>
      </c>
      <c r="G15" s="39" t="s">
        <v>43</v>
      </c>
      <c r="H15" s="142">
        <v>3</v>
      </c>
      <c r="I15" s="45">
        <f>IF(Bevel!$H15&lt;&gt;"",Bevel!$D15*Bevel!$F15*Bevel!$H15,Bevel!$D15*Bevel!$F15)</f>
        <v>5.7738000000000005</v>
      </c>
    </row>
    <row r="16" spans="1:14" x14ac:dyDescent="0.3">
      <c r="A16" s="39">
        <v>3</v>
      </c>
      <c r="B16" s="55" t="s">
        <v>91</v>
      </c>
      <c r="C16" s="55" t="s">
        <v>153</v>
      </c>
      <c r="D16" s="40">
        <v>0.65</v>
      </c>
      <c r="E16" s="39" t="s">
        <v>44</v>
      </c>
      <c r="F16" s="39">
        <v>1</v>
      </c>
      <c r="G16" s="39" t="s">
        <v>41</v>
      </c>
      <c r="H16" s="142">
        <v>1</v>
      </c>
      <c r="I16" s="45">
        <f>IF(Bevel!$H16&lt;&gt;"",Bevel!$D16*Bevel!$F16*Bevel!$H16,Bevel!$D16*Bevel!$F16)</f>
        <v>0.65</v>
      </c>
    </row>
    <row r="17" spans="1:17" x14ac:dyDescent="0.3">
      <c r="A17" s="39">
        <v>4</v>
      </c>
      <c r="B17" s="55" t="s">
        <v>128</v>
      </c>
      <c r="C17" s="55" t="s">
        <v>221</v>
      </c>
      <c r="D17" s="40">
        <v>0.04</v>
      </c>
      <c r="E17" s="39" t="s">
        <v>54</v>
      </c>
      <c r="F17" s="39">
        <v>21.13</v>
      </c>
      <c r="G17" s="39" t="s">
        <v>43</v>
      </c>
      <c r="H17" s="142">
        <v>3</v>
      </c>
      <c r="I17" s="45">
        <f>(D17*F17*H17)</f>
        <v>2.5355999999999996</v>
      </c>
    </row>
    <row r="18" spans="1:17" ht="13.8" customHeight="1" x14ac:dyDescent="0.3">
      <c r="A18" s="39">
        <v>5</v>
      </c>
      <c r="B18" s="55" t="s">
        <v>128</v>
      </c>
      <c r="C18" s="55" t="s">
        <v>222</v>
      </c>
      <c r="D18" s="40">
        <v>0.04</v>
      </c>
      <c r="E18" s="39" t="s">
        <v>54</v>
      </c>
      <c r="F18" s="39">
        <v>40.229999999999997</v>
      </c>
      <c r="G18" s="39" t="s">
        <v>43</v>
      </c>
      <c r="H18" s="142">
        <v>3</v>
      </c>
      <c r="I18" s="45">
        <f>(D18*F18*H18)</f>
        <v>4.8276000000000003</v>
      </c>
    </row>
    <row r="19" spans="1:17" x14ac:dyDescent="0.3">
      <c r="A19" s="2">
        <v>10</v>
      </c>
      <c r="B19" s="13" t="s">
        <v>79</v>
      </c>
      <c r="C19" s="14" t="s">
        <v>268</v>
      </c>
      <c r="D19" s="162">
        <v>0.35</v>
      </c>
      <c r="E19" s="2" t="s">
        <v>61</v>
      </c>
      <c r="F19" s="2">
        <v>1</v>
      </c>
      <c r="G19" s="58" t="s">
        <v>240</v>
      </c>
      <c r="H19" s="173">
        <v>1.5</v>
      </c>
      <c r="I19" s="40">
        <f>IF('Pinion Shaft'!$H19&lt;&gt;"",'Pinion Shaft'!$D19*'Pinion Shaft'!$F19*'Pinion Shaft'!$H19,'Pinion Shaft'!$D19*'Pinion Shaft'!$F19)</f>
        <v>0.27011999999999997</v>
      </c>
    </row>
    <row r="20" spans="1:17" x14ac:dyDescent="0.3">
      <c r="A20" s="142">
        <v>6</v>
      </c>
      <c r="B20" s="55" t="s">
        <v>50</v>
      </c>
      <c r="C20" s="55" t="s">
        <v>154</v>
      </c>
      <c r="D20" s="40">
        <v>0.65</v>
      </c>
      <c r="E20" s="39" t="s">
        <v>44</v>
      </c>
      <c r="F20" s="39">
        <v>1</v>
      </c>
      <c r="G20" s="39" t="s">
        <v>41</v>
      </c>
      <c r="H20" s="142">
        <v>1</v>
      </c>
      <c r="I20" s="45">
        <f>IF(Bevel!$H20&lt;&gt;"",Bevel!$D20*Bevel!$F20*Bevel!$H20,Bevel!$D20*Bevel!$F20)</f>
        <v>0.65</v>
      </c>
    </row>
    <row r="21" spans="1:17" x14ac:dyDescent="0.3">
      <c r="A21" s="142">
        <v>7</v>
      </c>
      <c r="B21" s="164" t="s">
        <v>160</v>
      </c>
      <c r="C21" s="55" t="s">
        <v>269</v>
      </c>
      <c r="D21" s="40">
        <v>0.1</v>
      </c>
      <c r="E21" s="39" t="s">
        <v>40</v>
      </c>
      <c r="F21" s="142">
        <v>30</v>
      </c>
      <c r="G21" s="39" t="s">
        <v>43</v>
      </c>
      <c r="H21" s="142">
        <v>3</v>
      </c>
      <c r="I21" s="45">
        <f>IF(Bevel!$H21&lt;&gt;"",Bevel!$D21*Bevel!$F21*Bevel!$H21,Bevel!$D21*Bevel!$F21)</f>
        <v>9</v>
      </c>
    </row>
    <row r="22" spans="1:17" s="8" customFormat="1" x14ac:dyDescent="0.3">
      <c r="H22" s="91"/>
      <c r="I22" s="92">
        <f>SUM(I14:I21)</f>
        <v>25.00712</v>
      </c>
    </row>
    <row r="24" spans="1:17" s="8" customFormat="1" x14ac:dyDescent="0.3">
      <c r="A24" s="90" t="s">
        <v>17</v>
      </c>
      <c r="B24" s="90" t="s">
        <v>45</v>
      </c>
      <c r="C24" s="90" t="s">
        <v>19</v>
      </c>
      <c r="D24" s="90" t="s">
        <v>20</v>
      </c>
      <c r="E24" s="90" t="s">
        <v>21</v>
      </c>
      <c r="F24" s="90" t="s">
        <v>22</v>
      </c>
      <c r="G24" s="90" t="s">
        <v>23</v>
      </c>
      <c r="H24" s="90" t="s">
        <v>24</v>
      </c>
      <c r="I24" s="90" t="s">
        <v>29</v>
      </c>
      <c r="J24" s="90" t="s">
        <v>30</v>
      </c>
    </row>
    <row r="25" spans="1:17" x14ac:dyDescent="0.3">
      <c r="A25" s="39"/>
      <c r="B25" s="39"/>
      <c r="C25" s="39"/>
      <c r="D25" s="39"/>
      <c r="E25" s="39"/>
      <c r="F25" s="54"/>
      <c r="G25" s="39"/>
      <c r="H25" s="55"/>
      <c r="I25" s="56"/>
      <c r="J25" s="40">
        <f>D25*I25</f>
        <v>0</v>
      </c>
    </row>
    <row r="26" spans="1:17" s="8" customFormat="1" x14ac:dyDescent="0.3">
      <c r="I26" s="91" t="s">
        <v>30</v>
      </c>
      <c r="J26" s="92">
        <f>SUM(J25:J25)</f>
        <v>0</v>
      </c>
    </row>
    <row r="27" spans="1:17" x14ac:dyDescent="0.3">
      <c r="H27" s="18"/>
      <c r="I27" s="19"/>
    </row>
    <row r="28" spans="1:17" s="8" customFormat="1" x14ac:dyDescent="0.3">
      <c r="A28" s="90" t="s">
        <v>17</v>
      </c>
      <c r="B28" s="90" t="s">
        <v>46</v>
      </c>
      <c r="C28" s="90" t="s">
        <v>19</v>
      </c>
      <c r="D28" s="90" t="s">
        <v>20</v>
      </c>
      <c r="E28" s="90" t="s">
        <v>36</v>
      </c>
      <c r="F28" s="90" t="s">
        <v>29</v>
      </c>
      <c r="G28" s="90" t="s">
        <v>47</v>
      </c>
      <c r="H28" s="90" t="s">
        <v>48</v>
      </c>
      <c r="I28" s="90" t="s">
        <v>30</v>
      </c>
    </row>
    <row r="29" spans="1:17" x14ac:dyDescent="0.3">
      <c r="A29" s="39"/>
      <c r="B29" s="39"/>
      <c r="C29" s="39"/>
      <c r="D29" s="40"/>
      <c r="E29" s="39"/>
      <c r="F29" s="39"/>
      <c r="G29" s="39"/>
      <c r="H29" s="39"/>
      <c r="I29" s="40" t="str">
        <f>IF(Bevel!$G29&lt;&gt;"",D29*F29/G29*H29,"")</f>
        <v/>
      </c>
    </row>
    <row r="30" spans="1:17" s="8" customFormat="1" x14ac:dyDescent="0.3">
      <c r="H30" s="91" t="s">
        <v>30</v>
      </c>
      <c r="I30" s="90">
        <f>SUM(I29:I29)</f>
        <v>0</v>
      </c>
      <c r="Q30" s="20"/>
    </row>
    <row r="31" spans="1:17" x14ac:dyDescent="0.3">
      <c r="H31" s="18"/>
      <c r="I31" s="19"/>
    </row>
  </sheetData>
  <hyperlinks>
    <hyperlink ref="J3" location="BOM!A1" display="FileLink1" xr:uid="{00000000-0004-0000-3400-000000000000}"/>
  </hyperlinks>
  <pageMargins left="0.5" right="0.5" top="0.75" bottom="0.75" header="0.3" footer="0.3"/>
  <pageSetup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8141-B19D-4253-B7D7-6D542F0E4EF9}">
  <sheetPr>
    <tabColor rgb="FFFFFF00"/>
  </sheetPr>
  <dimension ref="A1:Q28"/>
  <sheetViews>
    <sheetView workbookViewId="0">
      <selection activeCell="B1" sqref="A1:XFD1048576"/>
    </sheetView>
  </sheetViews>
  <sheetFormatPr defaultColWidth="8.88671875" defaultRowHeight="13.8" x14ac:dyDescent="0.3"/>
  <cols>
    <col min="1" max="1" width="9.44140625" style="2" bestFit="1" customWidth="1"/>
    <col min="2" max="2" width="38.77734375" style="2" bestFit="1" customWidth="1"/>
    <col min="3" max="3" width="37.77734375" style="2" bestFit="1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20.6640625" style="2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441406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128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N11+I18+J22+I26</f>
        <v>4.3568211999999997</v>
      </c>
    </row>
    <row r="2" spans="1:14" x14ac:dyDescent="0.3">
      <c r="A2" s="90" t="s">
        <v>4</v>
      </c>
      <c r="B2" s="39" t="s">
        <v>102</v>
      </c>
      <c r="D2" s="129" t="s">
        <v>5</v>
      </c>
      <c r="E2" s="39"/>
      <c r="M2" s="90" t="s">
        <v>6</v>
      </c>
      <c r="N2" s="46">
        <v>2</v>
      </c>
    </row>
    <row r="3" spans="1:14" ht="14.4" x14ac:dyDescent="0.3">
      <c r="A3" s="90" t="s">
        <v>7</v>
      </c>
      <c r="B3" s="39" t="s">
        <v>144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223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8.7136423999999995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x14ac:dyDescent="0.3">
      <c r="A7" s="90" t="s">
        <v>16</v>
      </c>
      <c r="B7" s="130" t="s">
        <v>224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131" t="s">
        <v>58</v>
      </c>
      <c r="C10" s="39" t="s">
        <v>225</v>
      </c>
      <c r="D10" s="40">
        <v>4.2</v>
      </c>
      <c r="E10" s="60">
        <f>J10*K10*L10</f>
        <v>0.10038599999999998</v>
      </c>
      <c r="F10" s="39" t="s">
        <v>32</v>
      </c>
      <c r="G10" s="39"/>
      <c r="H10" s="50"/>
      <c r="I10" s="51" t="s">
        <v>34</v>
      </c>
      <c r="J10" s="132">
        <f>0.022*0.013</f>
        <v>2.8599999999999996E-4</v>
      </c>
      <c r="K10" s="50">
        <v>0.13</v>
      </c>
      <c r="L10" s="50">
        <v>2700</v>
      </c>
      <c r="M10" s="53">
        <v>1</v>
      </c>
      <c r="N10" s="45">
        <f>IF(J10="",D10*M10,D10*J10*K10*L10*M10)</f>
        <v>0.42162119999999997</v>
      </c>
    </row>
    <row r="11" spans="1:14" s="8" customFormat="1" x14ac:dyDescent="0.3">
      <c r="M11" s="91" t="s">
        <v>30</v>
      </c>
      <c r="N11" s="92">
        <f>SUM(N10:N10)</f>
        <v>0.42162119999999997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x14ac:dyDescent="0.3">
      <c r="A14" s="39">
        <v>1</v>
      </c>
      <c r="B14" s="41" t="s">
        <v>50</v>
      </c>
      <c r="C14" s="55" t="s">
        <v>219</v>
      </c>
      <c r="D14" s="40">
        <v>1.3</v>
      </c>
      <c r="E14" s="39" t="s">
        <v>36</v>
      </c>
      <c r="F14" s="39">
        <v>1</v>
      </c>
      <c r="G14" s="39" t="s">
        <v>41</v>
      </c>
      <c r="H14" s="39">
        <v>1</v>
      </c>
      <c r="I14" s="40">
        <f>IF('Bevel Casing'!$H14&lt;&gt;"",'Bevel Casing'!$D14*'Bevel Casing'!$F14*'Bevel Casing'!$H14,'Bevel Casing'!$D14*'Bevel Casing'!$F14)</f>
        <v>1.3</v>
      </c>
    </row>
    <row r="15" spans="1:14" s="166" customFormat="1" x14ac:dyDescent="0.3">
      <c r="A15" s="142">
        <v>4</v>
      </c>
      <c r="B15" s="164" t="s">
        <v>62</v>
      </c>
      <c r="C15" s="156" t="s">
        <v>148</v>
      </c>
      <c r="D15" s="165">
        <v>0.04</v>
      </c>
      <c r="E15" s="142" t="s">
        <v>54</v>
      </c>
      <c r="F15" s="169">
        <v>23.38</v>
      </c>
      <c r="G15" s="142" t="s">
        <v>59</v>
      </c>
      <c r="H15" s="142">
        <v>1</v>
      </c>
      <c r="I15" s="40">
        <v>0.93520000000000003</v>
      </c>
    </row>
    <row r="16" spans="1:14" s="166" customFormat="1" x14ac:dyDescent="0.3">
      <c r="A16" s="142">
        <v>5</v>
      </c>
      <c r="B16" s="167" t="s">
        <v>91</v>
      </c>
      <c r="C16" s="168" t="s">
        <v>226</v>
      </c>
      <c r="D16" s="165">
        <v>0.65</v>
      </c>
      <c r="E16" s="142" t="s">
        <v>36</v>
      </c>
      <c r="F16" s="142">
        <v>1</v>
      </c>
      <c r="G16" s="142" t="s">
        <v>41</v>
      </c>
      <c r="H16" s="142">
        <v>1</v>
      </c>
      <c r="I16" s="165">
        <f>IF('Bevel Casing'!$H21&lt;&gt;"",'Bevel Casing'!$D21*'Bevel Casing'!$F21*'Bevel Casing'!$H21,'Bevel Casing'!$D21*'Bevel Casing'!$F21)</f>
        <v>0.65</v>
      </c>
    </row>
    <row r="17" spans="1:17" s="166" customFormat="1" x14ac:dyDescent="0.3">
      <c r="A17" s="142">
        <v>6</v>
      </c>
      <c r="B17" s="13" t="s">
        <v>79</v>
      </c>
      <c r="C17" s="156" t="s">
        <v>227</v>
      </c>
      <c r="D17" s="165">
        <v>0.35</v>
      </c>
      <c r="E17" s="142" t="s">
        <v>61</v>
      </c>
      <c r="F17" s="142">
        <v>2</v>
      </c>
      <c r="G17" s="58" t="s">
        <v>240</v>
      </c>
      <c r="H17" s="142">
        <v>1.5</v>
      </c>
      <c r="I17" s="165">
        <f>(D17*F17*H17)</f>
        <v>1.0499999999999998</v>
      </c>
    </row>
    <row r="18" spans="1:17" s="8" customFormat="1" x14ac:dyDescent="0.3">
      <c r="H18" s="91" t="s">
        <v>30</v>
      </c>
      <c r="I18" s="92">
        <f>SUM(I14:I17)</f>
        <v>3.9351999999999996</v>
      </c>
    </row>
    <row r="20" spans="1:17" s="8" customFormat="1" x14ac:dyDescent="0.3">
      <c r="A20" s="90" t="s">
        <v>17</v>
      </c>
      <c r="B20" s="90" t="s">
        <v>45</v>
      </c>
      <c r="C20" s="90" t="s">
        <v>19</v>
      </c>
      <c r="D20" s="90" t="s">
        <v>20</v>
      </c>
      <c r="E20" s="90" t="s">
        <v>21</v>
      </c>
      <c r="F20" s="90" t="s">
        <v>22</v>
      </c>
      <c r="G20" s="90" t="s">
        <v>23</v>
      </c>
      <c r="H20" s="90" t="s">
        <v>24</v>
      </c>
      <c r="I20" s="90" t="s">
        <v>29</v>
      </c>
      <c r="J20" s="90" t="s">
        <v>30</v>
      </c>
    </row>
    <row r="21" spans="1:17" x14ac:dyDescent="0.3">
      <c r="A21" s="39"/>
      <c r="B21" s="39"/>
      <c r="C21" s="39"/>
      <c r="D21" s="39"/>
      <c r="E21" s="39"/>
      <c r="F21" s="54"/>
      <c r="G21" s="39"/>
      <c r="H21" s="55"/>
      <c r="I21" s="56"/>
      <c r="J21" s="40">
        <f>D21*I21</f>
        <v>0</v>
      </c>
    </row>
    <row r="22" spans="1:17" s="8" customFormat="1" x14ac:dyDescent="0.3">
      <c r="I22" s="91" t="s">
        <v>30</v>
      </c>
      <c r="J22" s="92">
        <f>SUM(J21:J21)</f>
        <v>0</v>
      </c>
    </row>
    <row r="23" spans="1:17" x14ac:dyDescent="0.3">
      <c r="H23" s="18"/>
      <c r="I23" s="19"/>
    </row>
    <row r="24" spans="1:17" s="8" customFormat="1" x14ac:dyDescent="0.3">
      <c r="A24" s="90" t="s">
        <v>17</v>
      </c>
      <c r="B24" s="90" t="s">
        <v>46</v>
      </c>
      <c r="C24" s="90" t="s">
        <v>19</v>
      </c>
      <c r="D24" s="90" t="s">
        <v>20</v>
      </c>
      <c r="E24" s="90" t="s">
        <v>36</v>
      </c>
      <c r="F24" s="90" t="s">
        <v>29</v>
      </c>
      <c r="G24" s="90" t="s">
        <v>47</v>
      </c>
      <c r="H24" s="90" t="s">
        <v>48</v>
      </c>
      <c r="I24" s="90" t="s">
        <v>30</v>
      </c>
    </row>
    <row r="25" spans="1:17" x14ac:dyDescent="0.3">
      <c r="A25" s="39"/>
      <c r="B25" s="39"/>
      <c r="C25" s="39"/>
      <c r="D25" s="40"/>
      <c r="E25" s="39"/>
      <c r="F25" s="39"/>
      <c r="G25" s="39"/>
      <c r="H25" s="39"/>
      <c r="I25" s="40" t="str">
        <f>IF('Bevel Casing'!$G30&lt;&gt;"",D25*F25/G25*H25,"")</f>
        <v/>
      </c>
    </row>
    <row r="26" spans="1:17" s="8" customFormat="1" x14ac:dyDescent="0.3">
      <c r="H26" s="91" t="s">
        <v>30</v>
      </c>
      <c r="I26" s="93">
        <f>SUM(I25:I25)</f>
        <v>0</v>
      </c>
    </row>
    <row r="27" spans="1:17" x14ac:dyDescent="0.3">
      <c r="H27" s="18"/>
      <c r="I27" s="19"/>
    </row>
    <row r="28" spans="1:17" x14ac:dyDescent="0.3">
      <c r="Q28" s="23"/>
    </row>
  </sheetData>
  <hyperlinks>
    <hyperlink ref="J3" location="BOM!A1" display="FileLink1" xr:uid="{4346DB8F-CCCA-4395-869C-9174CA6A045E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5336-7B8B-42CE-8FE1-CA622A2E2DEB}">
  <sheetPr>
    <tabColor rgb="FFFFFF00"/>
  </sheetPr>
  <dimension ref="A1:Q28"/>
  <sheetViews>
    <sheetView zoomScale="85" zoomScaleNormal="85" workbookViewId="0">
      <selection sqref="A1:XFD1048576"/>
    </sheetView>
  </sheetViews>
  <sheetFormatPr defaultColWidth="8.88671875" defaultRowHeight="13.8" x14ac:dyDescent="0.3"/>
  <cols>
    <col min="1" max="1" width="9.44140625" style="2" bestFit="1" customWidth="1"/>
    <col min="2" max="2" width="38.77734375" style="2" bestFit="1" customWidth="1"/>
    <col min="3" max="3" width="41" style="2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20.6640625" style="2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441406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128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N11+I18+J22+I26</f>
        <v>2.4066917499999998</v>
      </c>
    </row>
    <row r="2" spans="1:14" x14ac:dyDescent="0.3">
      <c r="A2" s="90" t="s">
        <v>4</v>
      </c>
      <c r="B2" s="39" t="s">
        <v>102</v>
      </c>
      <c r="D2" s="129" t="s">
        <v>5</v>
      </c>
      <c r="E2" s="39"/>
      <c r="M2" s="90" t="s">
        <v>6</v>
      </c>
      <c r="N2" s="46">
        <v>2</v>
      </c>
    </row>
    <row r="3" spans="1:14" ht="14.4" x14ac:dyDescent="0.3">
      <c r="A3" s="90" t="s">
        <v>7</v>
      </c>
      <c r="B3" s="39" t="s">
        <v>144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306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4.8133834999999996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ht="27.6" x14ac:dyDescent="0.3">
      <c r="A7" s="90" t="s">
        <v>16</v>
      </c>
      <c r="B7" s="170" t="s">
        <v>307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131" t="s">
        <v>308</v>
      </c>
      <c r="C10" s="39" t="s">
        <v>225</v>
      </c>
      <c r="D10" s="40">
        <v>2.25</v>
      </c>
      <c r="E10" s="60">
        <v>0.02</v>
      </c>
      <c r="F10" s="39" t="s">
        <v>32</v>
      </c>
      <c r="G10" s="39"/>
      <c r="H10" s="50"/>
      <c r="I10" s="51" t="s">
        <v>34</v>
      </c>
      <c r="J10" s="132">
        <f>0.022*0.013</f>
        <v>2.8599999999999996E-4</v>
      </c>
      <c r="K10" s="50">
        <v>0.13</v>
      </c>
      <c r="L10" s="50">
        <v>7850</v>
      </c>
      <c r="M10" s="53">
        <v>1</v>
      </c>
      <c r="N10" s="45">
        <f>IF(J10="",D10*M10,D10*J10*K10*L10*M10)</f>
        <v>0.65669174999999991</v>
      </c>
    </row>
    <row r="11" spans="1:14" s="8" customFormat="1" x14ac:dyDescent="0.3">
      <c r="M11" s="91" t="s">
        <v>30</v>
      </c>
      <c r="N11" s="92">
        <f>SUM(N10:N10)</f>
        <v>0.65669174999999991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x14ac:dyDescent="0.3">
      <c r="A14" s="39">
        <v>1</v>
      </c>
      <c r="B14" s="41" t="s">
        <v>50</v>
      </c>
      <c r="C14" s="55" t="s">
        <v>309</v>
      </c>
      <c r="D14" s="40">
        <v>1.3</v>
      </c>
      <c r="E14" s="39" t="s">
        <v>36</v>
      </c>
      <c r="F14" s="39">
        <v>1</v>
      </c>
      <c r="G14" s="39" t="s">
        <v>41</v>
      </c>
      <c r="H14" s="39">
        <v>1</v>
      </c>
      <c r="I14" s="40">
        <f>IF('Bevel Casing'!$H14&lt;&gt;"",'Bevel Casing'!$D14*'Bevel Casing'!$F14*'Bevel Casing'!$H14,'Bevel Casing'!$D14*'Bevel Casing'!$F14)</f>
        <v>1.3</v>
      </c>
    </row>
    <row r="15" spans="1:14" s="166" customFormat="1" x14ac:dyDescent="0.3">
      <c r="A15" s="142">
        <v>2</v>
      </c>
      <c r="B15" s="164" t="s">
        <v>42</v>
      </c>
      <c r="C15" s="156" t="s">
        <v>310</v>
      </c>
      <c r="D15" s="165">
        <v>0.01</v>
      </c>
      <c r="E15" s="142" t="s">
        <v>40</v>
      </c>
      <c r="F15" s="169">
        <v>15</v>
      </c>
      <c r="G15" s="142" t="s">
        <v>311</v>
      </c>
      <c r="H15" s="142">
        <v>3</v>
      </c>
      <c r="I15" s="40">
        <f>(D15*F15*H15)</f>
        <v>0.44999999999999996</v>
      </c>
    </row>
    <row r="16" spans="1:14" s="166" customFormat="1" x14ac:dyDescent="0.3">
      <c r="A16" s="142"/>
      <c r="B16" s="167"/>
      <c r="C16" s="168"/>
      <c r="D16" s="165"/>
      <c r="E16" s="142"/>
      <c r="F16" s="142"/>
      <c r="G16" s="142"/>
      <c r="H16" s="142"/>
      <c r="I16" s="165"/>
    </row>
    <row r="17" spans="1:17" s="166" customFormat="1" x14ac:dyDescent="0.3">
      <c r="A17" s="142"/>
      <c r="B17" s="13"/>
      <c r="C17" s="156"/>
      <c r="D17" s="165"/>
      <c r="E17" s="142"/>
      <c r="F17" s="142"/>
      <c r="G17" s="58"/>
      <c r="H17" s="142"/>
      <c r="I17" s="165"/>
    </row>
    <row r="18" spans="1:17" s="8" customFormat="1" x14ac:dyDescent="0.3">
      <c r="H18" s="91" t="s">
        <v>30</v>
      </c>
      <c r="I18" s="92">
        <f>SUM(I14:I17)</f>
        <v>1.75</v>
      </c>
    </row>
    <row r="20" spans="1:17" s="8" customFormat="1" x14ac:dyDescent="0.3">
      <c r="A20" s="90" t="s">
        <v>17</v>
      </c>
      <c r="B20" s="90" t="s">
        <v>45</v>
      </c>
      <c r="C20" s="90" t="s">
        <v>19</v>
      </c>
      <c r="D20" s="90" t="s">
        <v>20</v>
      </c>
      <c r="E20" s="90" t="s">
        <v>21</v>
      </c>
      <c r="F20" s="90" t="s">
        <v>22</v>
      </c>
      <c r="G20" s="90" t="s">
        <v>23</v>
      </c>
      <c r="H20" s="90" t="s">
        <v>24</v>
      </c>
      <c r="I20" s="90" t="s">
        <v>29</v>
      </c>
      <c r="J20" s="90" t="s">
        <v>30</v>
      </c>
    </row>
    <row r="21" spans="1:17" x14ac:dyDescent="0.3">
      <c r="A21" s="39"/>
      <c r="B21" s="39"/>
      <c r="C21" s="39"/>
      <c r="D21" s="39"/>
      <c r="E21" s="39"/>
      <c r="F21" s="54"/>
      <c r="G21" s="39"/>
      <c r="H21" s="55"/>
      <c r="I21" s="56"/>
      <c r="J21" s="40">
        <f>D21*I21</f>
        <v>0</v>
      </c>
    </row>
    <row r="22" spans="1:17" s="8" customFormat="1" x14ac:dyDescent="0.3">
      <c r="I22" s="91" t="s">
        <v>30</v>
      </c>
      <c r="J22" s="92">
        <f>SUM(J21:J21)</f>
        <v>0</v>
      </c>
    </row>
    <row r="23" spans="1:17" x14ac:dyDescent="0.3">
      <c r="H23" s="18"/>
      <c r="I23" s="19"/>
    </row>
    <row r="24" spans="1:17" s="8" customFormat="1" x14ac:dyDescent="0.3">
      <c r="A24" s="90" t="s">
        <v>17</v>
      </c>
      <c r="B24" s="90" t="s">
        <v>46</v>
      </c>
      <c r="C24" s="90" t="s">
        <v>19</v>
      </c>
      <c r="D24" s="90" t="s">
        <v>20</v>
      </c>
      <c r="E24" s="90" t="s">
        <v>36</v>
      </c>
      <c r="F24" s="90" t="s">
        <v>29</v>
      </c>
      <c r="G24" s="90" t="s">
        <v>47</v>
      </c>
      <c r="H24" s="90" t="s">
        <v>48</v>
      </c>
      <c r="I24" s="90" t="s">
        <v>30</v>
      </c>
    </row>
    <row r="25" spans="1:17" x14ac:dyDescent="0.3">
      <c r="A25" s="39"/>
      <c r="B25" s="39"/>
      <c r="C25" s="39"/>
      <c r="D25" s="40"/>
      <c r="E25" s="39"/>
      <c r="F25" s="39"/>
      <c r="G25" s="39"/>
      <c r="H25" s="39"/>
      <c r="I25" s="40" t="str">
        <f>IF('Bevel Casing'!$G30&lt;&gt;"",D25*F25/G25*H25,"")</f>
        <v/>
      </c>
    </row>
    <row r="26" spans="1:17" s="8" customFormat="1" x14ac:dyDescent="0.3">
      <c r="H26" s="91" t="s">
        <v>30</v>
      </c>
      <c r="I26" s="93">
        <f>SUM(I25:I25)</f>
        <v>0</v>
      </c>
    </row>
    <row r="27" spans="1:17" x14ac:dyDescent="0.3">
      <c r="H27" s="18"/>
      <c r="I27" s="19"/>
    </row>
    <row r="28" spans="1:17" x14ac:dyDescent="0.3">
      <c r="Q28" s="23"/>
    </row>
  </sheetData>
  <hyperlinks>
    <hyperlink ref="J3" location="BOM!A1" display="FileLink1" xr:uid="{E2DB12F9-8EFC-4A9A-B104-9CD1BD551CC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2563-4482-4A43-8894-2CF70EDEF376}">
  <sheetPr>
    <tabColor rgb="FFFFFF00"/>
  </sheetPr>
  <dimension ref="A1:Q31"/>
  <sheetViews>
    <sheetView zoomScale="70" zoomScaleNormal="70" workbookViewId="0">
      <selection activeCell="G30" sqref="G30"/>
    </sheetView>
  </sheetViews>
  <sheetFormatPr defaultColWidth="8.88671875" defaultRowHeight="13.8" x14ac:dyDescent="0.3"/>
  <cols>
    <col min="1" max="1" width="9.44140625" style="2" bestFit="1" customWidth="1"/>
    <col min="2" max="2" width="38.77734375" style="2" bestFit="1" customWidth="1"/>
    <col min="3" max="3" width="39.6640625" style="2" bestFit="1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20.6640625" style="2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441406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128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(N11+I20+J25+I29)</f>
        <v>22.113497248000002</v>
      </c>
    </row>
    <row r="2" spans="1:14" x14ac:dyDescent="0.3">
      <c r="A2" s="90" t="s">
        <v>4</v>
      </c>
      <c r="B2" s="39" t="s">
        <v>102</v>
      </c>
      <c r="D2" s="129" t="s">
        <v>5</v>
      </c>
      <c r="E2" s="39"/>
      <c r="M2" s="90" t="s">
        <v>6</v>
      </c>
      <c r="N2" s="46">
        <v>2</v>
      </c>
    </row>
    <row r="3" spans="1:14" ht="14.4" x14ac:dyDescent="0.3">
      <c r="A3" s="90" t="s">
        <v>7</v>
      </c>
      <c r="B3" s="39" t="s">
        <v>144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228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44.226994496000003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ht="27.6" x14ac:dyDescent="0.3">
      <c r="A7" s="90" t="s">
        <v>16</v>
      </c>
      <c r="B7" s="170" t="s">
        <v>229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131" t="s">
        <v>58</v>
      </c>
      <c r="C10" s="39" t="s">
        <v>230</v>
      </c>
      <c r="D10" s="40">
        <v>4.2</v>
      </c>
      <c r="E10" s="60">
        <f>J10*K10*L10</f>
        <v>0.90273744</v>
      </c>
      <c r="F10" s="39" t="s">
        <v>32</v>
      </c>
      <c r="G10" s="39"/>
      <c r="H10" s="50"/>
      <c r="I10" s="51" t="s">
        <v>34</v>
      </c>
      <c r="J10" s="132">
        <f>0.022*0.022*3.14</f>
        <v>1.51976E-3</v>
      </c>
      <c r="K10" s="50">
        <v>0.22</v>
      </c>
      <c r="L10" s="50">
        <v>2700</v>
      </c>
      <c r="M10" s="53">
        <v>1</v>
      </c>
      <c r="N10" s="45">
        <f>IF(J10="",D10*M10,D10*J10*K10*L10*M10)</f>
        <v>3.7914972480000002</v>
      </c>
    </row>
    <row r="11" spans="1:14" s="8" customFormat="1" x14ac:dyDescent="0.3">
      <c r="M11" s="91" t="s">
        <v>30</v>
      </c>
      <c r="N11" s="92">
        <f>SUM(N10:N10)</f>
        <v>3.7914972480000002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x14ac:dyDescent="0.3">
      <c r="A14" s="39">
        <v>1</v>
      </c>
      <c r="B14" s="41" t="s">
        <v>50</v>
      </c>
      <c r="C14" s="55" t="s">
        <v>231</v>
      </c>
      <c r="D14" s="40">
        <v>1.3</v>
      </c>
      <c r="E14" s="39" t="s">
        <v>36</v>
      </c>
      <c r="F14" s="39">
        <v>1</v>
      </c>
      <c r="G14" s="39" t="s">
        <v>41</v>
      </c>
      <c r="H14" s="39">
        <v>1</v>
      </c>
      <c r="I14" s="40">
        <f>IF('Bevel Casing'!$H14&lt;&gt;"",'Bevel Casing'!$D14*'Bevel Casing'!$F14*'Bevel Casing'!$H14,'Bevel Casing'!$D14*'Bevel Casing'!$F14)</f>
        <v>1.3</v>
      </c>
    </row>
    <row r="15" spans="1:14" s="166" customFormat="1" x14ac:dyDescent="0.3">
      <c r="A15" s="39">
        <v>2</v>
      </c>
      <c r="B15" s="164" t="s">
        <v>62</v>
      </c>
      <c r="C15" s="156" t="s">
        <v>232</v>
      </c>
      <c r="D15" s="165">
        <v>0.04</v>
      </c>
      <c r="E15" s="142" t="s">
        <v>54</v>
      </c>
      <c r="F15" s="169">
        <v>23.38</v>
      </c>
      <c r="G15" s="142" t="s">
        <v>59</v>
      </c>
      <c r="H15" s="142">
        <v>1</v>
      </c>
      <c r="I15" s="40">
        <v>0.93520000000000003</v>
      </c>
    </row>
    <row r="16" spans="1:14" x14ac:dyDescent="0.3">
      <c r="A16" s="39">
        <v>3</v>
      </c>
      <c r="B16" s="41" t="s">
        <v>50</v>
      </c>
      <c r="C16" s="55" t="s">
        <v>272</v>
      </c>
      <c r="D16" s="40">
        <v>1.3</v>
      </c>
      <c r="E16" s="39" t="s">
        <v>36</v>
      </c>
      <c r="F16" s="39">
        <v>1</v>
      </c>
      <c r="G16" s="39" t="s">
        <v>41</v>
      </c>
      <c r="H16" s="39">
        <v>1</v>
      </c>
      <c r="I16" s="40">
        <f>IF('Bevel Casing'!$H16&lt;&gt;"",'Bevel Casing'!$D16*'Bevel Casing'!$F16*'Bevel Casing'!$H16,'Bevel Casing'!$D16*'Bevel Casing'!$F16)</f>
        <v>0.65</v>
      </c>
    </row>
    <row r="17" spans="1:17" x14ac:dyDescent="0.3">
      <c r="A17" s="39">
        <v>4</v>
      </c>
      <c r="B17" s="2" t="s">
        <v>233</v>
      </c>
      <c r="C17" s="2" t="s">
        <v>234</v>
      </c>
      <c r="D17" s="40">
        <v>0.5</v>
      </c>
      <c r="E17" s="2" t="s">
        <v>40</v>
      </c>
      <c r="F17" s="2">
        <v>28</v>
      </c>
      <c r="G17" s="2" t="s">
        <v>59</v>
      </c>
      <c r="H17" s="2">
        <v>1</v>
      </c>
      <c r="I17" s="40">
        <f>(H17*F17*D17)</f>
        <v>14</v>
      </c>
    </row>
    <row r="18" spans="1:17" x14ac:dyDescent="0.3">
      <c r="A18" s="39">
        <v>5</v>
      </c>
      <c r="B18" s="41" t="s">
        <v>50</v>
      </c>
      <c r="C18" s="55" t="s">
        <v>272</v>
      </c>
      <c r="D18" s="40">
        <v>1.3</v>
      </c>
      <c r="E18" s="39" t="s">
        <v>36</v>
      </c>
      <c r="F18" s="39">
        <v>1</v>
      </c>
      <c r="G18" s="39" t="s">
        <v>41</v>
      </c>
      <c r="H18" s="39">
        <v>1</v>
      </c>
      <c r="I18" s="40">
        <f>(D18*F18*H18)</f>
        <v>1.3</v>
      </c>
    </row>
    <row r="19" spans="1:17" ht="27.6" x14ac:dyDescent="0.3">
      <c r="A19" s="39">
        <v>6</v>
      </c>
      <c r="B19" s="164" t="s">
        <v>62</v>
      </c>
      <c r="C19" s="174" t="s">
        <v>273</v>
      </c>
      <c r="D19" s="165">
        <v>0.04</v>
      </c>
      <c r="E19" s="142" t="s">
        <v>54</v>
      </c>
      <c r="F19" s="2">
        <v>3.42</v>
      </c>
      <c r="G19" s="2" t="s">
        <v>59</v>
      </c>
      <c r="H19" s="2">
        <v>1</v>
      </c>
      <c r="I19" s="2">
        <f>(D19*F19*H19)</f>
        <v>0.1368</v>
      </c>
    </row>
    <row r="20" spans="1:17" s="8" customFormat="1" x14ac:dyDescent="0.3">
      <c r="H20" s="91" t="s">
        <v>30</v>
      </c>
      <c r="I20" s="92">
        <f>(I14+I15+I16+I17+I18+I19)</f>
        <v>18.322000000000003</v>
      </c>
    </row>
    <row r="21" spans="1:17" x14ac:dyDescent="0.3">
      <c r="A21" s="39"/>
    </row>
    <row r="22" spans="1:17" x14ac:dyDescent="0.3">
      <c r="A22" s="39"/>
    </row>
    <row r="23" spans="1:17" s="8" customFormat="1" x14ac:dyDescent="0.3">
      <c r="A23" s="90" t="s">
        <v>17</v>
      </c>
      <c r="B23" s="90" t="s">
        <v>45</v>
      </c>
      <c r="C23" s="90" t="s">
        <v>19</v>
      </c>
      <c r="D23" s="90" t="s">
        <v>20</v>
      </c>
      <c r="E23" s="90" t="s">
        <v>21</v>
      </c>
      <c r="F23" s="90" t="s">
        <v>22</v>
      </c>
      <c r="G23" s="90" t="s">
        <v>23</v>
      </c>
      <c r="H23" s="90" t="s">
        <v>24</v>
      </c>
      <c r="I23" s="90" t="s">
        <v>29</v>
      </c>
      <c r="J23" s="90" t="s">
        <v>30</v>
      </c>
    </row>
    <row r="24" spans="1:17" x14ac:dyDescent="0.3">
      <c r="A24" s="39"/>
      <c r="B24" s="39"/>
      <c r="C24" s="39"/>
      <c r="D24" s="39"/>
      <c r="E24" s="39"/>
      <c r="F24" s="54"/>
      <c r="G24" s="39"/>
      <c r="H24" s="55"/>
      <c r="I24" s="56"/>
      <c r="J24" s="40">
        <f>D24*I24</f>
        <v>0</v>
      </c>
    </row>
    <row r="25" spans="1:17" s="8" customFormat="1" x14ac:dyDescent="0.3">
      <c r="I25" s="91" t="s">
        <v>30</v>
      </c>
      <c r="J25" s="92">
        <f>SUM(J24:J24)</f>
        <v>0</v>
      </c>
    </row>
    <row r="26" spans="1:17" x14ac:dyDescent="0.3">
      <c r="H26" s="18"/>
      <c r="I26" s="19"/>
    </row>
    <row r="27" spans="1:17" s="8" customFormat="1" x14ac:dyDescent="0.3">
      <c r="A27" s="90" t="s">
        <v>17</v>
      </c>
      <c r="B27" s="90" t="s">
        <v>46</v>
      </c>
      <c r="C27" s="90" t="s">
        <v>19</v>
      </c>
      <c r="D27" s="90" t="s">
        <v>20</v>
      </c>
      <c r="E27" s="90" t="s">
        <v>36</v>
      </c>
      <c r="F27" s="90" t="s">
        <v>29</v>
      </c>
      <c r="G27" s="90" t="s">
        <v>47</v>
      </c>
      <c r="H27" s="90" t="s">
        <v>48</v>
      </c>
      <c r="I27" s="90" t="s">
        <v>30</v>
      </c>
    </row>
    <row r="28" spans="1:17" x14ac:dyDescent="0.3">
      <c r="A28" s="39"/>
      <c r="B28" s="39"/>
      <c r="C28" s="39"/>
      <c r="D28" s="40"/>
      <c r="E28" s="39"/>
      <c r="F28" s="39"/>
      <c r="G28" s="39"/>
      <c r="H28" s="39"/>
      <c r="I28" s="40" t="str">
        <f>IF('Bevel Casing'!$G30&lt;&gt;"",D28*F28/G28*H28,"")</f>
        <v/>
      </c>
    </row>
    <row r="29" spans="1:17" s="8" customFormat="1" x14ac:dyDescent="0.3">
      <c r="H29" s="91" t="s">
        <v>30</v>
      </c>
      <c r="I29" s="93">
        <f>SUM(I28:I28)</f>
        <v>0</v>
      </c>
    </row>
    <row r="30" spans="1:17" x14ac:dyDescent="0.3">
      <c r="H30" s="18"/>
      <c r="I30" s="19"/>
    </row>
    <row r="31" spans="1:17" x14ac:dyDescent="0.3">
      <c r="Q31" s="23"/>
    </row>
  </sheetData>
  <hyperlinks>
    <hyperlink ref="J3" location="BOM!A1" display="FileLink1" xr:uid="{953D0DAA-FF79-43C5-9507-19E41D9884FB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5661-8751-4C33-BA4F-C3082F54AD95}">
  <sheetPr>
    <tabColor rgb="FFFFFF00"/>
  </sheetPr>
  <dimension ref="A1:Q28"/>
  <sheetViews>
    <sheetView zoomScale="70" zoomScaleNormal="70" workbookViewId="0">
      <selection activeCell="M17" sqref="M17"/>
    </sheetView>
  </sheetViews>
  <sheetFormatPr defaultColWidth="8.88671875" defaultRowHeight="13.8" x14ac:dyDescent="0.3"/>
  <cols>
    <col min="1" max="1" width="9.44140625" style="2" bestFit="1" customWidth="1"/>
    <col min="2" max="2" width="38.77734375" style="2" bestFit="1" customWidth="1"/>
    <col min="3" max="3" width="44.88671875" style="2" bestFit="1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20.6640625" style="2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441406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128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N11+I18+J22+I26</f>
        <v>3.4028687499999997</v>
      </c>
    </row>
    <row r="2" spans="1:14" x14ac:dyDescent="0.3">
      <c r="A2" s="90" t="s">
        <v>4</v>
      </c>
      <c r="B2" s="39" t="s">
        <v>102</v>
      </c>
      <c r="D2" s="129" t="s">
        <v>5</v>
      </c>
      <c r="E2" s="39"/>
      <c r="M2" s="90" t="s">
        <v>6</v>
      </c>
      <c r="N2" s="46">
        <v>3</v>
      </c>
    </row>
    <row r="3" spans="1:14" ht="14.4" x14ac:dyDescent="0.3">
      <c r="A3" s="90" t="s">
        <v>7</v>
      </c>
      <c r="B3" s="39" t="s">
        <v>144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274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10.208606249999999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x14ac:dyDescent="0.3">
      <c r="A7" s="90" t="s">
        <v>16</v>
      </c>
      <c r="B7" s="130" t="s">
        <v>224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131" t="s">
        <v>58</v>
      </c>
      <c r="C10" s="39" t="s">
        <v>225</v>
      </c>
      <c r="D10" s="40">
        <v>2.25</v>
      </c>
      <c r="E10" s="60">
        <f>J10*K10*L10</f>
        <v>0.56127499999999997</v>
      </c>
      <c r="F10" s="39" t="s">
        <v>32</v>
      </c>
      <c r="G10" s="39"/>
      <c r="H10" s="50"/>
      <c r="I10" s="51" t="s">
        <v>34</v>
      </c>
      <c r="J10" s="132">
        <f>0.022*0.013</f>
        <v>2.8599999999999996E-4</v>
      </c>
      <c r="K10" s="50">
        <v>0.25</v>
      </c>
      <c r="L10" s="50">
        <v>7850</v>
      </c>
      <c r="M10" s="53">
        <v>1</v>
      </c>
      <c r="N10" s="45">
        <f>IF(J10="",D10*M10,D10*J10*K10*L10*M10)</f>
        <v>1.2628687499999998</v>
      </c>
    </row>
    <row r="11" spans="1:14" s="8" customFormat="1" x14ac:dyDescent="0.3">
      <c r="M11" s="91" t="s">
        <v>30</v>
      </c>
      <c r="N11" s="92">
        <f>SUM(N10:N10)</f>
        <v>1.2628687499999998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x14ac:dyDescent="0.3">
      <c r="A14" s="39">
        <v>1</v>
      </c>
      <c r="B14" s="41" t="s">
        <v>50</v>
      </c>
      <c r="C14" s="55" t="s">
        <v>275</v>
      </c>
      <c r="D14" s="40">
        <v>1.3</v>
      </c>
      <c r="E14" s="39" t="s">
        <v>36</v>
      </c>
      <c r="F14" s="39">
        <v>1</v>
      </c>
      <c r="G14" s="39" t="s">
        <v>41</v>
      </c>
      <c r="H14" s="39">
        <v>1</v>
      </c>
      <c r="I14" s="40">
        <f>IF('Bevel Casing'!$H14&lt;&gt;"",'Bevel Casing'!$D14*'Bevel Casing'!$F14*'Bevel Casing'!$H14,'Bevel Casing'!$D14*'Bevel Casing'!$F14)</f>
        <v>1.3</v>
      </c>
    </row>
    <row r="15" spans="1:14" s="166" customFormat="1" x14ac:dyDescent="0.3">
      <c r="A15" s="142">
        <v>2</v>
      </c>
      <c r="B15" s="164" t="s">
        <v>42</v>
      </c>
      <c r="C15" s="156" t="s">
        <v>276</v>
      </c>
      <c r="D15" s="165">
        <v>0.01</v>
      </c>
      <c r="E15" s="142" t="s">
        <v>54</v>
      </c>
      <c r="F15" s="169">
        <v>28</v>
      </c>
      <c r="G15" s="142" t="s">
        <v>43</v>
      </c>
      <c r="H15" s="142">
        <v>3</v>
      </c>
      <c r="I15" s="40">
        <f>(D15*F15*H15)</f>
        <v>0.84000000000000008</v>
      </c>
    </row>
    <row r="16" spans="1:14" s="166" customFormat="1" x14ac:dyDescent="0.3">
      <c r="A16" s="142"/>
      <c r="B16" s="167"/>
      <c r="C16" s="168"/>
      <c r="D16" s="165"/>
      <c r="E16" s="142"/>
      <c r="F16" s="142"/>
      <c r="G16" s="142"/>
      <c r="H16" s="142"/>
      <c r="I16" s="165"/>
    </row>
    <row r="17" spans="1:17" s="166" customFormat="1" x14ac:dyDescent="0.3">
      <c r="A17" s="142"/>
      <c r="B17" s="13"/>
      <c r="C17" s="156"/>
      <c r="D17" s="165"/>
      <c r="E17" s="142"/>
      <c r="F17" s="142"/>
      <c r="G17" s="142"/>
      <c r="H17" s="142"/>
      <c r="I17" s="165"/>
    </row>
    <row r="18" spans="1:17" s="8" customFormat="1" x14ac:dyDescent="0.3">
      <c r="H18" s="91" t="s">
        <v>30</v>
      </c>
      <c r="I18" s="92">
        <f>SUM(I14:I17)</f>
        <v>2.14</v>
      </c>
    </row>
    <row r="20" spans="1:17" s="8" customFormat="1" x14ac:dyDescent="0.3">
      <c r="A20" s="90" t="s">
        <v>17</v>
      </c>
      <c r="B20" s="90" t="s">
        <v>45</v>
      </c>
      <c r="C20" s="90" t="s">
        <v>19</v>
      </c>
      <c r="D20" s="90" t="s">
        <v>20</v>
      </c>
      <c r="E20" s="90" t="s">
        <v>21</v>
      </c>
      <c r="F20" s="90" t="s">
        <v>22</v>
      </c>
      <c r="G20" s="90" t="s">
        <v>23</v>
      </c>
      <c r="H20" s="90" t="s">
        <v>24</v>
      </c>
      <c r="I20" s="90" t="s">
        <v>29</v>
      </c>
      <c r="J20" s="90" t="s">
        <v>30</v>
      </c>
    </row>
    <row r="21" spans="1:17" x14ac:dyDescent="0.3">
      <c r="A21" s="39"/>
      <c r="B21" s="39"/>
      <c r="C21" s="39"/>
      <c r="D21" s="39"/>
      <c r="E21" s="39"/>
      <c r="F21" s="54"/>
      <c r="G21" s="39"/>
      <c r="H21" s="55"/>
      <c r="I21" s="56"/>
      <c r="J21" s="40">
        <f>D21*I21</f>
        <v>0</v>
      </c>
    </row>
    <row r="22" spans="1:17" s="8" customFormat="1" x14ac:dyDescent="0.3">
      <c r="I22" s="91" t="s">
        <v>30</v>
      </c>
      <c r="J22" s="92">
        <f>SUM(J21:J21)</f>
        <v>0</v>
      </c>
    </row>
    <row r="23" spans="1:17" x14ac:dyDescent="0.3">
      <c r="H23" s="18"/>
      <c r="I23" s="19"/>
    </row>
    <row r="24" spans="1:17" s="8" customFormat="1" x14ac:dyDescent="0.3">
      <c r="A24" s="90" t="s">
        <v>17</v>
      </c>
      <c r="B24" s="90" t="s">
        <v>46</v>
      </c>
      <c r="C24" s="90" t="s">
        <v>19</v>
      </c>
      <c r="D24" s="90" t="s">
        <v>20</v>
      </c>
      <c r="E24" s="90" t="s">
        <v>36</v>
      </c>
      <c r="F24" s="90" t="s">
        <v>29</v>
      </c>
      <c r="G24" s="90" t="s">
        <v>47</v>
      </c>
      <c r="H24" s="90" t="s">
        <v>48</v>
      </c>
      <c r="I24" s="90" t="s">
        <v>30</v>
      </c>
    </row>
    <row r="25" spans="1:17" x14ac:dyDescent="0.3">
      <c r="A25" s="39"/>
      <c r="B25" s="39"/>
      <c r="C25" s="39"/>
      <c r="D25" s="40"/>
      <c r="E25" s="39"/>
      <c r="F25" s="39"/>
      <c r="G25" s="39"/>
      <c r="H25" s="39"/>
      <c r="I25" s="40" t="str">
        <f>IF('Bevel Casing'!$G30&lt;&gt;"",D25*F25/G25*H25,"")</f>
        <v/>
      </c>
    </row>
    <row r="26" spans="1:17" s="8" customFormat="1" x14ac:dyDescent="0.3">
      <c r="H26" s="91" t="s">
        <v>30</v>
      </c>
      <c r="I26" s="93">
        <f>SUM(I25:I25)</f>
        <v>0</v>
      </c>
    </row>
    <row r="27" spans="1:17" x14ac:dyDescent="0.3">
      <c r="H27" s="18"/>
      <c r="I27" s="19"/>
    </row>
    <row r="28" spans="1:17" x14ac:dyDescent="0.3">
      <c r="Q28" s="23"/>
    </row>
  </sheetData>
  <hyperlinks>
    <hyperlink ref="J3" location="BOM!A1" display="FileLink1" xr:uid="{132EDF78-844E-4958-9EC3-5EB2C37E26EB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35AA-2C29-4814-A53B-F895F980D8AE}">
  <sheetPr>
    <tabColor rgb="FFFFFF00"/>
  </sheetPr>
  <dimension ref="A1:Q28"/>
  <sheetViews>
    <sheetView zoomScale="70" zoomScaleNormal="70" workbookViewId="0">
      <selection activeCell="F17" sqref="F17"/>
    </sheetView>
  </sheetViews>
  <sheetFormatPr defaultColWidth="8.88671875" defaultRowHeight="13.8" x14ac:dyDescent="0.3"/>
  <cols>
    <col min="1" max="1" width="9.44140625" style="2" bestFit="1" customWidth="1"/>
    <col min="2" max="2" width="38.77734375" style="2" bestFit="1" customWidth="1"/>
    <col min="3" max="3" width="37.77734375" style="2" bestFit="1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20.6640625" style="2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441406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128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N11+I18+J22+I26</f>
        <v>2.00169175</v>
      </c>
    </row>
    <row r="2" spans="1:14" x14ac:dyDescent="0.3">
      <c r="A2" s="90" t="s">
        <v>4</v>
      </c>
      <c r="B2" s="39" t="s">
        <v>102</v>
      </c>
      <c r="D2" s="129" t="s">
        <v>5</v>
      </c>
      <c r="E2" s="39"/>
      <c r="M2" s="90" t="s">
        <v>6</v>
      </c>
      <c r="N2" s="46">
        <v>2</v>
      </c>
    </row>
    <row r="3" spans="1:14" ht="14.4" x14ac:dyDescent="0.3">
      <c r="A3" s="90" t="s">
        <v>7</v>
      </c>
      <c r="B3" s="39" t="s">
        <v>144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277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4.0033835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x14ac:dyDescent="0.3">
      <c r="A7" s="90" t="s">
        <v>16</v>
      </c>
      <c r="B7" s="130" t="s">
        <v>278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131" t="s">
        <v>279</v>
      </c>
      <c r="C10" s="39" t="s">
        <v>225</v>
      </c>
      <c r="D10" s="40">
        <v>2.25</v>
      </c>
      <c r="E10" s="60">
        <f>J10*K10*L10</f>
        <v>0.29186299999999993</v>
      </c>
      <c r="F10" s="39" t="s">
        <v>32</v>
      </c>
      <c r="G10" s="39"/>
      <c r="H10" s="50"/>
      <c r="I10" s="51" t="s">
        <v>34</v>
      </c>
      <c r="J10" s="132">
        <f>0.022*0.013</f>
        <v>2.8599999999999996E-4</v>
      </c>
      <c r="K10" s="50">
        <v>0.13</v>
      </c>
      <c r="L10" s="50">
        <v>7850</v>
      </c>
      <c r="M10" s="53">
        <v>1</v>
      </c>
      <c r="N10" s="45">
        <f>IF(J10="",D10*M10,D10*J10*K10*L10*M10)</f>
        <v>0.65669174999999991</v>
      </c>
    </row>
    <row r="11" spans="1:14" s="8" customFormat="1" x14ac:dyDescent="0.3">
      <c r="M11" s="91" t="s">
        <v>30</v>
      </c>
      <c r="N11" s="92">
        <f>SUM(N10:N10)</f>
        <v>0.65669174999999991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x14ac:dyDescent="0.3">
      <c r="A14" s="39">
        <v>1</v>
      </c>
      <c r="B14" s="41" t="s">
        <v>50</v>
      </c>
      <c r="C14" s="55" t="s">
        <v>219</v>
      </c>
      <c r="D14" s="40">
        <v>1.3</v>
      </c>
      <c r="E14" s="39" t="s">
        <v>36</v>
      </c>
      <c r="F14" s="39">
        <v>1</v>
      </c>
      <c r="G14" s="39" t="s">
        <v>41</v>
      </c>
      <c r="H14" s="39">
        <v>1</v>
      </c>
      <c r="I14" s="40">
        <f>IF('Bevel Casing'!$H14&lt;&gt;"",'Bevel Casing'!$D14*'Bevel Casing'!$F14*'Bevel Casing'!$H14,'Bevel Casing'!$D14*'Bevel Casing'!$F14)</f>
        <v>1.3</v>
      </c>
    </row>
    <row r="15" spans="1:14" s="166" customFormat="1" x14ac:dyDescent="0.3">
      <c r="A15" s="142">
        <v>2</v>
      </c>
      <c r="B15" s="164" t="s">
        <v>163</v>
      </c>
      <c r="C15" s="156" t="s">
        <v>148</v>
      </c>
      <c r="D15" s="165">
        <v>0.15</v>
      </c>
      <c r="E15" s="142" t="s">
        <v>40</v>
      </c>
      <c r="F15" s="169">
        <v>0.1</v>
      </c>
      <c r="G15" s="142" t="s">
        <v>43</v>
      </c>
      <c r="H15" s="142">
        <v>3</v>
      </c>
      <c r="I15" s="40">
        <f>(D15*F15*H15)</f>
        <v>4.4999999999999998E-2</v>
      </c>
    </row>
    <row r="16" spans="1:14" s="166" customFormat="1" x14ac:dyDescent="0.3">
      <c r="A16" s="142"/>
      <c r="B16" s="167"/>
      <c r="C16" s="168"/>
      <c r="D16" s="165"/>
      <c r="E16" s="142"/>
      <c r="F16" s="142"/>
      <c r="G16" s="142"/>
      <c r="H16" s="142"/>
      <c r="I16" s="165"/>
    </row>
    <row r="17" spans="1:17" s="166" customFormat="1" x14ac:dyDescent="0.3">
      <c r="A17" s="142"/>
      <c r="B17" s="13"/>
      <c r="C17" s="156"/>
      <c r="D17" s="165"/>
      <c r="E17" s="142"/>
      <c r="F17" s="142"/>
      <c r="G17" s="142"/>
      <c r="H17" s="142"/>
      <c r="I17" s="165"/>
    </row>
    <row r="18" spans="1:17" s="8" customFormat="1" x14ac:dyDescent="0.3">
      <c r="H18" s="91" t="s">
        <v>30</v>
      </c>
      <c r="I18" s="92">
        <f>SUM(I14:I17)</f>
        <v>1.345</v>
      </c>
    </row>
    <row r="20" spans="1:17" s="8" customFormat="1" x14ac:dyDescent="0.3">
      <c r="A20" s="90" t="s">
        <v>17</v>
      </c>
      <c r="B20" s="90" t="s">
        <v>45</v>
      </c>
      <c r="C20" s="90" t="s">
        <v>19</v>
      </c>
      <c r="D20" s="90" t="s">
        <v>20</v>
      </c>
      <c r="E20" s="90" t="s">
        <v>21</v>
      </c>
      <c r="F20" s="90" t="s">
        <v>22</v>
      </c>
      <c r="G20" s="90" t="s">
        <v>23</v>
      </c>
      <c r="H20" s="90" t="s">
        <v>24</v>
      </c>
      <c r="I20" s="90" t="s">
        <v>29</v>
      </c>
      <c r="J20" s="90" t="s">
        <v>30</v>
      </c>
    </row>
    <row r="21" spans="1:17" x14ac:dyDescent="0.3">
      <c r="A21" s="39"/>
      <c r="B21" s="39"/>
      <c r="C21" s="39"/>
      <c r="D21" s="39"/>
      <c r="E21" s="39"/>
      <c r="F21" s="54"/>
      <c r="G21" s="39"/>
      <c r="H21" s="55"/>
      <c r="I21" s="56"/>
      <c r="J21" s="40">
        <f>D21*I21</f>
        <v>0</v>
      </c>
    </row>
    <row r="22" spans="1:17" s="8" customFormat="1" x14ac:dyDescent="0.3">
      <c r="I22" s="91" t="s">
        <v>30</v>
      </c>
      <c r="J22" s="92">
        <f>SUM(J21:J21)</f>
        <v>0</v>
      </c>
    </row>
    <row r="23" spans="1:17" x14ac:dyDescent="0.3">
      <c r="H23" s="18"/>
      <c r="I23" s="19"/>
    </row>
    <row r="24" spans="1:17" s="8" customFormat="1" x14ac:dyDescent="0.3">
      <c r="A24" s="90" t="s">
        <v>17</v>
      </c>
      <c r="B24" s="90" t="s">
        <v>46</v>
      </c>
      <c r="C24" s="90" t="s">
        <v>19</v>
      </c>
      <c r="D24" s="90" t="s">
        <v>20</v>
      </c>
      <c r="E24" s="90" t="s">
        <v>36</v>
      </c>
      <c r="F24" s="90" t="s">
        <v>29</v>
      </c>
      <c r="G24" s="90" t="s">
        <v>47</v>
      </c>
      <c r="H24" s="90" t="s">
        <v>48</v>
      </c>
      <c r="I24" s="90" t="s">
        <v>30</v>
      </c>
    </row>
    <row r="25" spans="1:17" x14ac:dyDescent="0.3">
      <c r="A25" s="39"/>
      <c r="B25" s="39"/>
      <c r="C25" s="39"/>
      <c r="D25" s="40"/>
      <c r="E25" s="39"/>
      <c r="F25" s="39"/>
      <c r="G25" s="39"/>
      <c r="H25" s="39"/>
      <c r="I25" s="40" t="str">
        <f>IF('Bevel Casing'!$G30&lt;&gt;"",D25*F25/G25*H25,"")</f>
        <v/>
      </c>
    </row>
    <row r="26" spans="1:17" s="8" customFormat="1" x14ac:dyDescent="0.3">
      <c r="H26" s="91" t="s">
        <v>30</v>
      </c>
      <c r="I26" s="93">
        <f>SUM(I25:I25)</f>
        <v>0</v>
      </c>
    </row>
    <row r="27" spans="1:17" x14ac:dyDescent="0.3">
      <c r="H27" s="18"/>
      <c r="I27" s="19"/>
    </row>
    <row r="28" spans="1:17" x14ac:dyDescent="0.3">
      <c r="Q28" s="23"/>
    </row>
  </sheetData>
  <hyperlinks>
    <hyperlink ref="J3" location="BOM!A1" display="FileLink1" xr:uid="{657E83B6-FB30-4928-813B-2351CCA7C9C1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Sheet58">
    <tabColor rgb="FFFFFF00"/>
    <pageSetUpPr fitToPage="1"/>
  </sheetPr>
  <dimension ref="A1:Q41"/>
  <sheetViews>
    <sheetView zoomScale="93" zoomScaleNormal="93" workbookViewId="0">
      <selection activeCell="N33" sqref="N33"/>
    </sheetView>
  </sheetViews>
  <sheetFormatPr defaultColWidth="8.88671875" defaultRowHeight="13.8" x14ac:dyDescent="0.3"/>
  <cols>
    <col min="1" max="1" width="15" style="2" customWidth="1"/>
    <col min="2" max="2" width="32.88671875" style="2" customWidth="1"/>
    <col min="3" max="3" width="44.109375" style="2" bestFit="1" customWidth="1"/>
    <col min="4" max="4" width="13.44140625" style="2" bestFit="1" customWidth="1"/>
    <col min="5" max="5" width="14.109375" style="2" bestFit="1" customWidth="1"/>
    <col min="6" max="6" width="10" style="2" customWidth="1"/>
    <col min="7" max="7" width="15.33203125" style="2" bestFit="1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33203125" style="2" customWidth="1"/>
    <col min="12" max="12" width="11.33203125" style="2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N14+I32+J36+I40</f>
        <v>23.785664300000004</v>
      </c>
    </row>
    <row r="2" spans="1:14" x14ac:dyDescent="0.3">
      <c r="A2" s="68" t="s">
        <v>4</v>
      </c>
      <c r="B2" s="1" t="s">
        <v>64</v>
      </c>
      <c r="D2" s="146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1" t="s">
        <v>164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165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23.785664300000004</v>
      </c>
    </row>
    <row r="5" spans="1:14" x14ac:dyDescent="0.3">
      <c r="A5" s="68" t="s">
        <v>13</v>
      </c>
      <c r="B5" s="6"/>
      <c r="J5" s="68" t="s">
        <v>11</v>
      </c>
      <c r="K5" s="1"/>
      <c r="L5" s="147"/>
      <c r="M5" s="148"/>
    </row>
    <row r="6" spans="1:14" x14ac:dyDescent="0.3">
      <c r="A6" s="68" t="s">
        <v>14</v>
      </c>
      <c r="B6" s="1" t="s">
        <v>15</v>
      </c>
    </row>
    <row r="7" spans="1:14" x14ac:dyDescent="0.3">
      <c r="A7" s="68" t="s">
        <v>16</v>
      </c>
      <c r="B7" s="7" t="s">
        <v>166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167</v>
      </c>
      <c r="C10" s="1" t="s">
        <v>168</v>
      </c>
      <c r="D10" s="10">
        <v>4.2</v>
      </c>
      <c r="E10" s="145">
        <f>J10*K10*L10</f>
        <v>0.41565150000000001</v>
      </c>
      <c r="F10" s="1" t="s">
        <v>32</v>
      </c>
      <c r="G10" s="1"/>
      <c r="H10" s="11"/>
      <c r="I10" s="12" t="s">
        <v>34</v>
      </c>
      <c r="J10" s="63">
        <v>3.421E-3</v>
      </c>
      <c r="K10" s="63">
        <v>4.4999999999999998E-2</v>
      </c>
      <c r="L10" s="24">
        <v>2700</v>
      </c>
      <c r="M10" s="22">
        <v>1</v>
      </c>
      <c r="N10" s="149">
        <f>IF(J10="",D10*M10,D10*J10*K10*L10*M10)</f>
        <v>1.7457363000000001</v>
      </c>
    </row>
    <row r="11" spans="1:14" x14ac:dyDescent="0.3">
      <c r="A11" s="1">
        <v>2</v>
      </c>
      <c r="B11" s="1" t="s">
        <v>167</v>
      </c>
      <c r="C11" s="1" t="s">
        <v>169</v>
      </c>
      <c r="D11" s="10">
        <v>4</v>
      </c>
      <c r="E11" s="145">
        <f>J11*K11*L11</f>
        <v>0.55420199999999997</v>
      </c>
      <c r="F11" s="1" t="s">
        <v>32</v>
      </c>
      <c r="G11" s="1"/>
      <c r="H11" s="11"/>
      <c r="I11" s="12" t="s">
        <v>34</v>
      </c>
      <c r="J11" s="63">
        <v>3.421E-3</v>
      </c>
      <c r="K11" s="63">
        <v>0.06</v>
      </c>
      <c r="L11" s="11">
        <v>2700</v>
      </c>
      <c r="M11" s="22">
        <v>1</v>
      </c>
      <c r="N11" s="149">
        <f>IF(J11="",D11*M11,D11*J11*K11*L11*M11)</f>
        <v>2.2168079999999999</v>
      </c>
    </row>
    <row r="12" spans="1:14" x14ac:dyDescent="0.3">
      <c r="A12" s="1">
        <v>3</v>
      </c>
      <c r="B12" s="9" t="s">
        <v>170</v>
      </c>
      <c r="C12" s="1"/>
      <c r="D12" s="10">
        <v>6.2E-2</v>
      </c>
      <c r="E12" s="145"/>
      <c r="F12" s="1"/>
      <c r="G12" s="1"/>
      <c r="H12" s="11"/>
      <c r="I12" s="150"/>
      <c r="J12" s="151"/>
      <c r="K12" s="11"/>
      <c r="L12" s="11"/>
      <c r="M12" s="22">
        <v>3</v>
      </c>
      <c r="N12" s="149">
        <f>IF(J12="",D12*M12,D12*J12*K12*L12*M12)</f>
        <v>0.186</v>
      </c>
    </row>
    <row r="13" spans="1:14" x14ac:dyDescent="0.3">
      <c r="A13" s="1">
        <v>4</v>
      </c>
      <c r="B13" s="9" t="s">
        <v>171</v>
      </c>
      <c r="C13" s="1"/>
      <c r="D13" s="10">
        <v>1</v>
      </c>
      <c r="E13" s="1"/>
      <c r="F13" s="1"/>
      <c r="G13" s="1"/>
      <c r="H13" s="11"/>
      <c r="I13" s="150"/>
      <c r="J13" s="151"/>
      <c r="K13" s="11"/>
      <c r="L13" s="11"/>
      <c r="M13" s="143">
        <v>1</v>
      </c>
      <c r="N13" s="149">
        <f>IF(J13="",D13*M13,D13*J13*K13*L13*M13)</f>
        <v>1</v>
      </c>
    </row>
    <row r="14" spans="1:14" s="8" customFormat="1" x14ac:dyDescent="0.3">
      <c r="M14" s="140" t="s">
        <v>30</v>
      </c>
      <c r="N14" s="152">
        <f>SUM(N10:N13)</f>
        <v>5.1485443000000002</v>
      </c>
    </row>
    <row r="16" spans="1:14" s="8" customFormat="1" x14ac:dyDescent="0.3">
      <c r="A16" s="68" t="s">
        <v>17</v>
      </c>
      <c r="B16" s="68" t="s">
        <v>35</v>
      </c>
      <c r="C16" s="68" t="s">
        <v>19</v>
      </c>
      <c r="D16" s="68" t="s">
        <v>20</v>
      </c>
      <c r="E16" s="68" t="s">
        <v>36</v>
      </c>
      <c r="F16" s="68" t="s">
        <v>29</v>
      </c>
      <c r="G16" s="68" t="s">
        <v>37</v>
      </c>
      <c r="H16" s="68" t="s">
        <v>38</v>
      </c>
      <c r="I16" s="68" t="s">
        <v>30</v>
      </c>
    </row>
    <row r="17" spans="1:17" x14ac:dyDescent="0.3">
      <c r="A17" s="1">
        <v>1</v>
      </c>
      <c r="B17" s="13" t="s">
        <v>50</v>
      </c>
      <c r="C17" s="35" t="s">
        <v>89</v>
      </c>
      <c r="D17" s="10">
        <v>1.3</v>
      </c>
      <c r="E17" s="1" t="s">
        <v>44</v>
      </c>
      <c r="F17" s="43">
        <v>1</v>
      </c>
      <c r="G17" s="1" t="s">
        <v>41</v>
      </c>
      <c r="H17" s="1">
        <v>1</v>
      </c>
      <c r="I17" s="10">
        <f t="shared" ref="I17:I31" si="0">D17*F17*H17</f>
        <v>1.3</v>
      </c>
    </row>
    <row r="18" spans="1:17" x14ac:dyDescent="0.3">
      <c r="A18" s="1">
        <v>2</v>
      </c>
      <c r="B18" s="14" t="s">
        <v>62</v>
      </c>
      <c r="C18" s="35" t="s">
        <v>172</v>
      </c>
      <c r="D18" s="10">
        <v>0.04</v>
      </c>
      <c r="E18" s="1" t="s">
        <v>54</v>
      </c>
      <c r="F18" s="43">
        <v>121.05</v>
      </c>
      <c r="G18" s="1" t="s">
        <v>59</v>
      </c>
      <c r="H18" s="1">
        <v>1</v>
      </c>
      <c r="I18" s="10">
        <f t="shared" si="0"/>
        <v>4.8419999999999996</v>
      </c>
    </row>
    <row r="19" spans="1:17" x14ac:dyDescent="0.3">
      <c r="A19" s="1">
        <v>3</v>
      </c>
      <c r="B19" s="13" t="s">
        <v>79</v>
      </c>
      <c r="C19" s="14" t="s">
        <v>173</v>
      </c>
      <c r="D19" s="10">
        <v>0.35</v>
      </c>
      <c r="E19" s="1" t="s">
        <v>61</v>
      </c>
      <c r="F19" s="43">
        <v>1</v>
      </c>
      <c r="G19" s="58" t="s">
        <v>240</v>
      </c>
      <c r="H19" s="1">
        <v>1.5</v>
      </c>
      <c r="I19" s="10">
        <f t="shared" si="0"/>
        <v>0.52499999999999991</v>
      </c>
    </row>
    <row r="20" spans="1:17" x14ac:dyDescent="0.3">
      <c r="A20" s="1">
        <v>4</v>
      </c>
      <c r="B20" s="13" t="s">
        <v>50</v>
      </c>
      <c r="C20" s="35" t="s">
        <v>174</v>
      </c>
      <c r="D20" s="10">
        <v>1.3</v>
      </c>
      <c r="E20" s="1" t="s">
        <v>44</v>
      </c>
      <c r="F20" s="43">
        <v>1</v>
      </c>
      <c r="G20" s="1" t="s">
        <v>41</v>
      </c>
      <c r="H20" s="1">
        <v>1</v>
      </c>
      <c r="I20" s="10">
        <f t="shared" si="0"/>
        <v>1.3</v>
      </c>
      <c r="J20" s="15"/>
    </row>
    <row r="21" spans="1:17" x14ac:dyDescent="0.3">
      <c r="A21" s="1">
        <v>5</v>
      </c>
      <c r="B21" s="14" t="s">
        <v>62</v>
      </c>
      <c r="C21" s="14" t="s">
        <v>201</v>
      </c>
      <c r="D21" s="10">
        <v>0.04</v>
      </c>
      <c r="E21" s="1" t="s">
        <v>54</v>
      </c>
      <c r="F21" s="43">
        <v>11.324999999999999</v>
      </c>
      <c r="G21" s="1" t="s">
        <v>59</v>
      </c>
      <c r="H21" s="1">
        <v>1</v>
      </c>
      <c r="I21" s="10">
        <f t="shared" si="0"/>
        <v>0.45299999999999996</v>
      </c>
    </row>
    <row r="22" spans="1:17" x14ac:dyDescent="0.3">
      <c r="A22" s="1">
        <v>6</v>
      </c>
      <c r="B22" s="13" t="s">
        <v>50</v>
      </c>
      <c r="C22" s="14" t="s">
        <v>175</v>
      </c>
      <c r="D22" s="10">
        <v>1.3</v>
      </c>
      <c r="E22" s="1" t="s">
        <v>44</v>
      </c>
      <c r="F22" s="43">
        <v>1</v>
      </c>
      <c r="G22" s="1" t="s">
        <v>41</v>
      </c>
      <c r="H22" s="1">
        <v>1</v>
      </c>
      <c r="I22" s="10">
        <f t="shared" si="0"/>
        <v>1.3</v>
      </c>
    </row>
    <row r="23" spans="1:17" x14ac:dyDescent="0.3">
      <c r="A23" s="1">
        <v>7</v>
      </c>
      <c r="B23" s="13" t="s">
        <v>123</v>
      </c>
      <c r="C23" s="14" t="s">
        <v>176</v>
      </c>
      <c r="D23" s="10">
        <v>0.5</v>
      </c>
      <c r="E23" s="1" t="s">
        <v>40</v>
      </c>
      <c r="F23" s="43">
        <v>2.4</v>
      </c>
      <c r="G23" s="1" t="s">
        <v>59</v>
      </c>
      <c r="H23" s="1">
        <v>1</v>
      </c>
      <c r="I23" s="10">
        <f t="shared" si="0"/>
        <v>1.2</v>
      </c>
    </row>
    <row r="24" spans="1:17" x14ac:dyDescent="0.3">
      <c r="A24" s="1">
        <v>8</v>
      </c>
      <c r="B24" s="13" t="s">
        <v>50</v>
      </c>
      <c r="C24" s="35" t="s">
        <v>89</v>
      </c>
      <c r="D24" s="10">
        <v>1.3</v>
      </c>
      <c r="E24" s="1" t="s">
        <v>44</v>
      </c>
      <c r="F24" s="43">
        <v>1</v>
      </c>
      <c r="G24" s="1" t="s">
        <v>41</v>
      </c>
      <c r="H24" s="1">
        <v>1</v>
      </c>
      <c r="I24" s="10">
        <f t="shared" si="0"/>
        <v>1.3</v>
      </c>
    </row>
    <row r="25" spans="1:17" x14ac:dyDescent="0.3">
      <c r="A25" s="1">
        <v>9</v>
      </c>
      <c r="B25" s="14" t="s">
        <v>62</v>
      </c>
      <c r="C25" s="14" t="s">
        <v>177</v>
      </c>
      <c r="D25" s="10">
        <v>0.04</v>
      </c>
      <c r="E25" s="1" t="s">
        <v>54</v>
      </c>
      <c r="F25" s="43">
        <v>74.8</v>
      </c>
      <c r="G25" s="1" t="s">
        <v>59</v>
      </c>
      <c r="H25" s="1">
        <v>1</v>
      </c>
      <c r="I25" s="10">
        <f t="shared" si="0"/>
        <v>2.992</v>
      </c>
    </row>
    <row r="26" spans="1:17" x14ac:dyDescent="0.3">
      <c r="A26" s="1">
        <v>10</v>
      </c>
      <c r="B26" s="13" t="s">
        <v>178</v>
      </c>
      <c r="C26" s="14" t="s">
        <v>173</v>
      </c>
      <c r="D26" s="10">
        <v>0.7</v>
      </c>
      <c r="E26" s="1" t="s">
        <v>61</v>
      </c>
      <c r="F26" s="43">
        <v>1</v>
      </c>
      <c r="G26" s="58" t="s">
        <v>240</v>
      </c>
      <c r="H26" s="1">
        <v>1.5</v>
      </c>
      <c r="I26" s="10">
        <f t="shared" si="0"/>
        <v>1.0499999999999998</v>
      </c>
    </row>
    <row r="27" spans="1:17" x14ac:dyDescent="0.3">
      <c r="A27" s="1">
        <v>11</v>
      </c>
      <c r="B27" s="13" t="s">
        <v>50</v>
      </c>
      <c r="C27" s="35" t="s">
        <v>179</v>
      </c>
      <c r="D27" s="10">
        <v>1.3</v>
      </c>
      <c r="E27" s="1" t="s">
        <v>44</v>
      </c>
      <c r="F27" s="43">
        <v>1</v>
      </c>
      <c r="G27" s="1" t="s">
        <v>41</v>
      </c>
      <c r="H27" s="1">
        <v>1</v>
      </c>
      <c r="I27" s="10">
        <f t="shared" si="0"/>
        <v>1.3</v>
      </c>
    </row>
    <row r="28" spans="1:17" x14ac:dyDescent="0.3">
      <c r="A28" s="1">
        <v>12</v>
      </c>
      <c r="B28" s="14" t="s">
        <v>62</v>
      </c>
      <c r="C28" s="35" t="s">
        <v>179</v>
      </c>
      <c r="D28" s="10">
        <v>0.04</v>
      </c>
      <c r="E28" s="1" t="s">
        <v>54</v>
      </c>
      <c r="F28" s="43">
        <v>8.6280000000000001</v>
      </c>
      <c r="G28" s="1" t="s">
        <v>59</v>
      </c>
      <c r="H28" s="1">
        <v>1</v>
      </c>
      <c r="I28" s="10">
        <f t="shared" si="0"/>
        <v>0.34512000000000004</v>
      </c>
    </row>
    <row r="29" spans="1:17" ht="27.6" x14ac:dyDescent="0.3">
      <c r="A29" s="1">
        <v>13</v>
      </c>
      <c r="B29" s="13" t="s">
        <v>63</v>
      </c>
      <c r="C29" s="35" t="s">
        <v>180</v>
      </c>
      <c r="D29" s="10">
        <v>0.13</v>
      </c>
      <c r="E29" s="1" t="s">
        <v>44</v>
      </c>
      <c r="F29" s="43">
        <v>2</v>
      </c>
      <c r="G29" s="1" t="s">
        <v>284</v>
      </c>
      <c r="H29" s="1">
        <v>1</v>
      </c>
      <c r="I29" s="10">
        <f t="shared" si="0"/>
        <v>0.26</v>
      </c>
    </row>
    <row r="30" spans="1:17" x14ac:dyDescent="0.3">
      <c r="A30" s="1">
        <v>14</v>
      </c>
      <c r="B30" s="13" t="s">
        <v>63</v>
      </c>
      <c r="C30" s="14" t="s">
        <v>181</v>
      </c>
      <c r="D30" s="10">
        <v>0.13</v>
      </c>
      <c r="E30" s="1" t="s">
        <v>44</v>
      </c>
      <c r="F30" s="43">
        <v>1</v>
      </c>
      <c r="G30" s="1" t="s">
        <v>284</v>
      </c>
      <c r="H30" s="1">
        <v>1</v>
      </c>
      <c r="I30" s="153">
        <f t="shared" si="0"/>
        <v>0.13</v>
      </c>
      <c r="Q30" s="23"/>
    </row>
    <row r="31" spans="1:17" x14ac:dyDescent="0.3">
      <c r="A31" s="1">
        <v>15</v>
      </c>
      <c r="B31" s="13" t="s">
        <v>182</v>
      </c>
      <c r="C31" s="14" t="s">
        <v>183</v>
      </c>
      <c r="D31" s="10">
        <v>0.19</v>
      </c>
      <c r="E31" s="1" t="s">
        <v>44</v>
      </c>
      <c r="F31" s="43">
        <v>1</v>
      </c>
      <c r="G31" s="1" t="s">
        <v>284</v>
      </c>
      <c r="H31" s="1">
        <v>1</v>
      </c>
      <c r="I31" s="153">
        <f t="shared" si="0"/>
        <v>0.19</v>
      </c>
    </row>
    <row r="32" spans="1:17" s="8" customFormat="1" x14ac:dyDescent="0.3">
      <c r="H32" s="140" t="s">
        <v>30</v>
      </c>
      <c r="I32" s="141">
        <f>SUM(I17:I31)</f>
        <v>18.487120000000004</v>
      </c>
    </row>
    <row r="34" spans="1:10" s="8" customFormat="1" x14ac:dyDescent="0.3">
      <c r="A34" s="68" t="s">
        <v>17</v>
      </c>
      <c r="B34" s="68" t="s">
        <v>45</v>
      </c>
      <c r="C34" s="68" t="s">
        <v>19</v>
      </c>
      <c r="D34" s="68" t="s">
        <v>20</v>
      </c>
      <c r="E34" s="68" t="s">
        <v>21</v>
      </c>
      <c r="F34" s="68" t="s">
        <v>22</v>
      </c>
      <c r="G34" s="68" t="s">
        <v>23</v>
      </c>
      <c r="H34" s="68" t="s">
        <v>24</v>
      </c>
      <c r="I34" s="68" t="s">
        <v>29</v>
      </c>
      <c r="J34" s="68" t="s">
        <v>30</v>
      </c>
    </row>
    <row r="35" spans="1:10" x14ac:dyDescent="0.3">
      <c r="A35" s="1">
        <v>1</v>
      </c>
      <c r="B35" s="9" t="s">
        <v>184</v>
      </c>
      <c r="C35" s="1" t="s">
        <v>185</v>
      </c>
      <c r="D35" s="145">
        <v>0.15</v>
      </c>
      <c r="E35" s="1">
        <v>28</v>
      </c>
      <c r="F35" s="16" t="s">
        <v>33</v>
      </c>
      <c r="G35" s="1"/>
      <c r="H35" s="14"/>
      <c r="I35" s="17">
        <v>1</v>
      </c>
      <c r="J35" s="10">
        <f>D35*I35</f>
        <v>0.15</v>
      </c>
    </row>
    <row r="36" spans="1:10" s="8" customFormat="1" x14ac:dyDescent="0.3">
      <c r="I36" s="74" t="s">
        <v>30</v>
      </c>
      <c r="J36" s="75">
        <f>SUM(J35:J35)</f>
        <v>0.15</v>
      </c>
    </row>
    <row r="37" spans="1:10" x14ac:dyDescent="0.3">
      <c r="H37" s="18"/>
      <c r="I37" s="19"/>
    </row>
    <row r="38" spans="1:10" s="8" customFormat="1" x14ac:dyDescent="0.3">
      <c r="A38" s="68" t="s">
        <v>17</v>
      </c>
      <c r="B38" s="68" t="s">
        <v>46</v>
      </c>
      <c r="C38" s="68" t="s">
        <v>19</v>
      </c>
      <c r="D38" s="68" t="s">
        <v>20</v>
      </c>
      <c r="E38" s="68" t="s">
        <v>36</v>
      </c>
      <c r="F38" s="68" t="s">
        <v>29</v>
      </c>
      <c r="G38" s="68" t="s">
        <v>47</v>
      </c>
      <c r="H38" s="68" t="s">
        <v>48</v>
      </c>
      <c r="I38" s="68" t="s">
        <v>30</v>
      </c>
    </row>
    <row r="39" spans="1:10" x14ac:dyDescent="0.3">
      <c r="A39" s="1"/>
      <c r="B39" s="1"/>
      <c r="C39" s="1"/>
      <c r="D39" s="10"/>
      <c r="E39" s="1"/>
      <c r="F39" s="1"/>
      <c r="G39" s="1"/>
      <c r="H39" s="1"/>
      <c r="I39" s="154">
        <f>IF(G39="",D39*F39,(D39*F39)/(G39*H39))</f>
        <v>0</v>
      </c>
    </row>
    <row r="40" spans="1:10" s="8" customFormat="1" x14ac:dyDescent="0.3">
      <c r="H40" s="74" t="s">
        <v>30</v>
      </c>
      <c r="I40" s="155">
        <f>SUM(I39:I39)</f>
        <v>0</v>
      </c>
    </row>
    <row r="41" spans="1:10" x14ac:dyDescent="0.3">
      <c r="H41" s="18"/>
      <c r="I41" s="19"/>
    </row>
  </sheetData>
  <hyperlinks>
    <hyperlink ref="J3" location="BOM!A1" display="FileLink1" xr:uid="{00000000-0004-0000-3E00-000000000000}"/>
  </hyperlinks>
  <pageMargins left="0.5" right="0.5" top="0.75" bottom="0.75" header="0.3" footer="0.3"/>
  <pageSetup scale="68"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54BE-A530-499D-97F5-111F34920B18}">
  <sheetPr>
    <tabColor rgb="FFFFFF00"/>
  </sheetPr>
  <dimension ref="A1:N31"/>
  <sheetViews>
    <sheetView zoomScale="70" zoomScaleNormal="70" workbookViewId="0">
      <selection activeCell="B34" sqref="B34"/>
    </sheetView>
  </sheetViews>
  <sheetFormatPr defaultColWidth="8.88671875" defaultRowHeight="13.8" x14ac:dyDescent="0.3"/>
  <cols>
    <col min="1" max="1" width="15" style="2" customWidth="1"/>
    <col min="2" max="2" width="32.88671875" style="2" customWidth="1"/>
    <col min="3" max="3" width="46.6640625" style="2" bestFit="1" customWidth="1"/>
    <col min="4" max="4" width="13.44140625" style="2" bestFit="1" customWidth="1"/>
    <col min="5" max="5" width="14.109375" style="2" bestFit="1" customWidth="1"/>
    <col min="6" max="6" width="10" style="2" customWidth="1"/>
    <col min="7" max="7" width="15.109375" style="2" bestFit="1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33203125" style="2" customWidth="1"/>
    <col min="12" max="12" width="11.33203125" style="2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N12+I22+J26+I30</f>
        <v>14.846599999999999</v>
      </c>
    </row>
    <row r="2" spans="1:14" x14ac:dyDescent="0.3">
      <c r="A2" s="68" t="s">
        <v>4</v>
      </c>
      <c r="B2" s="1" t="s">
        <v>64</v>
      </c>
      <c r="D2" s="146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1" t="s">
        <v>164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280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14.846599999999999</v>
      </c>
    </row>
    <row r="5" spans="1:14" x14ac:dyDescent="0.3">
      <c r="A5" s="68" t="s">
        <v>13</v>
      </c>
      <c r="B5" s="6"/>
      <c r="J5" s="68" t="s">
        <v>11</v>
      </c>
      <c r="K5" s="1"/>
      <c r="L5" s="147"/>
      <c r="M5" s="148"/>
    </row>
    <row r="6" spans="1:14" x14ac:dyDescent="0.3">
      <c r="A6" s="68" t="s">
        <v>14</v>
      </c>
      <c r="B6" s="1" t="s">
        <v>15</v>
      </c>
    </row>
    <row r="7" spans="1:14" x14ac:dyDescent="0.3">
      <c r="A7" s="68" t="s">
        <v>16</v>
      </c>
      <c r="B7" s="7" t="s">
        <v>166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281</v>
      </c>
      <c r="C10" s="1" t="s">
        <v>282</v>
      </c>
      <c r="D10" s="10">
        <v>2E-3</v>
      </c>
      <c r="E10" s="145">
        <v>1996</v>
      </c>
      <c r="F10" s="1" t="s">
        <v>54</v>
      </c>
      <c r="G10" s="1" t="s">
        <v>291</v>
      </c>
      <c r="H10" s="11"/>
      <c r="I10" s="12" t="s">
        <v>34</v>
      </c>
      <c r="J10" s="63">
        <v>3.421E-3</v>
      </c>
      <c r="K10" s="63">
        <v>4.4999999999999998E-2</v>
      </c>
      <c r="L10" s="24">
        <v>2700</v>
      </c>
      <c r="M10" s="22">
        <v>1</v>
      </c>
      <c r="N10" s="149">
        <f>(E10*D10)</f>
        <v>3.992</v>
      </c>
    </row>
    <row r="11" spans="1:14" x14ac:dyDescent="0.3">
      <c r="A11" s="1"/>
      <c r="B11" s="9"/>
      <c r="C11" s="1"/>
      <c r="D11" s="10"/>
      <c r="E11" s="1"/>
      <c r="F11" s="1"/>
      <c r="G11" s="1"/>
      <c r="H11" s="11"/>
      <c r="I11" s="150"/>
      <c r="J11" s="151"/>
      <c r="K11" s="11"/>
      <c r="L11" s="11"/>
      <c r="M11" s="143"/>
      <c r="N11" s="149"/>
    </row>
    <row r="12" spans="1:14" s="8" customFormat="1" x14ac:dyDescent="0.3">
      <c r="M12" s="140" t="s">
        <v>30</v>
      </c>
      <c r="N12" s="152">
        <f>SUM(N10:N11)</f>
        <v>3.992</v>
      </c>
    </row>
    <row r="14" spans="1:14" s="8" customFormat="1" x14ac:dyDescent="0.3">
      <c r="A14" s="68" t="s">
        <v>17</v>
      </c>
      <c r="B14" s="68" t="s">
        <v>35</v>
      </c>
      <c r="C14" s="68" t="s">
        <v>19</v>
      </c>
      <c r="D14" s="68" t="s">
        <v>20</v>
      </c>
      <c r="E14" s="68" t="s">
        <v>36</v>
      </c>
      <c r="F14" s="68" t="s">
        <v>29</v>
      </c>
      <c r="G14" s="68" t="s">
        <v>37</v>
      </c>
      <c r="H14" s="68" t="s">
        <v>38</v>
      </c>
      <c r="I14" s="68" t="s">
        <v>30</v>
      </c>
    </row>
    <row r="15" spans="1:14" x14ac:dyDescent="0.3">
      <c r="A15" s="1">
        <v>1</v>
      </c>
      <c r="B15" s="13" t="s">
        <v>50</v>
      </c>
      <c r="C15" s="35" t="s">
        <v>283</v>
      </c>
      <c r="D15" s="10">
        <v>1.3</v>
      </c>
      <c r="E15" s="1" t="s">
        <v>44</v>
      </c>
      <c r="F15" s="43">
        <v>1</v>
      </c>
      <c r="G15" s="1" t="s">
        <v>41</v>
      </c>
      <c r="H15" s="1">
        <v>1</v>
      </c>
      <c r="I15" s="10">
        <f t="shared" ref="I15:I20" si="0">D15*F15*H15</f>
        <v>1.3</v>
      </c>
    </row>
    <row r="16" spans="1:14" x14ac:dyDescent="0.3">
      <c r="A16" s="1">
        <v>2</v>
      </c>
      <c r="B16" s="14" t="s">
        <v>62</v>
      </c>
      <c r="C16" s="35" t="s">
        <v>285</v>
      </c>
      <c r="D16" s="10">
        <v>0.04</v>
      </c>
      <c r="E16" s="1" t="s">
        <v>54</v>
      </c>
      <c r="F16" s="43">
        <v>121.05</v>
      </c>
      <c r="G16" s="1" t="s">
        <v>288</v>
      </c>
      <c r="H16" s="1">
        <v>0.5</v>
      </c>
      <c r="I16" s="10">
        <f t="shared" si="0"/>
        <v>2.4209999999999998</v>
      </c>
    </row>
    <row r="17" spans="1:10" x14ac:dyDescent="0.3">
      <c r="A17" s="1">
        <v>3</v>
      </c>
      <c r="B17" s="13" t="s">
        <v>79</v>
      </c>
      <c r="C17" s="14" t="s">
        <v>286</v>
      </c>
      <c r="D17" s="10">
        <v>0.35</v>
      </c>
      <c r="E17" s="1" t="s">
        <v>61</v>
      </c>
      <c r="F17" s="43">
        <v>4</v>
      </c>
      <c r="G17" s="58" t="s">
        <v>240</v>
      </c>
      <c r="H17" s="1">
        <v>1.5</v>
      </c>
      <c r="I17" s="10">
        <f t="shared" si="0"/>
        <v>2.0999999999999996</v>
      </c>
    </row>
    <row r="18" spans="1:10" x14ac:dyDescent="0.3">
      <c r="A18" s="1">
        <v>4</v>
      </c>
      <c r="B18" s="13" t="s">
        <v>79</v>
      </c>
      <c r="C18" s="14" t="s">
        <v>287</v>
      </c>
      <c r="D18" s="10">
        <v>0.35</v>
      </c>
      <c r="E18" s="1" t="s">
        <v>61</v>
      </c>
      <c r="F18" s="43">
        <v>7</v>
      </c>
      <c r="G18" s="58" t="s">
        <v>240</v>
      </c>
      <c r="H18" s="1">
        <v>1.5</v>
      </c>
      <c r="I18" s="10">
        <f t="shared" ref="I18:I19" si="1">D18*F18*H18</f>
        <v>3.6749999999999998</v>
      </c>
    </row>
    <row r="19" spans="1:10" x14ac:dyDescent="0.3">
      <c r="A19" s="39">
        <v>5</v>
      </c>
      <c r="B19" s="55" t="s">
        <v>91</v>
      </c>
      <c r="C19" s="55" t="s">
        <v>290</v>
      </c>
      <c r="D19" s="40">
        <v>0.65</v>
      </c>
      <c r="E19" s="39" t="s">
        <v>44</v>
      </c>
      <c r="F19" s="39">
        <v>1</v>
      </c>
      <c r="G19" s="39" t="s">
        <v>41</v>
      </c>
      <c r="H19" s="142">
        <v>1</v>
      </c>
      <c r="I19" s="10">
        <f t="shared" si="1"/>
        <v>0.65</v>
      </c>
    </row>
    <row r="20" spans="1:10" x14ac:dyDescent="0.3">
      <c r="A20" s="1">
        <v>6</v>
      </c>
      <c r="B20" s="14" t="s">
        <v>62</v>
      </c>
      <c r="C20" s="14" t="s">
        <v>289</v>
      </c>
      <c r="D20" s="10">
        <v>0.04</v>
      </c>
      <c r="E20" s="1" t="s">
        <v>54</v>
      </c>
      <c r="F20" s="43">
        <v>35.43</v>
      </c>
      <c r="G20" s="1" t="s">
        <v>288</v>
      </c>
      <c r="H20" s="1">
        <v>0.5</v>
      </c>
      <c r="I20" s="10">
        <f t="shared" si="0"/>
        <v>0.70860000000000001</v>
      </c>
    </row>
    <row r="21" spans="1:10" x14ac:dyDescent="0.3">
      <c r="A21" s="1"/>
      <c r="B21" s="13"/>
      <c r="C21" s="14"/>
      <c r="D21" s="10"/>
      <c r="E21" s="1"/>
      <c r="F21" s="43"/>
      <c r="G21" s="1"/>
      <c r="H21" s="1"/>
      <c r="I21" s="10"/>
    </row>
    <row r="22" spans="1:10" s="8" customFormat="1" x14ac:dyDescent="0.3">
      <c r="H22" s="140" t="s">
        <v>30</v>
      </c>
      <c r="I22" s="141">
        <f>SUM(I15:I21)</f>
        <v>10.8546</v>
      </c>
    </row>
    <row r="24" spans="1:10" s="8" customFormat="1" x14ac:dyDescent="0.3">
      <c r="A24" s="68" t="s">
        <v>17</v>
      </c>
      <c r="B24" s="68" t="s">
        <v>45</v>
      </c>
      <c r="C24" s="68" t="s">
        <v>19</v>
      </c>
      <c r="D24" s="68" t="s">
        <v>20</v>
      </c>
      <c r="E24" s="68" t="s">
        <v>21</v>
      </c>
      <c r="F24" s="68" t="s">
        <v>22</v>
      </c>
      <c r="G24" s="68" t="s">
        <v>23</v>
      </c>
      <c r="H24" s="68" t="s">
        <v>24</v>
      </c>
      <c r="I24" s="68" t="s">
        <v>29</v>
      </c>
      <c r="J24" s="68" t="s">
        <v>30</v>
      </c>
    </row>
    <row r="25" spans="1:10" x14ac:dyDescent="0.3">
      <c r="A25" s="1"/>
      <c r="B25" s="9"/>
      <c r="C25" s="1"/>
      <c r="D25" s="145"/>
      <c r="E25" s="1"/>
      <c r="F25" s="16"/>
      <c r="G25" s="1"/>
      <c r="H25" s="14"/>
      <c r="I25" s="17"/>
      <c r="J25" s="10"/>
    </row>
    <row r="26" spans="1:10" s="8" customFormat="1" x14ac:dyDescent="0.3">
      <c r="I26" s="74" t="s">
        <v>30</v>
      </c>
      <c r="J26" s="75">
        <f>SUM(J25:J25)</f>
        <v>0</v>
      </c>
    </row>
    <row r="27" spans="1:10" x14ac:dyDescent="0.3">
      <c r="H27" s="18"/>
      <c r="I27" s="19"/>
    </row>
    <row r="28" spans="1:10" s="8" customFormat="1" x14ac:dyDescent="0.3">
      <c r="A28" s="68" t="s">
        <v>17</v>
      </c>
      <c r="B28" s="68" t="s">
        <v>46</v>
      </c>
      <c r="C28" s="68" t="s">
        <v>19</v>
      </c>
      <c r="D28" s="68" t="s">
        <v>20</v>
      </c>
      <c r="E28" s="68" t="s">
        <v>36</v>
      </c>
      <c r="F28" s="68" t="s">
        <v>29</v>
      </c>
      <c r="G28" s="68" t="s">
        <v>47</v>
      </c>
      <c r="H28" s="68" t="s">
        <v>48</v>
      </c>
      <c r="I28" s="68" t="s">
        <v>30</v>
      </c>
    </row>
    <row r="29" spans="1:10" x14ac:dyDescent="0.3">
      <c r="A29" s="1"/>
      <c r="B29" s="1"/>
      <c r="C29" s="1"/>
      <c r="D29" s="10"/>
      <c r="E29" s="1"/>
      <c r="F29" s="1"/>
      <c r="G29" s="1"/>
      <c r="H29" s="1"/>
      <c r="I29" s="154">
        <f>IF(G29="",D29*F29,(D29*F29)/(G29*H29))</f>
        <v>0</v>
      </c>
    </row>
    <row r="30" spans="1:10" s="8" customFormat="1" x14ac:dyDescent="0.3">
      <c r="H30" s="74" t="s">
        <v>30</v>
      </c>
      <c r="I30" s="155">
        <f>SUM(I29:I29)</f>
        <v>0</v>
      </c>
    </row>
    <row r="31" spans="1:10" x14ac:dyDescent="0.3">
      <c r="H31" s="18"/>
      <c r="I31" s="19"/>
    </row>
  </sheetData>
  <hyperlinks>
    <hyperlink ref="J3" location="BOM!A1" display="FileLink1" xr:uid="{7A59AB16-A10F-492A-91E6-4CCA86E26B01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F815-7DA4-409A-8A57-B8789EB36288}">
  <dimension ref="A1:N31"/>
  <sheetViews>
    <sheetView zoomScale="70" zoomScaleNormal="70" workbookViewId="0">
      <selection activeCell="D47" sqref="D47"/>
    </sheetView>
  </sheetViews>
  <sheetFormatPr defaultColWidth="8.88671875" defaultRowHeight="13.8" x14ac:dyDescent="0.3"/>
  <cols>
    <col min="1" max="1" width="15" style="2" customWidth="1"/>
    <col min="2" max="2" width="32.88671875" style="2" customWidth="1"/>
    <col min="3" max="3" width="46.6640625" style="2" bestFit="1" customWidth="1"/>
    <col min="4" max="4" width="13.44140625" style="2" bestFit="1" customWidth="1"/>
    <col min="5" max="5" width="14.109375" style="2" bestFit="1" customWidth="1"/>
    <col min="6" max="6" width="10" style="2" customWidth="1"/>
    <col min="7" max="7" width="15.109375" style="2" bestFit="1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33203125" style="2" customWidth="1"/>
    <col min="12" max="12" width="11.33203125" style="2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N12+I22+J26+I30</f>
        <v>15.0898</v>
      </c>
    </row>
    <row r="2" spans="1:14" x14ac:dyDescent="0.3">
      <c r="A2" s="68" t="s">
        <v>4</v>
      </c>
      <c r="B2" s="1" t="s">
        <v>64</v>
      </c>
      <c r="D2" s="146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1" t="s">
        <v>164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292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15.0898</v>
      </c>
    </row>
    <row r="5" spans="1:14" x14ac:dyDescent="0.3">
      <c r="A5" s="68" t="s">
        <v>13</v>
      </c>
      <c r="B5" s="6"/>
      <c r="J5" s="68" t="s">
        <v>11</v>
      </c>
      <c r="K5" s="1"/>
      <c r="L5" s="147"/>
      <c r="M5" s="148"/>
    </row>
    <row r="6" spans="1:14" x14ac:dyDescent="0.3">
      <c r="A6" s="68" t="s">
        <v>14</v>
      </c>
      <c r="B6" s="1" t="s">
        <v>15</v>
      </c>
    </row>
    <row r="7" spans="1:14" x14ac:dyDescent="0.3">
      <c r="A7" s="68" t="s">
        <v>16</v>
      </c>
      <c r="B7" s="7" t="s">
        <v>166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281</v>
      </c>
      <c r="C10" s="1" t="s">
        <v>282</v>
      </c>
      <c r="D10" s="10">
        <v>2E-3</v>
      </c>
      <c r="E10" s="145">
        <v>1996</v>
      </c>
      <c r="F10" s="1" t="s">
        <v>54</v>
      </c>
      <c r="G10" s="1" t="s">
        <v>291</v>
      </c>
      <c r="H10" s="11"/>
      <c r="I10" s="12" t="s">
        <v>34</v>
      </c>
      <c r="J10" s="63">
        <v>3.421E-3</v>
      </c>
      <c r="K10" s="63">
        <v>4.4999999999999998E-2</v>
      </c>
      <c r="L10" s="24">
        <v>2700</v>
      </c>
      <c r="M10" s="22">
        <v>1</v>
      </c>
      <c r="N10" s="149">
        <f>(E10*D10)</f>
        <v>3.992</v>
      </c>
    </row>
    <row r="11" spans="1:14" x14ac:dyDescent="0.3">
      <c r="A11" s="1"/>
      <c r="B11" s="9"/>
      <c r="C11" s="1"/>
      <c r="D11" s="10"/>
      <c r="E11" s="1"/>
      <c r="F11" s="1"/>
      <c r="G11" s="1"/>
      <c r="H11" s="11"/>
      <c r="I11" s="150"/>
      <c r="J11" s="151"/>
      <c r="K11" s="11"/>
      <c r="L11" s="11"/>
      <c r="M11" s="143"/>
      <c r="N11" s="149"/>
    </row>
    <row r="12" spans="1:14" s="8" customFormat="1" x14ac:dyDescent="0.3">
      <c r="M12" s="140" t="s">
        <v>30</v>
      </c>
      <c r="N12" s="152">
        <f>SUM(N10:N11)</f>
        <v>3.992</v>
      </c>
    </row>
    <row r="14" spans="1:14" s="8" customFormat="1" x14ac:dyDescent="0.3">
      <c r="A14" s="68" t="s">
        <v>17</v>
      </c>
      <c r="B14" s="68" t="s">
        <v>35</v>
      </c>
      <c r="C14" s="68" t="s">
        <v>19</v>
      </c>
      <c r="D14" s="68" t="s">
        <v>20</v>
      </c>
      <c r="E14" s="68" t="s">
        <v>36</v>
      </c>
      <c r="F14" s="68" t="s">
        <v>29</v>
      </c>
      <c r="G14" s="68" t="s">
        <v>37</v>
      </c>
      <c r="H14" s="68" t="s">
        <v>38</v>
      </c>
      <c r="I14" s="68" t="s">
        <v>30</v>
      </c>
    </row>
    <row r="15" spans="1:14" x14ac:dyDescent="0.3">
      <c r="A15" s="1">
        <v>1</v>
      </c>
      <c r="B15" s="13" t="s">
        <v>50</v>
      </c>
      <c r="C15" s="35" t="s">
        <v>283</v>
      </c>
      <c r="D15" s="10">
        <v>1.3</v>
      </c>
      <c r="E15" s="1" t="s">
        <v>44</v>
      </c>
      <c r="F15" s="43">
        <v>1</v>
      </c>
      <c r="G15" s="1" t="s">
        <v>41</v>
      </c>
      <c r="H15" s="1">
        <v>1</v>
      </c>
      <c r="I15" s="10">
        <f t="shared" ref="I15:I20" si="0">D15*F15*H15</f>
        <v>1.3</v>
      </c>
    </row>
    <row r="16" spans="1:14" x14ac:dyDescent="0.3">
      <c r="A16" s="1">
        <v>2</v>
      </c>
      <c r="B16" s="14" t="s">
        <v>62</v>
      </c>
      <c r="C16" s="35" t="s">
        <v>285</v>
      </c>
      <c r="D16" s="10">
        <v>0.04</v>
      </c>
      <c r="E16" s="1" t="s">
        <v>54</v>
      </c>
      <c r="F16" s="43">
        <v>133.21</v>
      </c>
      <c r="G16" s="1" t="s">
        <v>288</v>
      </c>
      <c r="H16" s="1">
        <v>0.5</v>
      </c>
      <c r="I16" s="10">
        <f t="shared" si="0"/>
        <v>2.6642000000000001</v>
      </c>
    </row>
    <row r="17" spans="1:10" x14ac:dyDescent="0.3">
      <c r="A17" s="1">
        <v>3</v>
      </c>
      <c r="B17" s="13" t="s">
        <v>79</v>
      </c>
      <c r="C17" s="14" t="s">
        <v>286</v>
      </c>
      <c r="D17" s="10">
        <v>0.35</v>
      </c>
      <c r="E17" s="1" t="s">
        <v>61</v>
      </c>
      <c r="F17" s="43">
        <v>4</v>
      </c>
      <c r="G17" s="58" t="s">
        <v>240</v>
      </c>
      <c r="H17" s="1">
        <v>1.5</v>
      </c>
      <c r="I17" s="10">
        <f t="shared" si="0"/>
        <v>2.0999999999999996</v>
      </c>
    </row>
    <row r="18" spans="1:10" x14ac:dyDescent="0.3">
      <c r="A18" s="1">
        <v>4</v>
      </c>
      <c r="B18" s="13" t="s">
        <v>79</v>
      </c>
      <c r="C18" s="14" t="s">
        <v>287</v>
      </c>
      <c r="D18" s="10">
        <v>0.35</v>
      </c>
      <c r="E18" s="1" t="s">
        <v>61</v>
      </c>
      <c r="F18" s="43">
        <v>7</v>
      </c>
      <c r="G18" s="58" t="s">
        <v>240</v>
      </c>
      <c r="H18" s="1">
        <v>1.5</v>
      </c>
      <c r="I18" s="10">
        <f t="shared" si="0"/>
        <v>3.6749999999999998</v>
      </c>
    </row>
    <row r="19" spans="1:10" x14ac:dyDescent="0.3">
      <c r="A19" s="39">
        <v>5</v>
      </c>
      <c r="B19" s="55" t="s">
        <v>91</v>
      </c>
      <c r="C19" s="55" t="s">
        <v>290</v>
      </c>
      <c r="D19" s="40">
        <v>0.65</v>
      </c>
      <c r="E19" s="39" t="s">
        <v>44</v>
      </c>
      <c r="F19" s="39">
        <v>1</v>
      </c>
      <c r="G19" s="39" t="s">
        <v>41</v>
      </c>
      <c r="H19" s="142">
        <v>1</v>
      </c>
      <c r="I19" s="10">
        <f t="shared" si="0"/>
        <v>0.65</v>
      </c>
    </row>
    <row r="20" spans="1:10" x14ac:dyDescent="0.3">
      <c r="A20" s="1">
        <v>6</v>
      </c>
      <c r="B20" s="14" t="s">
        <v>62</v>
      </c>
      <c r="C20" s="14" t="s">
        <v>289</v>
      </c>
      <c r="D20" s="10">
        <v>0.04</v>
      </c>
      <c r="E20" s="1" t="s">
        <v>54</v>
      </c>
      <c r="F20" s="43">
        <v>35.43</v>
      </c>
      <c r="G20" s="1" t="s">
        <v>288</v>
      </c>
      <c r="H20" s="1">
        <v>0.5</v>
      </c>
      <c r="I20" s="10">
        <f t="shared" si="0"/>
        <v>0.70860000000000001</v>
      </c>
    </row>
    <row r="21" spans="1:10" x14ac:dyDescent="0.3">
      <c r="A21" s="1"/>
      <c r="B21" s="13"/>
      <c r="C21" s="14"/>
      <c r="D21" s="10"/>
      <c r="E21" s="1"/>
      <c r="F21" s="43"/>
      <c r="G21" s="1"/>
      <c r="H21" s="1"/>
      <c r="I21" s="10"/>
    </row>
    <row r="22" spans="1:10" s="8" customFormat="1" x14ac:dyDescent="0.3">
      <c r="H22" s="140" t="s">
        <v>30</v>
      </c>
      <c r="I22" s="141">
        <f>SUM(I15:I21)</f>
        <v>11.097800000000001</v>
      </c>
    </row>
    <row r="24" spans="1:10" s="8" customFormat="1" x14ac:dyDescent="0.3">
      <c r="A24" s="68" t="s">
        <v>17</v>
      </c>
      <c r="B24" s="68" t="s">
        <v>45</v>
      </c>
      <c r="C24" s="68" t="s">
        <v>19</v>
      </c>
      <c r="D24" s="68" t="s">
        <v>20</v>
      </c>
      <c r="E24" s="68" t="s">
        <v>21</v>
      </c>
      <c r="F24" s="68" t="s">
        <v>22</v>
      </c>
      <c r="G24" s="68" t="s">
        <v>23</v>
      </c>
      <c r="H24" s="68" t="s">
        <v>24</v>
      </c>
      <c r="I24" s="68" t="s">
        <v>29</v>
      </c>
      <c r="J24" s="68" t="s">
        <v>30</v>
      </c>
    </row>
    <row r="25" spans="1:10" x14ac:dyDescent="0.3">
      <c r="A25" s="1"/>
      <c r="B25" s="9"/>
      <c r="C25" s="1"/>
      <c r="D25" s="145"/>
      <c r="E25" s="1"/>
      <c r="F25" s="16"/>
      <c r="G25" s="1"/>
      <c r="H25" s="14"/>
      <c r="I25" s="17"/>
      <c r="J25" s="10"/>
    </row>
    <row r="26" spans="1:10" s="8" customFormat="1" x14ac:dyDescent="0.3">
      <c r="I26" s="74" t="s">
        <v>30</v>
      </c>
      <c r="J26" s="75">
        <f>SUM(J25:J25)</f>
        <v>0</v>
      </c>
    </row>
    <row r="27" spans="1:10" x14ac:dyDescent="0.3">
      <c r="H27" s="18"/>
      <c r="I27" s="19"/>
    </row>
    <row r="28" spans="1:10" s="8" customFormat="1" x14ac:dyDescent="0.3">
      <c r="A28" s="68" t="s">
        <v>17</v>
      </c>
      <c r="B28" s="68" t="s">
        <v>46</v>
      </c>
      <c r="C28" s="68" t="s">
        <v>19</v>
      </c>
      <c r="D28" s="68" t="s">
        <v>20</v>
      </c>
      <c r="E28" s="68" t="s">
        <v>36</v>
      </c>
      <c r="F28" s="68" t="s">
        <v>29</v>
      </c>
      <c r="G28" s="68" t="s">
        <v>47</v>
      </c>
      <c r="H28" s="68" t="s">
        <v>48</v>
      </c>
      <c r="I28" s="68" t="s">
        <v>30</v>
      </c>
    </row>
    <row r="29" spans="1:10" x14ac:dyDescent="0.3">
      <c r="A29" s="1"/>
      <c r="B29" s="1"/>
      <c r="C29" s="1"/>
      <c r="D29" s="10"/>
      <c r="E29" s="1"/>
      <c r="F29" s="1"/>
      <c r="G29" s="1"/>
      <c r="H29" s="1"/>
      <c r="I29" s="154">
        <f>IF(G29="",D29*F29,(D29*F29)/(G29*H29))</f>
        <v>0</v>
      </c>
    </row>
    <row r="30" spans="1:10" s="8" customFormat="1" x14ac:dyDescent="0.3">
      <c r="H30" s="74" t="s">
        <v>30</v>
      </c>
      <c r="I30" s="155">
        <f>SUM(I29:I29)</f>
        <v>0</v>
      </c>
    </row>
    <row r="31" spans="1:10" x14ac:dyDescent="0.3">
      <c r="H31" s="18"/>
      <c r="I31" s="19"/>
    </row>
  </sheetData>
  <hyperlinks>
    <hyperlink ref="J3" location="BOM!A1" display="FileLink1" xr:uid="{09A6A553-05ED-4E2F-BC63-4A1D82346F68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D537-1380-4532-8CE6-1BA72B8D94BD}">
  <dimension ref="A1:N26"/>
  <sheetViews>
    <sheetView zoomScale="70" zoomScaleNormal="70" workbookViewId="0">
      <selection activeCell="C38" sqref="C38"/>
    </sheetView>
  </sheetViews>
  <sheetFormatPr defaultColWidth="8.88671875" defaultRowHeight="13.8" x14ac:dyDescent="0.3"/>
  <cols>
    <col min="1" max="1" width="15" style="2" customWidth="1"/>
    <col min="2" max="2" width="32.88671875" style="2" customWidth="1"/>
    <col min="3" max="3" width="46.6640625" style="2" bestFit="1" customWidth="1"/>
    <col min="4" max="4" width="13.44140625" style="2" bestFit="1" customWidth="1"/>
    <col min="5" max="5" width="14.109375" style="2" bestFit="1" customWidth="1"/>
    <col min="6" max="6" width="10" style="2" customWidth="1"/>
    <col min="7" max="7" width="15.109375" style="2" bestFit="1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33203125" style="2" customWidth="1"/>
    <col min="12" max="12" width="11.33203125" style="2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N12+I17+J21+I25</f>
        <v>1.6020000000000001</v>
      </c>
    </row>
    <row r="2" spans="1:14" x14ac:dyDescent="0.3">
      <c r="A2" s="68" t="s">
        <v>4</v>
      </c>
      <c r="B2" s="1" t="s">
        <v>64</v>
      </c>
      <c r="D2" s="146" t="s">
        <v>5</v>
      </c>
      <c r="E2" s="1"/>
      <c r="M2" s="68" t="s">
        <v>6</v>
      </c>
      <c r="N2" s="5">
        <v>2</v>
      </c>
    </row>
    <row r="3" spans="1:14" ht="14.4" x14ac:dyDescent="0.3">
      <c r="A3" s="68" t="s">
        <v>7</v>
      </c>
      <c r="B3" s="1" t="s">
        <v>164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298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3.2040000000000002</v>
      </c>
    </row>
    <row r="5" spans="1:14" x14ac:dyDescent="0.3">
      <c r="A5" s="68" t="s">
        <v>13</v>
      </c>
      <c r="B5" s="6"/>
      <c r="J5" s="68" t="s">
        <v>11</v>
      </c>
      <c r="K5" s="1"/>
      <c r="L5" s="147"/>
      <c r="M5" s="148"/>
    </row>
    <row r="6" spans="1:14" x14ac:dyDescent="0.3">
      <c r="A6" s="68" t="s">
        <v>14</v>
      </c>
      <c r="B6" s="1" t="s">
        <v>15</v>
      </c>
    </row>
    <row r="7" spans="1:14" ht="27.6" x14ac:dyDescent="0.3">
      <c r="A7" s="68" t="s">
        <v>16</v>
      </c>
      <c r="B7" s="7" t="s">
        <v>297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294</v>
      </c>
      <c r="C10" s="1" t="s">
        <v>293</v>
      </c>
      <c r="D10" s="10">
        <v>3.3</v>
      </c>
      <c r="E10" s="145">
        <v>0.02</v>
      </c>
      <c r="F10" s="1" t="s">
        <v>49</v>
      </c>
      <c r="G10" s="1"/>
      <c r="H10" s="11"/>
      <c r="I10" s="12" t="s">
        <v>34</v>
      </c>
      <c r="J10" s="63">
        <v>3.421E-3</v>
      </c>
      <c r="K10" s="63">
        <v>4.4999999999999998E-2</v>
      </c>
      <c r="L10" s="24">
        <v>2700</v>
      </c>
      <c r="M10" s="22">
        <v>1</v>
      </c>
      <c r="N10" s="149">
        <f>(D10*E10)</f>
        <v>6.6000000000000003E-2</v>
      </c>
    </row>
    <row r="11" spans="1:14" x14ac:dyDescent="0.3">
      <c r="A11" s="1"/>
      <c r="B11" s="9"/>
      <c r="C11" s="1"/>
      <c r="D11" s="10"/>
      <c r="E11" s="1"/>
      <c r="F11" s="1"/>
      <c r="G11" s="1"/>
      <c r="H11" s="11"/>
      <c r="I11" s="150"/>
      <c r="J11" s="151"/>
      <c r="K11" s="11"/>
      <c r="L11" s="11"/>
      <c r="M11" s="143"/>
      <c r="N11" s="149"/>
    </row>
    <row r="12" spans="1:14" s="8" customFormat="1" x14ac:dyDescent="0.3">
      <c r="M12" s="140" t="s">
        <v>30</v>
      </c>
      <c r="N12" s="152">
        <f>SUM(N10:N11)</f>
        <v>6.6000000000000003E-2</v>
      </c>
    </row>
    <row r="14" spans="1:14" s="8" customFormat="1" x14ac:dyDescent="0.3">
      <c r="A14" s="68" t="s">
        <v>17</v>
      </c>
      <c r="B14" s="68" t="s">
        <v>35</v>
      </c>
      <c r="C14" s="68" t="s">
        <v>19</v>
      </c>
      <c r="D14" s="68" t="s">
        <v>20</v>
      </c>
      <c r="E14" s="68" t="s">
        <v>36</v>
      </c>
      <c r="F14" s="68" t="s">
        <v>29</v>
      </c>
      <c r="G14" s="68" t="s">
        <v>37</v>
      </c>
      <c r="H14" s="68" t="s">
        <v>38</v>
      </c>
      <c r="I14" s="68" t="s">
        <v>30</v>
      </c>
    </row>
    <row r="15" spans="1:14" x14ac:dyDescent="0.3">
      <c r="A15" s="1">
        <v>1</v>
      </c>
      <c r="B15" s="13" t="s">
        <v>295</v>
      </c>
      <c r="C15" s="35" t="s">
        <v>296</v>
      </c>
      <c r="D15" s="10">
        <v>32</v>
      </c>
      <c r="E15" s="1" t="s">
        <v>49</v>
      </c>
      <c r="F15" s="43">
        <v>4.8000000000000001E-2</v>
      </c>
      <c r="G15" s="1" t="s">
        <v>41</v>
      </c>
      <c r="H15" s="1">
        <v>1</v>
      </c>
      <c r="I15" s="10">
        <f>(D15*F15*H15)</f>
        <v>1.536</v>
      </c>
    </row>
    <row r="16" spans="1:14" x14ac:dyDescent="0.3">
      <c r="A16" s="1"/>
      <c r="B16" s="13"/>
      <c r="C16" s="14"/>
      <c r="D16" s="10"/>
      <c r="E16" s="1"/>
      <c r="F16" s="43"/>
      <c r="G16" s="1"/>
      <c r="H16" s="1"/>
      <c r="I16" s="10"/>
    </row>
    <row r="17" spans="1:10" s="8" customFormat="1" x14ac:dyDescent="0.3">
      <c r="H17" s="140" t="s">
        <v>30</v>
      </c>
      <c r="I17" s="141">
        <f>SUM(I15:I16)</f>
        <v>1.536</v>
      </c>
    </row>
    <row r="19" spans="1:10" s="8" customFormat="1" x14ac:dyDescent="0.3">
      <c r="A19" s="68" t="s">
        <v>17</v>
      </c>
      <c r="B19" s="68" t="s">
        <v>45</v>
      </c>
      <c r="C19" s="68" t="s">
        <v>19</v>
      </c>
      <c r="D19" s="68" t="s">
        <v>20</v>
      </c>
      <c r="E19" s="68" t="s">
        <v>21</v>
      </c>
      <c r="F19" s="68" t="s">
        <v>22</v>
      </c>
      <c r="G19" s="68" t="s">
        <v>23</v>
      </c>
      <c r="H19" s="68" t="s">
        <v>24</v>
      </c>
      <c r="I19" s="68" t="s">
        <v>29</v>
      </c>
      <c r="J19" s="68" t="s">
        <v>30</v>
      </c>
    </row>
    <row r="20" spans="1:10" x14ac:dyDescent="0.3">
      <c r="A20" s="1"/>
      <c r="B20" s="9"/>
      <c r="C20" s="1"/>
      <c r="D20" s="145"/>
      <c r="E20" s="1"/>
      <c r="F20" s="16"/>
      <c r="G20" s="1"/>
      <c r="H20" s="14"/>
      <c r="I20" s="17"/>
      <c r="J20" s="10"/>
    </row>
    <row r="21" spans="1:10" s="8" customFormat="1" x14ac:dyDescent="0.3">
      <c r="I21" s="74" t="s">
        <v>30</v>
      </c>
      <c r="J21" s="75">
        <f>SUM(J20:J20)</f>
        <v>0</v>
      </c>
    </row>
    <row r="22" spans="1:10" x14ac:dyDescent="0.3">
      <c r="H22" s="18"/>
      <c r="I22" s="19"/>
    </row>
    <row r="23" spans="1:10" s="8" customFormat="1" x14ac:dyDescent="0.3">
      <c r="A23" s="68" t="s">
        <v>17</v>
      </c>
      <c r="B23" s="68" t="s">
        <v>46</v>
      </c>
      <c r="C23" s="68" t="s">
        <v>19</v>
      </c>
      <c r="D23" s="68" t="s">
        <v>20</v>
      </c>
      <c r="E23" s="68" t="s">
        <v>36</v>
      </c>
      <c r="F23" s="68" t="s">
        <v>29</v>
      </c>
      <c r="G23" s="68" t="s">
        <v>47</v>
      </c>
      <c r="H23" s="68" t="s">
        <v>48</v>
      </c>
      <c r="I23" s="68" t="s">
        <v>30</v>
      </c>
    </row>
    <row r="24" spans="1:10" x14ac:dyDescent="0.3">
      <c r="A24" s="1"/>
      <c r="B24" s="1"/>
      <c r="C24" s="1"/>
      <c r="D24" s="10"/>
      <c r="E24" s="1"/>
      <c r="F24" s="1"/>
      <c r="G24" s="1"/>
      <c r="H24" s="1"/>
      <c r="I24" s="154">
        <f>IF(G24="",D24*F24,(D24*F24)/(G24*H24))</f>
        <v>0</v>
      </c>
    </row>
    <row r="25" spans="1:10" s="8" customFormat="1" x14ac:dyDescent="0.3">
      <c r="H25" s="74" t="s">
        <v>30</v>
      </c>
      <c r="I25" s="155">
        <f>SUM(I24:I24)</f>
        <v>0</v>
      </c>
    </row>
    <row r="26" spans="1:10" x14ac:dyDescent="0.3">
      <c r="H26" s="18"/>
      <c r="I26" s="19"/>
    </row>
  </sheetData>
  <hyperlinks>
    <hyperlink ref="J3" location="BOM!A1" display="FileLink1" xr:uid="{14600650-AD2A-4A4A-A4E4-4831C2B972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9">
    <tabColor rgb="FFFFFF00"/>
    <pageSetUpPr fitToPage="1"/>
  </sheetPr>
  <dimension ref="A1:Q35"/>
  <sheetViews>
    <sheetView zoomScale="93" zoomScaleNormal="93" workbookViewId="0">
      <selection activeCell="G24" sqref="G24"/>
    </sheetView>
  </sheetViews>
  <sheetFormatPr defaultColWidth="9.109375" defaultRowHeight="13.8" x14ac:dyDescent="0.3"/>
  <cols>
    <col min="1" max="1" width="9.6640625" style="2" customWidth="1"/>
    <col min="2" max="2" width="29.77734375" style="2" bestFit="1" customWidth="1"/>
    <col min="3" max="3" width="44.6640625" style="2" customWidth="1"/>
    <col min="4" max="4" width="13.5546875" style="2" bestFit="1" customWidth="1"/>
    <col min="5" max="5" width="14.109375" style="2" bestFit="1" customWidth="1"/>
    <col min="6" max="6" width="12" style="2" customWidth="1"/>
    <col min="7" max="7" width="17" style="2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4.8867187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N11+I26+J30+I34</f>
        <v>17.309818125</v>
      </c>
    </row>
    <row r="2" spans="1:14" x14ac:dyDescent="0.3">
      <c r="A2" s="68" t="s">
        <v>4</v>
      </c>
      <c r="B2" s="1" t="s">
        <v>64</v>
      </c>
      <c r="D2" s="68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1" t="s">
        <v>65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67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17.309818125</v>
      </c>
    </row>
    <row r="5" spans="1:14" x14ac:dyDescent="0.3">
      <c r="A5" s="68" t="s">
        <v>13</v>
      </c>
      <c r="B5" s="6"/>
      <c r="J5" s="68" t="s">
        <v>11</v>
      </c>
      <c r="K5" s="1"/>
    </row>
    <row r="6" spans="1:14" x14ac:dyDescent="0.3">
      <c r="A6" s="68" t="s">
        <v>14</v>
      </c>
      <c r="B6" s="1" t="s">
        <v>15</v>
      </c>
    </row>
    <row r="7" spans="1:14" ht="27.6" x14ac:dyDescent="0.3">
      <c r="A7" s="68" t="s">
        <v>16</v>
      </c>
      <c r="B7" s="7" t="s">
        <v>202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88</v>
      </c>
      <c r="C10" s="1" t="s">
        <v>243</v>
      </c>
      <c r="D10" s="10">
        <v>2.25</v>
      </c>
      <c r="E10" s="36">
        <f>L10*M10*K10*J10</f>
        <v>1.1402125000000001</v>
      </c>
      <c r="F10" s="1" t="s">
        <v>32</v>
      </c>
      <c r="G10" s="1" t="s">
        <v>241</v>
      </c>
      <c r="H10" s="11"/>
      <c r="I10" s="12" t="s">
        <v>34</v>
      </c>
      <c r="J10" s="83">
        <v>4.15E-4</v>
      </c>
      <c r="K10" s="11">
        <v>0.35</v>
      </c>
      <c r="L10" s="11">
        <v>7850</v>
      </c>
      <c r="M10" s="22">
        <v>1</v>
      </c>
      <c r="N10" s="4">
        <f>IF(J10="",D10*M10,D10*J10*K10*L10*M10)</f>
        <v>2.5654781250000003</v>
      </c>
    </row>
    <row r="11" spans="1:14" s="8" customFormat="1" x14ac:dyDescent="0.3">
      <c r="M11" s="74" t="s">
        <v>30</v>
      </c>
      <c r="N11" s="77">
        <f>SUM(N10:N10)</f>
        <v>2.5654781250000003</v>
      </c>
    </row>
    <row r="13" spans="1:14" s="8" customFormat="1" x14ac:dyDescent="0.3">
      <c r="A13" s="68" t="s">
        <v>17</v>
      </c>
      <c r="B13" s="68" t="s">
        <v>35</v>
      </c>
      <c r="C13" s="68" t="s">
        <v>19</v>
      </c>
      <c r="D13" s="68" t="s">
        <v>20</v>
      </c>
      <c r="E13" s="68" t="s">
        <v>36</v>
      </c>
      <c r="F13" s="68" t="s">
        <v>29</v>
      </c>
      <c r="G13" s="68" t="s">
        <v>37</v>
      </c>
      <c r="H13" s="68" t="s">
        <v>38</v>
      </c>
      <c r="I13" s="68" t="s">
        <v>30</v>
      </c>
    </row>
    <row r="14" spans="1:14" x14ac:dyDescent="0.3">
      <c r="A14" s="1">
        <v>1</v>
      </c>
      <c r="B14" s="42" t="s">
        <v>50</v>
      </c>
      <c r="C14" s="35" t="s">
        <v>235</v>
      </c>
      <c r="D14" s="10">
        <v>1.3</v>
      </c>
      <c r="E14" s="1" t="s">
        <v>44</v>
      </c>
      <c r="F14" s="1">
        <v>1</v>
      </c>
      <c r="G14" s="1" t="s">
        <v>41</v>
      </c>
      <c r="H14" s="1">
        <v>1</v>
      </c>
      <c r="I14" s="10">
        <f>IF('Rack bar'!$H14&lt;&gt;"",'Rack bar'!$D14*'Rack bar'!$F14*'Rack bar'!$H14,'Rack bar'!$D14*'Rack bar'!$F14)</f>
        <v>1.3</v>
      </c>
    </row>
    <row r="15" spans="1:14" x14ac:dyDescent="0.3">
      <c r="A15" s="1">
        <v>2</v>
      </c>
      <c r="B15" s="14" t="s">
        <v>62</v>
      </c>
      <c r="C15" s="14" t="s">
        <v>90</v>
      </c>
      <c r="D15" s="10">
        <v>0.04</v>
      </c>
      <c r="E15" s="1" t="s">
        <v>54</v>
      </c>
      <c r="F15" s="43">
        <v>4.1085000000000003</v>
      </c>
      <c r="G15" s="1" t="s">
        <v>43</v>
      </c>
      <c r="H15" s="1">
        <v>3</v>
      </c>
      <c r="I15" s="4">
        <f>IF('Rack bar'!$H15&lt;&gt;"",'Rack bar'!$D15*'Rack bar'!$F15*'Rack bar'!$H15,'Rack bar'!$D15*'Rack bar'!$F15)</f>
        <v>0.49302000000000001</v>
      </c>
    </row>
    <row r="16" spans="1:14" x14ac:dyDescent="0.3">
      <c r="A16" s="1">
        <v>3</v>
      </c>
      <c r="B16" s="42" t="s">
        <v>91</v>
      </c>
      <c r="C16" s="35" t="s">
        <v>92</v>
      </c>
      <c r="D16" s="84">
        <v>0.65</v>
      </c>
      <c r="E16" s="1" t="s">
        <v>44</v>
      </c>
      <c r="F16" s="1">
        <v>1</v>
      </c>
      <c r="G16" s="1" t="s">
        <v>41</v>
      </c>
      <c r="H16" s="1">
        <v>1</v>
      </c>
      <c r="I16" s="4">
        <f>IF('Rack bar'!$H16&lt;&gt;"",'Rack bar'!$D16*'Rack bar'!$F16*'Rack bar'!$H16,'Rack bar'!$D16*'Rack bar'!$F16)</f>
        <v>0.65</v>
      </c>
    </row>
    <row r="17" spans="1:17" x14ac:dyDescent="0.3">
      <c r="A17" s="1">
        <v>4</v>
      </c>
      <c r="B17" s="14" t="s">
        <v>62</v>
      </c>
      <c r="C17" s="14" t="s">
        <v>93</v>
      </c>
      <c r="D17" s="10">
        <v>0.04</v>
      </c>
      <c r="E17" s="1" t="s">
        <v>54</v>
      </c>
      <c r="F17" s="43">
        <v>9.0090000000000003</v>
      </c>
      <c r="G17" s="1" t="s">
        <v>43</v>
      </c>
      <c r="H17" s="1">
        <v>3</v>
      </c>
      <c r="I17" s="4">
        <f>IF('Rack bar'!$H17&lt;&gt;"",'Rack bar'!$D17*'Rack bar'!$F17*'Rack bar'!$H17,'Rack bar'!$D17*'Rack bar'!$F17)</f>
        <v>1.08108</v>
      </c>
    </row>
    <row r="18" spans="1:17" x14ac:dyDescent="0.3">
      <c r="A18" s="1">
        <v>5</v>
      </c>
      <c r="B18" s="42" t="s">
        <v>50</v>
      </c>
      <c r="C18" s="35" t="s">
        <v>94</v>
      </c>
      <c r="D18" s="10">
        <v>1.3</v>
      </c>
      <c r="E18" s="1" t="s">
        <v>44</v>
      </c>
      <c r="F18" s="1">
        <v>1</v>
      </c>
      <c r="G18" s="1" t="s">
        <v>41</v>
      </c>
      <c r="H18" s="1">
        <v>1</v>
      </c>
      <c r="I18" s="4">
        <f>IF('Rack bar'!$H18&lt;&gt;"",'Rack bar'!$D18*'Rack bar'!$F18*'Rack bar'!$H18,'Rack bar'!$D18*'Rack bar'!$F18)</f>
        <v>1.3</v>
      </c>
    </row>
    <row r="19" spans="1:17" x14ac:dyDescent="0.3">
      <c r="A19" s="1">
        <v>6</v>
      </c>
      <c r="B19" s="14" t="s">
        <v>62</v>
      </c>
      <c r="C19" s="14" t="s">
        <v>95</v>
      </c>
      <c r="D19" s="10">
        <v>0.04</v>
      </c>
      <c r="E19" s="1" t="s">
        <v>54</v>
      </c>
      <c r="F19" s="43">
        <v>3.6259999999999999</v>
      </c>
      <c r="G19" s="1" t="s">
        <v>43</v>
      </c>
      <c r="H19" s="1">
        <v>3</v>
      </c>
      <c r="I19" s="4">
        <f>IF('Rack bar'!$H19&lt;&gt;"",'Rack bar'!$D19*'Rack bar'!$F19*'Rack bar'!$H19,'Rack bar'!$D19*'Rack bar'!$F19)</f>
        <v>0.43512000000000001</v>
      </c>
    </row>
    <row r="20" spans="1:17" x14ac:dyDescent="0.3">
      <c r="A20" s="1">
        <v>7</v>
      </c>
      <c r="B20" s="42" t="s">
        <v>91</v>
      </c>
      <c r="C20" s="35" t="s">
        <v>96</v>
      </c>
      <c r="D20" s="10">
        <v>0.65</v>
      </c>
      <c r="E20" s="1" t="s">
        <v>44</v>
      </c>
      <c r="F20" s="1">
        <v>1</v>
      </c>
      <c r="G20" s="1" t="s">
        <v>41</v>
      </c>
      <c r="H20" s="1">
        <v>1</v>
      </c>
      <c r="I20" s="4">
        <f>IF('Rack bar'!$H20&lt;&gt;"",'Rack bar'!$D20*'Rack bar'!$F20*'Rack bar'!$H20,'Rack bar'!$D20*'Rack bar'!$F20)</f>
        <v>0.65</v>
      </c>
    </row>
    <row r="21" spans="1:17" x14ac:dyDescent="0.3">
      <c r="A21" s="1">
        <v>8</v>
      </c>
      <c r="B21" s="14" t="s">
        <v>62</v>
      </c>
      <c r="C21" s="14" t="s">
        <v>95</v>
      </c>
      <c r="D21" s="10">
        <v>0.04</v>
      </c>
      <c r="E21" s="1" t="s">
        <v>54</v>
      </c>
      <c r="F21" s="43">
        <v>3.6259999999999999</v>
      </c>
      <c r="G21" s="1" t="s">
        <v>43</v>
      </c>
      <c r="H21" s="1">
        <v>3</v>
      </c>
      <c r="I21" s="4">
        <f>IF('Rack bar'!$H21&lt;&gt;"",'Rack bar'!$D21*'Rack bar'!$F21*'Rack bar'!$H21,'Rack bar'!$D21*'Rack bar'!$F21)</f>
        <v>0.43512000000000001</v>
      </c>
    </row>
    <row r="22" spans="1:17" x14ac:dyDescent="0.3">
      <c r="A22" s="1">
        <v>9</v>
      </c>
      <c r="B22" s="13" t="s">
        <v>91</v>
      </c>
      <c r="C22" s="14" t="s">
        <v>97</v>
      </c>
      <c r="D22" s="10">
        <v>0.65</v>
      </c>
      <c r="E22" s="1" t="s">
        <v>44</v>
      </c>
      <c r="F22" s="1">
        <v>1</v>
      </c>
      <c r="G22" s="1" t="s">
        <v>41</v>
      </c>
      <c r="H22" s="1">
        <v>1</v>
      </c>
      <c r="I22" s="4">
        <f>IF('Rack bar'!$H22&lt;&gt;"",'Rack bar'!$D22*'Rack bar'!$F22*'Rack bar'!$H22,'Rack bar'!$D22*'Rack bar'!$F22)</f>
        <v>0.65</v>
      </c>
    </row>
    <row r="23" spans="1:17" x14ac:dyDescent="0.3">
      <c r="A23" s="1">
        <v>10</v>
      </c>
      <c r="B23" s="13" t="s">
        <v>98</v>
      </c>
      <c r="C23" s="14" t="s">
        <v>99</v>
      </c>
      <c r="D23" s="10">
        <v>0.1</v>
      </c>
      <c r="E23" s="1" t="s">
        <v>40</v>
      </c>
      <c r="F23" s="1">
        <v>20</v>
      </c>
      <c r="G23" s="1" t="s">
        <v>43</v>
      </c>
      <c r="H23" s="1">
        <v>3</v>
      </c>
      <c r="I23" s="4">
        <f>IF('Rack bar'!$H23&lt;&gt;"",'Rack bar'!$D23*'Rack bar'!$F23*'Rack bar'!$H23,'Rack bar'!$D23*'Rack bar'!$F23)</f>
        <v>6</v>
      </c>
    </row>
    <row r="24" spans="1:17" x14ac:dyDescent="0.3">
      <c r="A24" s="1">
        <v>11</v>
      </c>
      <c r="B24" s="13" t="s">
        <v>79</v>
      </c>
      <c r="C24" s="14" t="s">
        <v>100</v>
      </c>
      <c r="D24" s="10">
        <v>0.35</v>
      </c>
      <c r="E24" s="1" t="s">
        <v>101</v>
      </c>
      <c r="F24" s="1">
        <v>2</v>
      </c>
      <c r="G24" s="1" t="s">
        <v>240</v>
      </c>
      <c r="H24" s="1">
        <v>1.5</v>
      </c>
      <c r="I24" s="4">
        <f>IF('Rack bar'!$H24&lt;&gt;"",'Rack bar'!$D24*'Rack bar'!$F24*'Rack bar'!$H24,'Rack bar'!$D24*'Rack bar'!$F24)</f>
        <v>1.0499999999999998</v>
      </c>
    </row>
    <row r="25" spans="1:17" x14ac:dyDescent="0.3">
      <c r="A25" s="1">
        <v>12</v>
      </c>
      <c r="B25" s="13" t="s">
        <v>60</v>
      </c>
      <c r="C25" s="14" t="s">
        <v>82</v>
      </c>
      <c r="D25" s="10">
        <v>0.35</v>
      </c>
      <c r="E25" s="1" t="s">
        <v>101</v>
      </c>
      <c r="F25" s="1">
        <v>2</v>
      </c>
      <c r="G25" s="1" t="s">
        <v>41</v>
      </c>
      <c r="H25" s="1">
        <v>1</v>
      </c>
      <c r="I25" s="4">
        <f>IF('Rack bar'!$H25&lt;&gt;"",'Rack bar'!$D25*'Rack bar'!$F25*'Rack bar'!$H25,'Rack bar'!$D25*'Rack bar'!$F25)</f>
        <v>0.7</v>
      </c>
    </row>
    <row r="26" spans="1:17" s="8" customFormat="1" ht="12" customHeight="1" x14ac:dyDescent="0.3">
      <c r="H26" s="70" t="s">
        <v>30</v>
      </c>
      <c r="I26" s="71">
        <f>SUM(I14:I25)</f>
        <v>14.744340000000001</v>
      </c>
    </row>
    <row r="28" spans="1:17" s="8" customFormat="1" x14ac:dyDescent="0.3">
      <c r="A28" s="68" t="s">
        <v>17</v>
      </c>
      <c r="B28" s="68" t="s">
        <v>45</v>
      </c>
      <c r="C28" s="68" t="s">
        <v>19</v>
      </c>
      <c r="D28" s="68" t="s">
        <v>20</v>
      </c>
      <c r="E28" s="68" t="s">
        <v>21</v>
      </c>
      <c r="F28" s="68" t="s">
        <v>22</v>
      </c>
      <c r="G28" s="68" t="s">
        <v>23</v>
      </c>
      <c r="H28" s="68" t="s">
        <v>24</v>
      </c>
      <c r="I28" s="68" t="s">
        <v>29</v>
      </c>
      <c r="J28" s="68" t="s">
        <v>30</v>
      </c>
    </row>
    <row r="29" spans="1:17" x14ac:dyDescent="0.3">
      <c r="A29" s="1"/>
      <c r="B29" s="1"/>
      <c r="C29" s="1"/>
      <c r="D29" s="1"/>
      <c r="E29" s="1"/>
      <c r="F29" s="16"/>
      <c r="G29" s="1"/>
      <c r="H29" s="14"/>
      <c r="I29" s="17"/>
      <c r="J29" s="10">
        <f>D29*I29</f>
        <v>0</v>
      </c>
    </row>
    <row r="30" spans="1:17" s="8" customFormat="1" x14ac:dyDescent="0.3">
      <c r="I30" s="74" t="s">
        <v>30</v>
      </c>
      <c r="J30" s="75">
        <f>SUM(J29:J29)</f>
        <v>0</v>
      </c>
      <c r="Q30" s="20"/>
    </row>
    <row r="31" spans="1:17" x14ac:dyDescent="0.3">
      <c r="H31" s="18"/>
      <c r="I31" s="19"/>
    </row>
    <row r="32" spans="1:17" s="8" customFormat="1" x14ac:dyDescent="0.3">
      <c r="A32" s="68" t="s">
        <v>17</v>
      </c>
      <c r="B32" s="68" t="s">
        <v>46</v>
      </c>
      <c r="C32" s="68" t="s">
        <v>19</v>
      </c>
      <c r="D32" s="68" t="s">
        <v>20</v>
      </c>
      <c r="E32" s="68" t="s">
        <v>36</v>
      </c>
      <c r="F32" s="68" t="s">
        <v>29</v>
      </c>
      <c r="G32" s="68" t="s">
        <v>47</v>
      </c>
      <c r="H32" s="68" t="s">
        <v>48</v>
      </c>
      <c r="I32" s="68" t="s">
        <v>30</v>
      </c>
    </row>
    <row r="33" spans="1:9" x14ac:dyDescent="0.3">
      <c r="A33" s="1"/>
      <c r="B33" s="1"/>
      <c r="C33" s="1"/>
      <c r="D33" s="10"/>
      <c r="E33" s="1"/>
      <c r="F33" s="1"/>
      <c r="G33" s="1"/>
      <c r="H33" s="1"/>
      <c r="I33" s="10">
        <f>D33*F33</f>
        <v>0</v>
      </c>
    </row>
    <row r="34" spans="1:9" s="8" customFormat="1" x14ac:dyDescent="0.3">
      <c r="H34" s="74" t="s">
        <v>30</v>
      </c>
      <c r="I34" s="75">
        <f>SUM(I33)</f>
        <v>0</v>
      </c>
    </row>
    <row r="35" spans="1:9" x14ac:dyDescent="0.3">
      <c r="H35" s="18"/>
      <c r="I35" s="19"/>
    </row>
  </sheetData>
  <hyperlinks>
    <hyperlink ref="J3" location="BOM!A1" display="FileLink1" xr:uid="{00000000-0004-0000-2800-000000000000}"/>
  </hyperlinks>
  <pageMargins left="0.5" right="0.5" top="0.75" bottom="0.75" header="0.3" footer="0.3"/>
  <pageSetup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A48A-A1B5-4245-88AA-8A8799C43D6D}">
  <dimension ref="A1:N26"/>
  <sheetViews>
    <sheetView zoomScale="85" zoomScaleNormal="85" workbookViewId="0">
      <selection activeCell="D34" sqref="D34"/>
    </sheetView>
  </sheetViews>
  <sheetFormatPr defaultColWidth="8.88671875" defaultRowHeight="13.8" x14ac:dyDescent="0.3"/>
  <cols>
    <col min="1" max="1" width="15" style="2" customWidth="1"/>
    <col min="2" max="2" width="32.88671875" style="2" customWidth="1"/>
    <col min="3" max="3" width="46.6640625" style="2" bestFit="1" customWidth="1"/>
    <col min="4" max="4" width="13.44140625" style="2" bestFit="1" customWidth="1"/>
    <col min="5" max="5" width="14.109375" style="2" bestFit="1" customWidth="1"/>
    <col min="6" max="6" width="10" style="2" customWidth="1"/>
    <col min="7" max="7" width="15.109375" style="2" bestFit="1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33203125" style="2" customWidth="1"/>
    <col min="12" max="12" width="11.33203125" style="2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N12+I17+J21+I25</f>
        <v>2.1790000000000003</v>
      </c>
    </row>
    <row r="2" spans="1:14" x14ac:dyDescent="0.3">
      <c r="A2" s="68" t="s">
        <v>4</v>
      </c>
      <c r="B2" s="1" t="s">
        <v>64</v>
      </c>
      <c r="D2" s="146" t="s">
        <v>5</v>
      </c>
      <c r="E2" s="1"/>
      <c r="M2" s="68" t="s">
        <v>6</v>
      </c>
      <c r="N2" s="5">
        <v>2</v>
      </c>
    </row>
    <row r="3" spans="1:14" ht="14.4" x14ac:dyDescent="0.3">
      <c r="A3" s="68" t="s">
        <v>7</v>
      </c>
      <c r="B3" s="1" t="s">
        <v>164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299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4.3580000000000005</v>
      </c>
    </row>
    <row r="5" spans="1:14" x14ac:dyDescent="0.3">
      <c r="A5" s="68" t="s">
        <v>13</v>
      </c>
      <c r="B5" s="6"/>
      <c r="J5" s="68" t="s">
        <v>11</v>
      </c>
      <c r="K5" s="1"/>
      <c r="L5" s="147"/>
      <c r="M5" s="148"/>
    </row>
    <row r="6" spans="1:14" x14ac:dyDescent="0.3">
      <c r="A6" s="68" t="s">
        <v>14</v>
      </c>
      <c r="B6" s="1" t="s">
        <v>15</v>
      </c>
    </row>
    <row r="7" spans="1:14" x14ac:dyDescent="0.3">
      <c r="A7" s="68" t="s">
        <v>16</v>
      </c>
      <c r="B7" s="7" t="s">
        <v>300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294</v>
      </c>
      <c r="C10" s="1" t="s">
        <v>293</v>
      </c>
      <c r="D10" s="10">
        <v>3.3</v>
      </c>
      <c r="E10" s="145">
        <v>0.03</v>
      </c>
      <c r="F10" s="1" t="s">
        <v>49</v>
      </c>
      <c r="G10" s="1"/>
      <c r="H10" s="11"/>
      <c r="I10" s="12" t="s">
        <v>34</v>
      </c>
      <c r="J10" s="63">
        <v>3.421E-3</v>
      </c>
      <c r="K10" s="63">
        <v>4.4999999999999998E-2</v>
      </c>
      <c r="L10" s="24">
        <v>2700</v>
      </c>
      <c r="M10" s="22">
        <v>1</v>
      </c>
      <c r="N10" s="149">
        <f>(D10*E10)</f>
        <v>9.8999999999999991E-2</v>
      </c>
    </row>
    <row r="11" spans="1:14" x14ac:dyDescent="0.3">
      <c r="A11" s="1"/>
      <c r="B11" s="9"/>
      <c r="C11" s="1"/>
      <c r="D11" s="10"/>
      <c r="E11" s="1"/>
      <c r="F11" s="1"/>
      <c r="G11" s="1"/>
      <c r="H11" s="11"/>
      <c r="I11" s="150"/>
      <c r="J11" s="151"/>
      <c r="K11" s="11"/>
      <c r="L11" s="11"/>
      <c r="M11" s="143"/>
      <c r="N11" s="149"/>
    </row>
    <row r="12" spans="1:14" s="8" customFormat="1" x14ac:dyDescent="0.3">
      <c r="M12" s="140" t="s">
        <v>30</v>
      </c>
      <c r="N12" s="152">
        <f>SUM(N10:N11)</f>
        <v>9.8999999999999991E-2</v>
      </c>
    </row>
    <row r="14" spans="1:14" s="8" customFormat="1" x14ac:dyDescent="0.3">
      <c r="A14" s="68" t="s">
        <v>17</v>
      </c>
      <c r="B14" s="68" t="s">
        <v>35</v>
      </c>
      <c r="C14" s="68" t="s">
        <v>19</v>
      </c>
      <c r="D14" s="68" t="s">
        <v>20</v>
      </c>
      <c r="E14" s="68" t="s">
        <v>36</v>
      </c>
      <c r="F14" s="68" t="s">
        <v>29</v>
      </c>
      <c r="G14" s="68" t="s">
        <v>37</v>
      </c>
      <c r="H14" s="68" t="s">
        <v>38</v>
      </c>
      <c r="I14" s="68" t="s">
        <v>30</v>
      </c>
    </row>
    <row r="15" spans="1:14" x14ac:dyDescent="0.3">
      <c r="A15" s="1">
        <v>1</v>
      </c>
      <c r="B15" s="13" t="s">
        <v>295</v>
      </c>
      <c r="C15" s="35" t="s">
        <v>301</v>
      </c>
      <c r="D15" s="10">
        <v>32</v>
      </c>
      <c r="E15" s="1" t="s">
        <v>49</v>
      </c>
      <c r="F15" s="175">
        <v>6.5000000000000002E-2</v>
      </c>
      <c r="G15" s="1" t="s">
        <v>41</v>
      </c>
      <c r="H15" s="1">
        <v>1</v>
      </c>
      <c r="I15" s="10">
        <f>(D15*F15*H15)</f>
        <v>2.08</v>
      </c>
    </row>
    <row r="16" spans="1:14" x14ac:dyDescent="0.3">
      <c r="A16" s="1"/>
      <c r="B16" s="13"/>
      <c r="C16" s="14"/>
      <c r="D16" s="10"/>
      <c r="E16" s="1"/>
      <c r="F16" s="43"/>
      <c r="G16" s="1"/>
      <c r="H16" s="1"/>
      <c r="I16" s="10"/>
    </row>
    <row r="17" spans="1:10" s="8" customFormat="1" x14ac:dyDescent="0.3">
      <c r="H17" s="140" t="s">
        <v>30</v>
      </c>
      <c r="I17" s="141">
        <f>SUM(I15:I16)</f>
        <v>2.08</v>
      </c>
    </row>
    <row r="19" spans="1:10" s="8" customFormat="1" x14ac:dyDescent="0.3">
      <c r="A19" s="68" t="s">
        <v>17</v>
      </c>
      <c r="B19" s="68" t="s">
        <v>45</v>
      </c>
      <c r="C19" s="68" t="s">
        <v>19</v>
      </c>
      <c r="D19" s="68" t="s">
        <v>20</v>
      </c>
      <c r="E19" s="68" t="s">
        <v>21</v>
      </c>
      <c r="F19" s="68" t="s">
        <v>22</v>
      </c>
      <c r="G19" s="68" t="s">
        <v>23</v>
      </c>
      <c r="H19" s="68" t="s">
        <v>24</v>
      </c>
      <c r="I19" s="68" t="s">
        <v>29</v>
      </c>
      <c r="J19" s="68" t="s">
        <v>30</v>
      </c>
    </row>
    <row r="20" spans="1:10" x14ac:dyDescent="0.3">
      <c r="A20" s="1"/>
      <c r="B20" s="9"/>
      <c r="C20" s="1"/>
      <c r="D20" s="145"/>
      <c r="E20" s="1"/>
      <c r="F20" s="16"/>
      <c r="G20" s="1"/>
      <c r="H20" s="14"/>
      <c r="I20" s="17"/>
      <c r="J20" s="10"/>
    </row>
    <row r="21" spans="1:10" s="8" customFormat="1" x14ac:dyDescent="0.3">
      <c r="I21" s="74" t="s">
        <v>30</v>
      </c>
      <c r="J21" s="75">
        <f>SUM(J20:J20)</f>
        <v>0</v>
      </c>
    </row>
    <row r="22" spans="1:10" x14ac:dyDescent="0.3">
      <c r="H22" s="18"/>
      <c r="I22" s="19"/>
    </row>
    <row r="23" spans="1:10" s="8" customFormat="1" x14ac:dyDescent="0.3">
      <c r="A23" s="68" t="s">
        <v>17</v>
      </c>
      <c r="B23" s="68" t="s">
        <v>46</v>
      </c>
      <c r="C23" s="68" t="s">
        <v>19</v>
      </c>
      <c r="D23" s="68" t="s">
        <v>20</v>
      </c>
      <c r="E23" s="68" t="s">
        <v>36</v>
      </c>
      <c r="F23" s="68" t="s">
        <v>29</v>
      </c>
      <c r="G23" s="68" t="s">
        <v>47</v>
      </c>
      <c r="H23" s="68" t="s">
        <v>48</v>
      </c>
      <c r="I23" s="68" t="s">
        <v>30</v>
      </c>
    </row>
    <row r="24" spans="1:10" x14ac:dyDescent="0.3">
      <c r="A24" s="1"/>
      <c r="B24" s="1"/>
      <c r="C24" s="1"/>
      <c r="D24" s="10"/>
      <c r="E24" s="1"/>
      <c r="F24" s="1"/>
      <c r="G24" s="1"/>
      <c r="H24" s="1"/>
      <c r="I24" s="154">
        <f>IF(G24="",D24*F24,(D24*F24)/(G24*H24))</f>
        <v>0</v>
      </c>
    </row>
    <row r="25" spans="1:10" s="8" customFormat="1" x14ac:dyDescent="0.3">
      <c r="H25" s="74" t="s">
        <v>30</v>
      </c>
      <c r="I25" s="155">
        <f>SUM(I24:I24)</f>
        <v>0</v>
      </c>
    </row>
    <row r="26" spans="1:10" x14ac:dyDescent="0.3">
      <c r="H26" s="18"/>
      <c r="I26" s="19"/>
    </row>
  </sheetData>
  <hyperlinks>
    <hyperlink ref="J3" location="BOM!A1" display="FileLink1" xr:uid="{47654EF5-FA7C-43D1-A15E-3667B9529D6A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4453-758B-4C3C-866F-EEBF3BF22EFE}">
  <dimension ref="A1:N26"/>
  <sheetViews>
    <sheetView workbookViewId="0">
      <selection activeCell="B7" sqref="B7"/>
    </sheetView>
  </sheetViews>
  <sheetFormatPr defaultColWidth="8.88671875" defaultRowHeight="13.8" x14ac:dyDescent="0.3"/>
  <cols>
    <col min="1" max="1" width="15" style="2" customWidth="1"/>
    <col min="2" max="2" width="32.88671875" style="2" customWidth="1"/>
    <col min="3" max="3" width="46.6640625" style="2" bestFit="1" customWidth="1"/>
    <col min="4" max="4" width="13.44140625" style="2" bestFit="1" customWidth="1"/>
    <col min="5" max="5" width="14.109375" style="2" bestFit="1" customWidth="1"/>
    <col min="6" max="6" width="10" style="2" customWidth="1"/>
    <col min="7" max="7" width="15.109375" style="2" bestFit="1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33203125" style="2" customWidth="1"/>
    <col min="12" max="12" width="11.33203125" style="2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N12+I17+J21+I25</f>
        <v>1.4430000000000001</v>
      </c>
    </row>
    <row r="2" spans="1:14" x14ac:dyDescent="0.3">
      <c r="A2" s="68" t="s">
        <v>4</v>
      </c>
      <c r="B2" s="1" t="s">
        <v>64</v>
      </c>
      <c r="D2" s="146" t="s">
        <v>5</v>
      </c>
      <c r="E2" s="1"/>
      <c r="M2" s="68" t="s">
        <v>6</v>
      </c>
      <c r="N2" s="5">
        <v>2</v>
      </c>
    </row>
    <row r="3" spans="1:14" ht="14.4" x14ac:dyDescent="0.3">
      <c r="A3" s="68" t="s">
        <v>7</v>
      </c>
      <c r="B3" s="1" t="s">
        <v>164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304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2.8860000000000001</v>
      </c>
    </row>
    <row r="5" spans="1:14" x14ac:dyDescent="0.3">
      <c r="A5" s="68" t="s">
        <v>13</v>
      </c>
      <c r="B5" s="6"/>
      <c r="J5" s="68" t="s">
        <v>11</v>
      </c>
      <c r="K5" s="1"/>
      <c r="L5" s="147"/>
      <c r="M5" s="148"/>
    </row>
    <row r="6" spans="1:14" x14ac:dyDescent="0.3">
      <c r="A6" s="68" t="s">
        <v>14</v>
      </c>
      <c r="B6" s="1" t="s">
        <v>15</v>
      </c>
    </row>
    <row r="7" spans="1:14" x14ac:dyDescent="0.3">
      <c r="A7" s="68" t="s">
        <v>16</v>
      </c>
      <c r="B7" s="7" t="s">
        <v>305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294</v>
      </c>
      <c r="C10" s="1" t="s">
        <v>293</v>
      </c>
      <c r="D10" s="10">
        <v>3.3</v>
      </c>
      <c r="E10" s="145">
        <v>0.03</v>
      </c>
      <c r="F10" s="1" t="s">
        <v>49</v>
      </c>
      <c r="G10" s="1"/>
      <c r="H10" s="11"/>
      <c r="I10" s="12" t="s">
        <v>34</v>
      </c>
      <c r="J10" s="63">
        <v>3.421E-3</v>
      </c>
      <c r="K10" s="63">
        <v>4.4999999999999998E-2</v>
      </c>
      <c r="L10" s="24">
        <v>2700</v>
      </c>
      <c r="M10" s="22">
        <v>1</v>
      </c>
      <c r="N10" s="149">
        <f>(D10*E10)</f>
        <v>9.8999999999999991E-2</v>
      </c>
    </row>
    <row r="11" spans="1:14" x14ac:dyDescent="0.3">
      <c r="A11" s="1"/>
      <c r="B11" s="9"/>
      <c r="C11" s="1"/>
      <c r="D11" s="10"/>
      <c r="E11" s="1"/>
      <c r="F11" s="1"/>
      <c r="G11" s="1"/>
      <c r="H11" s="11"/>
      <c r="I11" s="150"/>
      <c r="J11" s="151"/>
      <c r="K11" s="11"/>
      <c r="L11" s="11"/>
      <c r="M11" s="143"/>
      <c r="N11" s="149"/>
    </row>
    <row r="12" spans="1:14" s="8" customFormat="1" x14ac:dyDescent="0.3">
      <c r="M12" s="140" t="s">
        <v>30</v>
      </c>
      <c r="N12" s="152">
        <f>SUM(N10:N11)</f>
        <v>9.8999999999999991E-2</v>
      </c>
    </row>
    <row r="14" spans="1:14" s="8" customFormat="1" x14ac:dyDescent="0.3">
      <c r="A14" s="68" t="s">
        <v>17</v>
      </c>
      <c r="B14" s="68" t="s">
        <v>35</v>
      </c>
      <c r="C14" s="68" t="s">
        <v>19</v>
      </c>
      <c r="D14" s="68" t="s">
        <v>20</v>
      </c>
      <c r="E14" s="68" t="s">
        <v>36</v>
      </c>
      <c r="F14" s="68" t="s">
        <v>29</v>
      </c>
      <c r="G14" s="68" t="s">
        <v>37</v>
      </c>
      <c r="H14" s="68" t="s">
        <v>38</v>
      </c>
      <c r="I14" s="68" t="s">
        <v>30</v>
      </c>
    </row>
    <row r="15" spans="1:14" x14ac:dyDescent="0.3">
      <c r="A15" s="1">
        <v>1</v>
      </c>
      <c r="B15" s="13" t="s">
        <v>295</v>
      </c>
      <c r="C15" s="35" t="s">
        <v>301</v>
      </c>
      <c r="D15" s="10">
        <v>32</v>
      </c>
      <c r="E15" s="1" t="s">
        <v>49</v>
      </c>
      <c r="F15" s="175">
        <v>4.2000000000000003E-2</v>
      </c>
      <c r="G15" s="1" t="s">
        <v>41</v>
      </c>
      <c r="H15" s="1">
        <v>1</v>
      </c>
      <c r="I15" s="10">
        <f>(D15*F15*H15)</f>
        <v>1.3440000000000001</v>
      </c>
    </row>
    <row r="16" spans="1:14" x14ac:dyDescent="0.3">
      <c r="A16" s="1"/>
      <c r="B16" s="13"/>
      <c r="C16" s="14"/>
      <c r="D16" s="10"/>
      <c r="E16" s="1"/>
      <c r="F16" s="43"/>
      <c r="G16" s="1"/>
      <c r="H16" s="1"/>
      <c r="I16" s="10"/>
    </row>
    <row r="17" spans="1:10" s="8" customFormat="1" x14ac:dyDescent="0.3">
      <c r="H17" s="140" t="s">
        <v>30</v>
      </c>
      <c r="I17" s="141">
        <f>SUM(I15:I16)</f>
        <v>1.3440000000000001</v>
      </c>
    </row>
    <row r="19" spans="1:10" s="8" customFormat="1" x14ac:dyDescent="0.3">
      <c r="A19" s="68" t="s">
        <v>17</v>
      </c>
      <c r="B19" s="68" t="s">
        <v>45</v>
      </c>
      <c r="C19" s="68" t="s">
        <v>19</v>
      </c>
      <c r="D19" s="68" t="s">
        <v>20</v>
      </c>
      <c r="E19" s="68" t="s">
        <v>21</v>
      </c>
      <c r="F19" s="68" t="s">
        <v>22</v>
      </c>
      <c r="G19" s="68" t="s">
        <v>23</v>
      </c>
      <c r="H19" s="68" t="s">
        <v>24</v>
      </c>
      <c r="I19" s="68" t="s">
        <v>29</v>
      </c>
      <c r="J19" s="68" t="s">
        <v>30</v>
      </c>
    </row>
    <row r="20" spans="1:10" x14ac:dyDescent="0.3">
      <c r="A20" s="1"/>
      <c r="B20" s="9"/>
      <c r="C20" s="1"/>
      <c r="D20" s="145"/>
      <c r="E20" s="1"/>
      <c r="F20" s="16"/>
      <c r="G20" s="1"/>
      <c r="H20" s="14"/>
      <c r="I20" s="17"/>
      <c r="J20" s="10"/>
    </row>
    <row r="21" spans="1:10" s="8" customFormat="1" x14ac:dyDescent="0.3">
      <c r="I21" s="74" t="s">
        <v>30</v>
      </c>
      <c r="J21" s="75">
        <f>SUM(J20:J20)</f>
        <v>0</v>
      </c>
    </row>
    <row r="22" spans="1:10" x14ac:dyDescent="0.3">
      <c r="H22" s="18"/>
      <c r="I22" s="19"/>
    </row>
    <row r="23" spans="1:10" s="8" customFormat="1" x14ac:dyDescent="0.3">
      <c r="A23" s="68" t="s">
        <v>17</v>
      </c>
      <c r="B23" s="68" t="s">
        <v>46</v>
      </c>
      <c r="C23" s="68" t="s">
        <v>19</v>
      </c>
      <c r="D23" s="68" t="s">
        <v>20</v>
      </c>
      <c r="E23" s="68" t="s">
        <v>36</v>
      </c>
      <c r="F23" s="68" t="s">
        <v>29</v>
      </c>
      <c r="G23" s="68" t="s">
        <v>47</v>
      </c>
      <c r="H23" s="68" t="s">
        <v>48</v>
      </c>
      <c r="I23" s="68" t="s">
        <v>30</v>
      </c>
    </row>
    <row r="24" spans="1:10" x14ac:dyDescent="0.3">
      <c r="A24" s="1"/>
      <c r="B24" s="1"/>
      <c r="C24" s="1"/>
      <c r="D24" s="10"/>
      <c r="E24" s="1"/>
      <c r="F24" s="1"/>
      <c r="G24" s="1"/>
      <c r="H24" s="1"/>
      <c r="I24" s="154">
        <f>IF(G24="",D24*F24,(D24*F24)/(G24*H24))</f>
        <v>0</v>
      </c>
    </row>
    <row r="25" spans="1:10" s="8" customFormat="1" x14ac:dyDescent="0.3">
      <c r="H25" s="74" t="s">
        <v>30</v>
      </c>
      <c r="I25" s="155">
        <f>SUM(I24:I24)</f>
        <v>0</v>
      </c>
    </row>
    <row r="26" spans="1:10" x14ac:dyDescent="0.3">
      <c r="H26" s="18"/>
      <c r="I26" s="19"/>
    </row>
  </sheetData>
  <hyperlinks>
    <hyperlink ref="J3" location="BOM!A1" display="FileLink1" xr:uid="{B210DC21-3D4B-47B7-ADDA-B32DF863AA0F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D604-AC09-4660-9325-1EFB6B89174D}">
  <dimension ref="A1:N26"/>
  <sheetViews>
    <sheetView workbookViewId="0">
      <selection activeCell="H32" sqref="H32"/>
    </sheetView>
  </sheetViews>
  <sheetFormatPr defaultColWidth="8.88671875" defaultRowHeight="13.8" x14ac:dyDescent="0.3"/>
  <cols>
    <col min="1" max="1" width="15" style="2" customWidth="1"/>
    <col min="2" max="2" width="32.88671875" style="2" customWidth="1"/>
    <col min="3" max="3" width="46.6640625" style="2" bestFit="1" customWidth="1"/>
    <col min="4" max="4" width="13.44140625" style="2" bestFit="1" customWidth="1"/>
    <col min="5" max="5" width="14.109375" style="2" bestFit="1" customWidth="1"/>
    <col min="6" max="6" width="10" style="2" customWidth="1"/>
    <col min="7" max="7" width="15.109375" style="2" bestFit="1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33203125" style="2" customWidth="1"/>
    <col min="12" max="12" width="11.33203125" style="2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N12+I17+J21+I25</f>
        <v>0.89900000000000002</v>
      </c>
    </row>
    <row r="2" spans="1:14" x14ac:dyDescent="0.3">
      <c r="A2" s="68" t="s">
        <v>4</v>
      </c>
      <c r="B2" s="1" t="s">
        <v>64</v>
      </c>
      <c r="D2" s="146" t="s">
        <v>5</v>
      </c>
      <c r="E2" s="1"/>
      <c r="M2" s="68" t="s">
        <v>6</v>
      </c>
      <c r="N2" s="5">
        <v>2</v>
      </c>
    </row>
    <row r="3" spans="1:14" ht="14.4" x14ac:dyDescent="0.3">
      <c r="A3" s="68" t="s">
        <v>7</v>
      </c>
      <c r="B3" s="1" t="s">
        <v>164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303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1.798</v>
      </c>
    </row>
    <row r="5" spans="1:14" x14ac:dyDescent="0.3">
      <c r="A5" s="68" t="s">
        <v>13</v>
      </c>
      <c r="B5" s="6"/>
      <c r="J5" s="68" t="s">
        <v>11</v>
      </c>
      <c r="K5" s="1"/>
      <c r="L5" s="147"/>
      <c r="M5" s="148"/>
    </row>
    <row r="6" spans="1:14" x14ac:dyDescent="0.3">
      <c r="A6" s="68" t="s">
        <v>14</v>
      </c>
      <c r="B6" s="1" t="s">
        <v>15</v>
      </c>
    </row>
    <row r="7" spans="1:14" x14ac:dyDescent="0.3">
      <c r="A7" s="68" t="s">
        <v>16</v>
      </c>
      <c r="B7" s="7" t="s">
        <v>305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294</v>
      </c>
      <c r="C10" s="1" t="s">
        <v>293</v>
      </c>
      <c r="D10" s="10">
        <v>3.3</v>
      </c>
      <c r="E10" s="145">
        <v>0.03</v>
      </c>
      <c r="F10" s="1" t="s">
        <v>49</v>
      </c>
      <c r="G10" s="1"/>
      <c r="H10" s="11"/>
      <c r="I10" s="12" t="s">
        <v>34</v>
      </c>
      <c r="J10" s="63">
        <v>3.421E-3</v>
      </c>
      <c r="K10" s="63">
        <v>4.4999999999999998E-2</v>
      </c>
      <c r="L10" s="24">
        <v>2700</v>
      </c>
      <c r="M10" s="22">
        <v>1</v>
      </c>
      <c r="N10" s="149">
        <f>(D10*E10)</f>
        <v>9.8999999999999991E-2</v>
      </c>
    </row>
    <row r="11" spans="1:14" x14ac:dyDescent="0.3">
      <c r="A11" s="1"/>
      <c r="B11" s="9"/>
      <c r="C11" s="1"/>
      <c r="D11" s="10"/>
      <c r="E11" s="1"/>
      <c r="F11" s="1"/>
      <c r="G11" s="1"/>
      <c r="H11" s="11"/>
      <c r="I11" s="150"/>
      <c r="J11" s="151"/>
      <c r="K11" s="11"/>
      <c r="L11" s="11"/>
      <c r="M11" s="143"/>
      <c r="N11" s="149"/>
    </row>
    <row r="12" spans="1:14" s="8" customFormat="1" x14ac:dyDescent="0.3">
      <c r="M12" s="140" t="s">
        <v>30</v>
      </c>
      <c r="N12" s="152">
        <f>SUM(N10:N11)</f>
        <v>9.8999999999999991E-2</v>
      </c>
    </row>
    <row r="14" spans="1:14" s="8" customFormat="1" x14ac:dyDescent="0.3">
      <c r="A14" s="68" t="s">
        <v>17</v>
      </c>
      <c r="B14" s="68" t="s">
        <v>35</v>
      </c>
      <c r="C14" s="68" t="s">
        <v>19</v>
      </c>
      <c r="D14" s="68" t="s">
        <v>20</v>
      </c>
      <c r="E14" s="68" t="s">
        <v>36</v>
      </c>
      <c r="F14" s="68" t="s">
        <v>29</v>
      </c>
      <c r="G14" s="68" t="s">
        <v>37</v>
      </c>
      <c r="H14" s="68" t="s">
        <v>38</v>
      </c>
      <c r="I14" s="68" t="s">
        <v>30</v>
      </c>
    </row>
    <row r="15" spans="1:14" x14ac:dyDescent="0.3">
      <c r="A15" s="1">
        <v>1</v>
      </c>
      <c r="B15" s="13" t="s">
        <v>295</v>
      </c>
      <c r="C15" s="35" t="s">
        <v>302</v>
      </c>
      <c r="D15" s="10">
        <v>32</v>
      </c>
      <c r="E15" s="1" t="s">
        <v>49</v>
      </c>
      <c r="F15" s="175">
        <v>2.5000000000000001E-2</v>
      </c>
      <c r="G15" s="1" t="s">
        <v>41</v>
      </c>
      <c r="H15" s="1">
        <v>1</v>
      </c>
      <c r="I15" s="10">
        <f>(D15*F15*H15)</f>
        <v>0.8</v>
      </c>
    </row>
    <row r="16" spans="1:14" x14ac:dyDescent="0.3">
      <c r="A16" s="1"/>
      <c r="B16" s="13"/>
      <c r="C16" s="14"/>
      <c r="D16" s="10"/>
      <c r="E16" s="1"/>
      <c r="F16" s="43"/>
      <c r="G16" s="1"/>
      <c r="H16" s="1"/>
      <c r="I16" s="10"/>
    </row>
    <row r="17" spans="1:10" s="8" customFormat="1" x14ac:dyDescent="0.3">
      <c r="H17" s="140" t="s">
        <v>30</v>
      </c>
      <c r="I17" s="141">
        <f>SUM(I15:I16)</f>
        <v>0.8</v>
      </c>
    </row>
    <row r="19" spans="1:10" s="8" customFormat="1" x14ac:dyDescent="0.3">
      <c r="A19" s="68" t="s">
        <v>17</v>
      </c>
      <c r="B19" s="68" t="s">
        <v>45</v>
      </c>
      <c r="C19" s="68" t="s">
        <v>19</v>
      </c>
      <c r="D19" s="68" t="s">
        <v>20</v>
      </c>
      <c r="E19" s="68" t="s">
        <v>21</v>
      </c>
      <c r="F19" s="68" t="s">
        <v>22</v>
      </c>
      <c r="G19" s="68" t="s">
        <v>23</v>
      </c>
      <c r="H19" s="68" t="s">
        <v>24</v>
      </c>
      <c r="I19" s="68" t="s">
        <v>29</v>
      </c>
      <c r="J19" s="68" t="s">
        <v>30</v>
      </c>
    </row>
    <row r="20" spans="1:10" x14ac:dyDescent="0.3">
      <c r="A20" s="1"/>
      <c r="B20" s="9"/>
      <c r="C20" s="1"/>
      <c r="D20" s="145"/>
      <c r="E20" s="1"/>
      <c r="F20" s="16"/>
      <c r="G20" s="1"/>
      <c r="H20" s="14"/>
      <c r="I20" s="17"/>
      <c r="J20" s="10"/>
    </row>
    <row r="21" spans="1:10" s="8" customFormat="1" x14ac:dyDescent="0.3">
      <c r="I21" s="74" t="s">
        <v>30</v>
      </c>
      <c r="J21" s="75">
        <f>SUM(J20:J20)</f>
        <v>0</v>
      </c>
    </row>
    <row r="22" spans="1:10" x14ac:dyDescent="0.3">
      <c r="H22" s="18"/>
      <c r="I22" s="19"/>
    </row>
    <row r="23" spans="1:10" s="8" customFormat="1" x14ac:dyDescent="0.3">
      <c r="A23" s="68" t="s">
        <v>17</v>
      </c>
      <c r="B23" s="68" t="s">
        <v>46</v>
      </c>
      <c r="C23" s="68" t="s">
        <v>19</v>
      </c>
      <c r="D23" s="68" t="s">
        <v>20</v>
      </c>
      <c r="E23" s="68" t="s">
        <v>36</v>
      </c>
      <c r="F23" s="68" t="s">
        <v>29</v>
      </c>
      <c r="G23" s="68" t="s">
        <v>47</v>
      </c>
      <c r="H23" s="68" t="s">
        <v>48</v>
      </c>
      <c r="I23" s="68" t="s">
        <v>30</v>
      </c>
    </row>
    <row r="24" spans="1:10" x14ac:dyDescent="0.3">
      <c r="A24" s="1"/>
      <c r="B24" s="1"/>
      <c r="C24" s="1"/>
      <c r="D24" s="10"/>
      <c r="E24" s="1"/>
      <c r="F24" s="1"/>
      <c r="G24" s="1"/>
      <c r="H24" s="1"/>
      <c r="I24" s="154">
        <f>IF(G24="",D24*F24,(D24*F24)/(G24*H24))</f>
        <v>0</v>
      </c>
    </row>
    <row r="25" spans="1:10" s="8" customFormat="1" x14ac:dyDescent="0.3">
      <c r="H25" s="74" t="s">
        <v>30</v>
      </c>
      <c r="I25" s="155">
        <f>SUM(I24:I24)</f>
        <v>0</v>
      </c>
    </row>
    <row r="26" spans="1:10" x14ac:dyDescent="0.3">
      <c r="H26" s="18"/>
      <c r="I26" s="19"/>
    </row>
  </sheetData>
  <hyperlinks>
    <hyperlink ref="J3" location="BOM!A1" display="FileLink1" xr:uid="{C83484C5-F96B-4A78-B095-3A9524745DE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A86E-69E0-459B-A9B7-76ACCB498EEF}">
  <dimension ref="A1:N26"/>
  <sheetViews>
    <sheetView zoomScale="70" zoomScaleNormal="70" workbookViewId="0">
      <selection activeCell="H33" sqref="H33"/>
    </sheetView>
  </sheetViews>
  <sheetFormatPr defaultColWidth="8.88671875" defaultRowHeight="13.8" x14ac:dyDescent="0.3"/>
  <cols>
    <col min="1" max="1" width="15" style="2" customWidth="1"/>
    <col min="2" max="2" width="32.88671875" style="2" customWidth="1"/>
    <col min="3" max="3" width="46.6640625" style="2" bestFit="1" customWidth="1"/>
    <col min="4" max="4" width="13.44140625" style="2" bestFit="1" customWidth="1"/>
    <col min="5" max="5" width="14.109375" style="2" bestFit="1" customWidth="1"/>
    <col min="6" max="6" width="10" style="2" customWidth="1"/>
    <col min="7" max="7" width="15.109375" style="2" bestFit="1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33203125" style="2" customWidth="1"/>
    <col min="12" max="12" width="11.33203125" style="2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N12+I17+J21+I25</f>
        <v>1</v>
      </c>
    </row>
    <row r="2" spans="1:14" x14ac:dyDescent="0.3">
      <c r="A2" s="68" t="s">
        <v>4</v>
      </c>
      <c r="B2" s="1" t="s">
        <v>64</v>
      </c>
      <c r="D2" s="146" t="s">
        <v>5</v>
      </c>
      <c r="E2" s="1"/>
      <c r="M2" s="68" t="s">
        <v>6</v>
      </c>
      <c r="N2" s="5">
        <v>2</v>
      </c>
    </row>
    <row r="3" spans="1:14" ht="14.4" x14ac:dyDescent="0.3">
      <c r="A3" s="68" t="s">
        <v>7</v>
      </c>
      <c r="B3" s="1" t="s">
        <v>164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312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2</v>
      </c>
    </row>
    <row r="5" spans="1:14" x14ac:dyDescent="0.3">
      <c r="A5" s="68" t="s">
        <v>13</v>
      </c>
      <c r="B5" s="6"/>
      <c r="J5" s="68" t="s">
        <v>11</v>
      </c>
      <c r="K5" s="1"/>
      <c r="L5" s="147"/>
      <c r="M5" s="148"/>
    </row>
    <row r="6" spans="1:14" x14ac:dyDescent="0.3">
      <c r="A6" s="68" t="s">
        <v>14</v>
      </c>
      <c r="B6" s="1" t="s">
        <v>15</v>
      </c>
    </row>
    <row r="7" spans="1:14" ht="27.6" x14ac:dyDescent="0.3">
      <c r="A7" s="68" t="s">
        <v>16</v>
      </c>
      <c r="B7" s="7" t="s">
        <v>313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314</v>
      </c>
      <c r="C10" s="7" t="s">
        <v>313</v>
      </c>
      <c r="D10" s="10">
        <v>1</v>
      </c>
      <c r="E10" s="145" t="s">
        <v>315</v>
      </c>
      <c r="F10" s="1"/>
      <c r="G10" s="1" t="s">
        <v>315</v>
      </c>
      <c r="H10" s="11"/>
      <c r="I10" s="12"/>
      <c r="J10" s="63"/>
      <c r="K10" s="63"/>
      <c r="L10" s="24"/>
      <c r="M10" s="22">
        <v>1</v>
      </c>
      <c r="N10" s="149">
        <v>1</v>
      </c>
    </row>
    <row r="11" spans="1:14" x14ac:dyDescent="0.3">
      <c r="A11" s="1"/>
      <c r="B11" s="9"/>
      <c r="C11" s="1"/>
      <c r="D11" s="10"/>
      <c r="E11" s="1"/>
      <c r="F11" s="1"/>
      <c r="G11" s="1"/>
      <c r="H11" s="11"/>
      <c r="I11" s="150"/>
      <c r="J11" s="151"/>
      <c r="K11" s="11"/>
      <c r="L11" s="11"/>
      <c r="M11" s="143"/>
      <c r="N11" s="149"/>
    </row>
    <row r="12" spans="1:14" s="8" customFormat="1" x14ac:dyDescent="0.3">
      <c r="M12" s="140" t="s">
        <v>30</v>
      </c>
      <c r="N12" s="152">
        <f>SUM(N10:N11)</f>
        <v>1</v>
      </c>
    </row>
    <row r="14" spans="1:14" s="8" customFormat="1" x14ac:dyDescent="0.3">
      <c r="A14" s="68" t="s">
        <v>17</v>
      </c>
      <c r="B14" s="68" t="s">
        <v>35</v>
      </c>
      <c r="C14" s="68" t="s">
        <v>19</v>
      </c>
      <c r="D14" s="68" t="s">
        <v>20</v>
      </c>
      <c r="E14" s="68" t="s">
        <v>36</v>
      </c>
      <c r="F14" s="68" t="s">
        <v>29</v>
      </c>
      <c r="G14" s="68" t="s">
        <v>37</v>
      </c>
      <c r="H14" s="68" t="s">
        <v>38</v>
      </c>
      <c r="I14" s="68" t="s">
        <v>30</v>
      </c>
    </row>
    <row r="15" spans="1:14" x14ac:dyDescent="0.3">
      <c r="A15" s="1"/>
      <c r="B15" s="13"/>
      <c r="C15" s="35"/>
      <c r="D15" s="10"/>
      <c r="E15" s="1"/>
      <c r="F15" s="175"/>
      <c r="G15" s="1"/>
      <c r="H15" s="1"/>
      <c r="I15" s="10"/>
    </row>
    <row r="16" spans="1:14" x14ac:dyDescent="0.3">
      <c r="A16" s="1"/>
      <c r="B16" s="13"/>
      <c r="C16" s="14"/>
      <c r="D16" s="10"/>
      <c r="E16" s="1"/>
      <c r="F16" s="43"/>
      <c r="G16" s="1"/>
      <c r="H16" s="1"/>
      <c r="I16" s="10"/>
    </row>
    <row r="17" spans="1:10" s="8" customFormat="1" x14ac:dyDescent="0.3">
      <c r="H17" s="140" t="s">
        <v>30</v>
      </c>
      <c r="I17" s="141">
        <f>SUM(I15:I16)</f>
        <v>0</v>
      </c>
    </row>
    <row r="19" spans="1:10" s="8" customFormat="1" x14ac:dyDescent="0.3">
      <c r="A19" s="68" t="s">
        <v>17</v>
      </c>
      <c r="B19" s="68" t="s">
        <v>45</v>
      </c>
      <c r="C19" s="68" t="s">
        <v>19</v>
      </c>
      <c r="D19" s="68" t="s">
        <v>20</v>
      </c>
      <c r="E19" s="68" t="s">
        <v>21</v>
      </c>
      <c r="F19" s="68" t="s">
        <v>22</v>
      </c>
      <c r="G19" s="68" t="s">
        <v>23</v>
      </c>
      <c r="H19" s="68" t="s">
        <v>24</v>
      </c>
      <c r="I19" s="68" t="s">
        <v>29</v>
      </c>
      <c r="J19" s="68" t="s">
        <v>30</v>
      </c>
    </row>
    <row r="20" spans="1:10" x14ac:dyDescent="0.3">
      <c r="A20" s="1"/>
      <c r="B20" s="9"/>
      <c r="C20" s="1"/>
      <c r="D20" s="145"/>
      <c r="E20" s="1"/>
      <c r="F20" s="16"/>
      <c r="G20" s="1"/>
      <c r="H20" s="14"/>
      <c r="I20" s="17"/>
      <c r="J20" s="10"/>
    </row>
    <row r="21" spans="1:10" s="8" customFormat="1" x14ac:dyDescent="0.3">
      <c r="I21" s="74" t="s">
        <v>30</v>
      </c>
      <c r="J21" s="75">
        <f>SUM(J20:J20)</f>
        <v>0</v>
      </c>
    </row>
    <row r="22" spans="1:10" x14ac:dyDescent="0.3">
      <c r="H22" s="18"/>
      <c r="I22" s="19"/>
    </row>
    <row r="23" spans="1:10" s="8" customFormat="1" x14ac:dyDescent="0.3">
      <c r="A23" s="68" t="s">
        <v>17</v>
      </c>
      <c r="B23" s="68" t="s">
        <v>46</v>
      </c>
      <c r="C23" s="68" t="s">
        <v>19</v>
      </c>
      <c r="D23" s="68" t="s">
        <v>20</v>
      </c>
      <c r="E23" s="68" t="s">
        <v>36</v>
      </c>
      <c r="F23" s="68" t="s">
        <v>29</v>
      </c>
      <c r="G23" s="68" t="s">
        <v>47</v>
      </c>
      <c r="H23" s="68" t="s">
        <v>48</v>
      </c>
      <c r="I23" s="68" t="s">
        <v>30</v>
      </c>
    </row>
    <row r="24" spans="1:10" x14ac:dyDescent="0.3">
      <c r="A24" s="1"/>
      <c r="B24" s="1"/>
      <c r="C24" s="1"/>
      <c r="D24" s="10"/>
      <c r="E24" s="1"/>
      <c r="F24" s="1"/>
      <c r="G24" s="1"/>
      <c r="H24" s="1"/>
      <c r="I24" s="154">
        <f>IF(G24="",D24*F24,(D24*F24)/(G24*H24))</f>
        <v>0</v>
      </c>
    </row>
    <row r="25" spans="1:10" s="8" customFormat="1" x14ac:dyDescent="0.3">
      <c r="H25" s="74" t="s">
        <v>30</v>
      </c>
      <c r="I25" s="155">
        <f>SUM(I24:I24)</f>
        <v>0</v>
      </c>
    </row>
    <row r="26" spans="1:10" x14ac:dyDescent="0.3">
      <c r="H26" s="18"/>
      <c r="I26" s="19"/>
    </row>
  </sheetData>
  <hyperlinks>
    <hyperlink ref="J3" location="BOM!A1" display="FileLink1" xr:uid="{92507AAD-8EA7-4D08-8916-2E42237E70A3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E81A-66F9-44E0-8501-E111670160CF}">
  <dimension ref="A1:Q28"/>
  <sheetViews>
    <sheetView zoomScale="85" zoomScaleNormal="85" workbookViewId="0">
      <selection activeCell="F28" sqref="F28"/>
    </sheetView>
  </sheetViews>
  <sheetFormatPr defaultColWidth="8.88671875" defaultRowHeight="13.8" x14ac:dyDescent="0.3"/>
  <cols>
    <col min="1" max="1" width="9.44140625" style="2" bestFit="1" customWidth="1"/>
    <col min="2" max="2" width="38.77734375" style="2" bestFit="1" customWidth="1"/>
    <col min="3" max="3" width="41" style="2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20.6640625" style="2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3.441406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128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N11+I18+J22+I26</f>
        <v>1.9092532000000002</v>
      </c>
    </row>
    <row r="2" spans="1:14" x14ac:dyDescent="0.3">
      <c r="A2" s="90" t="s">
        <v>4</v>
      </c>
      <c r="B2" s="39" t="s">
        <v>102</v>
      </c>
      <c r="D2" s="129" t="s">
        <v>5</v>
      </c>
      <c r="E2" s="39"/>
      <c r="M2" s="90" t="s">
        <v>6</v>
      </c>
      <c r="N2" s="46">
        <v>1</v>
      </c>
    </row>
    <row r="3" spans="1:14" ht="14.4" x14ac:dyDescent="0.3">
      <c r="A3" s="90" t="s">
        <v>7</v>
      </c>
      <c r="B3" s="39" t="s">
        <v>144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316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1.9092532000000002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ht="27.6" x14ac:dyDescent="0.3">
      <c r="A7" s="90" t="s">
        <v>16</v>
      </c>
      <c r="B7" s="170" t="s">
        <v>317</v>
      </c>
    </row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131" t="s">
        <v>126</v>
      </c>
      <c r="C10" s="39" t="s">
        <v>318</v>
      </c>
      <c r="D10" s="40">
        <v>4.2</v>
      </c>
      <c r="E10" s="60">
        <v>0.1</v>
      </c>
      <c r="F10" s="39" t="s">
        <v>32</v>
      </c>
      <c r="G10" s="39"/>
      <c r="H10" s="50"/>
      <c r="I10" s="51" t="s">
        <v>34</v>
      </c>
      <c r="J10" s="132">
        <f>((3.14*((16-9)))/100000)</f>
        <v>2.198E-4</v>
      </c>
      <c r="K10" s="50">
        <v>0.1</v>
      </c>
      <c r="L10" s="50">
        <v>2700</v>
      </c>
      <c r="M10" s="53">
        <v>1</v>
      </c>
      <c r="N10" s="45">
        <f>IF(J10="",D10*M10,D10*J10*K10*L10*M10)</f>
        <v>0.24925320000000001</v>
      </c>
    </row>
    <row r="11" spans="1:14" s="8" customFormat="1" x14ac:dyDescent="0.3">
      <c r="M11" s="91" t="s">
        <v>30</v>
      </c>
      <c r="N11" s="92">
        <f>SUM(N10:N10)</f>
        <v>0.24925320000000001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x14ac:dyDescent="0.3">
      <c r="A14" s="39">
        <v>1</v>
      </c>
      <c r="B14" s="41" t="s">
        <v>50</v>
      </c>
      <c r="C14" s="55" t="s">
        <v>309</v>
      </c>
      <c r="D14" s="40">
        <v>1.3</v>
      </c>
      <c r="E14" s="39" t="s">
        <v>36</v>
      </c>
      <c r="F14" s="39">
        <v>1</v>
      </c>
      <c r="G14" s="39" t="s">
        <v>41</v>
      </c>
      <c r="H14" s="39">
        <v>1</v>
      </c>
      <c r="I14" s="40">
        <f>IF('Bevel Casing'!$H14&lt;&gt;"",'Bevel Casing'!$D14*'Bevel Casing'!$F14*'Bevel Casing'!$H14,'Bevel Casing'!$D14*'Bevel Casing'!$F14)</f>
        <v>1.3</v>
      </c>
    </row>
    <row r="15" spans="1:14" s="166" customFormat="1" x14ac:dyDescent="0.3">
      <c r="A15" s="142">
        <v>2</v>
      </c>
      <c r="B15" s="164" t="s">
        <v>319</v>
      </c>
      <c r="C15" s="156" t="s">
        <v>320</v>
      </c>
      <c r="D15" s="165">
        <v>0.15</v>
      </c>
      <c r="E15" s="142" t="s">
        <v>40</v>
      </c>
      <c r="F15" s="169">
        <v>2.4</v>
      </c>
      <c r="G15" s="142" t="s">
        <v>59</v>
      </c>
      <c r="H15" s="142">
        <v>1</v>
      </c>
      <c r="I15" s="40">
        <f>(D15*F15*H15)</f>
        <v>0.36</v>
      </c>
    </row>
    <row r="16" spans="1:14" s="166" customFormat="1" x14ac:dyDescent="0.3">
      <c r="A16" s="142"/>
      <c r="B16" s="167"/>
      <c r="C16" s="168"/>
      <c r="D16" s="165"/>
      <c r="E16" s="142"/>
      <c r="F16" s="142"/>
      <c r="G16" s="142"/>
      <c r="H16" s="142"/>
      <c r="I16" s="165"/>
    </row>
    <row r="17" spans="1:17" s="166" customFormat="1" x14ac:dyDescent="0.3">
      <c r="A17" s="142"/>
      <c r="B17" s="13"/>
      <c r="C17" s="156"/>
      <c r="D17" s="165"/>
      <c r="E17" s="142"/>
      <c r="F17" s="142"/>
      <c r="G17" s="58"/>
      <c r="H17" s="142"/>
      <c r="I17" s="165"/>
    </row>
    <row r="18" spans="1:17" s="8" customFormat="1" x14ac:dyDescent="0.3">
      <c r="H18" s="91" t="s">
        <v>30</v>
      </c>
      <c r="I18" s="92">
        <f>SUM(I14:I17)</f>
        <v>1.6600000000000001</v>
      </c>
    </row>
    <row r="20" spans="1:17" s="8" customFormat="1" x14ac:dyDescent="0.3">
      <c r="A20" s="90" t="s">
        <v>17</v>
      </c>
      <c r="B20" s="90" t="s">
        <v>45</v>
      </c>
      <c r="C20" s="90" t="s">
        <v>19</v>
      </c>
      <c r="D20" s="90" t="s">
        <v>20</v>
      </c>
      <c r="E20" s="90" t="s">
        <v>21</v>
      </c>
      <c r="F20" s="90" t="s">
        <v>22</v>
      </c>
      <c r="G20" s="90" t="s">
        <v>23</v>
      </c>
      <c r="H20" s="90" t="s">
        <v>24</v>
      </c>
      <c r="I20" s="90" t="s">
        <v>29</v>
      </c>
      <c r="J20" s="90" t="s">
        <v>30</v>
      </c>
    </row>
    <row r="21" spans="1:17" x14ac:dyDescent="0.3">
      <c r="A21" s="39"/>
      <c r="B21" s="39"/>
      <c r="C21" s="39"/>
      <c r="D21" s="39"/>
      <c r="E21" s="39"/>
      <c r="F21" s="54"/>
      <c r="G21" s="39"/>
      <c r="H21" s="55"/>
      <c r="I21" s="56"/>
      <c r="J21" s="40">
        <f>D21*I21</f>
        <v>0</v>
      </c>
    </row>
    <row r="22" spans="1:17" s="8" customFormat="1" x14ac:dyDescent="0.3">
      <c r="I22" s="91" t="s">
        <v>30</v>
      </c>
      <c r="J22" s="92">
        <f>SUM(J21:J21)</f>
        <v>0</v>
      </c>
    </row>
    <row r="23" spans="1:17" x14ac:dyDescent="0.3">
      <c r="H23" s="18"/>
      <c r="I23" s="19"/>
    </row>
    <row r="24" spans="1:17" s="8" customFormat="1" x14ac:dyDescent="0.3">
      <c r="A24" s="90" t="s">
        <v>17</v>
      </c>
      <c r="B24" s="90" t="s">
        <v>46</v>
      </c>
      <c r="C24" s="90" t="s">
        <v>19</v>
      </c>
      <c r="D24" s="90" t="s">
        <v>20</v>
      </c>
      <c r="E24" s="90" t="s">
        <v>36</v>
      </c>
      <c r="F24" s="90" t="s">
        <v>29</v>
      </c>
      <c r="G24" s="90" t="s">
        <v>47</v>
      </c>
      <c r="H24" s="90" t="s">
        <v>48</v>
      </c>
      <c r="I24" s="90" t="s">
        <v>30</v>
      </c>
    </row>
    <row r="25" spans="1:17" x14ac:dyDescent="0.3">
      <c r="A25" s="39"/>
      <c r="B25" s="39"/>
      <c r="C25" s="39"/>
      <c r="D25" s="40"/>
      <c r="E25" s="39"/>
      <c r="F25" s="39"/>
      <c r="G25" s="39"/>
      <c r="H25" s="39"/>
      <c r="I25" s="40" t="str">
        <f>IF('Bevel Casing'!$G30&lt;&gt;"",D25*F25/G25*H25,"")</f>
        <v/>
      </c>
    </row>
    <row r="26" spans="1:17" s="8" customFormat="1" x14ac:dyDescent="0.3">
      <c r="H26" s="91" t="s">
        <v>30</v>
      </c>
      <c r="I26" s="93">
        <f>SUM(I25:I25)</f>
        <v>0</v>
      </c>
    </row>
    <row r="27" spans="1:17" x14ac:dyDescent="0.3">
      <c r="H27" s="18"/>
      <c r="I27" s="19"/>
    </row>
    <row r="28" spans="1:17" x14ac:dyDescent="0.3">
      <c r="Q28" s="23"/>
    </row>
  </sheetData>
  <hyperlinks>
    <hyperlink ref="J3" location="BOM!A1" display="FileLink1" xr:uid="{714A7B34-27B6-43CC-A3DD-1BEE667E07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0">
    <tabColor rgb="FFFFFF00"/>
    <pageSetUpPr fitToPage="1"/>
  </sheetPr>
  <dimension ref="A1:Q30"/>
  <sheetViews>
    <sheetView zoomScale="93" zoomScaleNormal="93" workbookViewId="0">
      <selection activeCell="C11" sqref="C11"/>
    </sheetView>
  </sheetViews>
  <sheetFormatPr defaultColWidth="9.109375" defaultRowHeight="13.8" x14ac:dyDescent="0.3"/>
  <cols>
    <col min="1" max="1" width="9.6640625" style="2" customWidth="1"/>
    <col min="2" max="2" width="34" style="2" customWidth="1"/>
    <col min="3" max="3" width="43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4.33203125" style="2" customWidth="1"/>
    <col min="8" max="8" width="13.88671875" style="2" bestFit="1" customWidth="1"/>
    <col min="9" max="9" width="15.5546875" style="2" bestFit="1" customWidth="1"/>
    <col min="10" max="10" width="12.88671875" style="2" customWidth="1"/>
    <col min="11" max="11" width="14.554687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N11+I20+J24+I28</f>
        <v>9.5149487499999985</v>
      </c>
    </row>
    <row r="2" spans="1:14" x14ac:dyDescent="0.3">
      <c r="A2" s="68" t="s">
        <v>4</v>
      </c>
      <c r="B2" s="1" t="s">
        <v>102</v>
      </c>
      <c r="D2" s="68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1" t="s">
        <v>65</v>
      </c>
      <c r="D3" s="68" t="s">
        <v>8</v>
      </c>
      <c r="E3" s="1"/>
      <c r="G3" s="85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68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9.5149487499999985</v>
      </c>
    </row>
    <row r="5" spans="1:14" x14ac:dyDescent="0.3">
      <c r="A5" s="68" t="s">
        <v>13</v>
      </c>
      <c r="B5" s="6"/>
      <c r="G5" s="85"/>
      <c r="J5" s="68" t="s">
        <v>11</v>
      </c>
      <c r="K5" s="1"/>
    </row>
    <row r="6" spans="1:14" x14ac:dyDescent="0.3">
      <c r="A6" s="68" t="s">
        <v>14</v>
      </c>
      <c r="B6" s="1" t="s">
        <v>15</v>
      </c>
      <c r="G6" s="85"/>
    </row>
    <row r="7" spans="1:14" ht="27.6" x14ac:dyDescent="0.3">
      <c r="A7" s="68" t="s">
        <v>16</v>
      </c>
      <c r="B7" s="7" t="s">
        <v>103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104</v>
      </c>
      <c r="C10" s="1" t="s">
        <v>244</v>
      </c>
      <c r="D10" s="10">
        <v>2.25</v>
      </c>
      <c r="E10" s="66">
        <f>J10*K10*L10</f>
        <v>0.18447500000000003</v>
      </c>
      <c r="F10" s="1" t="s">
        <v>32</v>
      </c>
      <c r="G10" s="1"/>
      <c r="H10" s="11"/>
      <c r="I10" s="12" t="s">
        <v>105</v>
      </c>
      <c r="J10" s="83">
        <v>4.7000000000000002E-3</v>
      </c>
      <c r="K10" s="11">
        <v>5.0000000000000001E-3</v>
      </c>
      <c r="L10" s="11">
        <v>7850</v>
      </c>
      <c r="M10" s="22">
        <v>1</v>
      </c>
      <c r="N10" s="4">
        <f>IF(J10="",D10*M10,D10*J10*K10*L10*M10)</f>
        <v>0.41506875000000004</v>
      </c>
    </row>
    <row r="11" spans="1:14" s="8" customFormat="1" x14ac:dyDescent="0.3">
      <c r="M11" s="74" t="s">
        <v>30</v>
      </c>
      <c r="N11" s="77">
        <f>SUM(N10:N10)</f>
        <v>0.41506875000000004</v>
      </c>
    </row>
    <row r="13" spans="1:14" s="8" customFormat="1" x14ac:dyDescent="0.3">
      <c r="A13" s="68" t="s">
        <v>17</v>
      </c>
      <c r="B13" s="68" t="s">
        <v>35</v>
      </c>
      <c r="C13" s="68" t="s">
        <v>19</v>
      </c>
      <c r="D13" s="68" t="s">
        <v>20</v>
      </c>
      <c r="E13" s="68" t="s">
        <v>36</v>
      </c>
      <c r="F13" s="68" t="s">
        <v>29</v>
      </c>
      <c r="G13" s="68" t="s">
        <v>37</v>
      </c>
      <c r="H13" s="68" t="s">
        <v>38</v>
      </c>
      <c r="I13" s="68" t="s">
        <v>30</v>
      </c>
    </row>
    <row r="14" spans="1:14" x14ac:dyDescent="0.3">
      <c r="A14" s="1">
        <v>1</v>
      </c>
      <c r="B14" s="42" t="s">
        <v>50</v>
      </c>
      <c r="C14" s="14" t="s">
        <v>204</v>
      </c>
      <c r="D14" s="10">
        <v>1.3</v>
      </c>
      <c r="E14" s="1" t="s">
        <v>44</v>
      </c>
      <c r="F14" s="1">
        <v>1</v>
      </c>
      <c r="G14" s="1" t="s">
        <v>41</v>
      </c>
      <c r="H14" s="1">
        <v>1</v>
      </c>
      <c r="I14" s="10">
        <f>IF('Pinion Gear'!$H14&lt;&gt;"",'Pinion Gear'!$D14*'Pinion Gear'!$F14*'Pinion Gear'!$H14,'Pinion Gear'!$D14*'Pinion Gear'!$F14)</f>
        <v>1.3</v>
      </c>
    </row>
    <row r="15" spans="1:14" x14ac:dyDescent="0.3">
      <c r="A15" s="1">
        <v>2</v>
      </c>
      <c r="B15" s="14" t="s">
        <v>62</v>
      </c>
      <c r="C15" s="14" t="s">
        <v>90</v>
      </c>
      <c r="D15" s="10">
        <v>0.04</v>
      </c>
      <c r="E15" s="1" t="s">
        <v>54</v>
      </c>
      <c r="F15" s="43">
        <v>12.709</v>
      </c>
      <c r="G15" s="1" t="s">
        <v>43</v>
      </c>
      <c r="H15" s="1">
        <v>3</v>
      </c>
      <c r="I15" s="4">
        <f>IF('Pinion Gear'!$H15&lt;&gt;"",'Pinion Gear'!$D15*'Pinion Gear'!$F15*'Pinion Gear'!$H15,'Pinion Gear'!$D15*'Pinion Gear'!$F15)</f>
        <v>1.52508</v>
      </c>
    </row>
    <row r="16" spans="1:14" x14ac:dyDescent="0.3">
      <c r="A16" s="1">
        <v>3</v>
      </c>
      <c r="B16" s="13" t="s">
        <v>91</v>
      </c>
      <c r="C16" s="35" t="s">
        <v>106</v>
      </c>
      <c r="D16" s="10">
        <v>0.65</v>
      </c>
      <c r="E16" s="1" t="s">
        <v>44</v>
      </c>
      <c r="F16" s="1">
        <v>1</v>
      </c>
      <c r="G16" s="1" t="s">
        <v>41</v>
      </c>
      <c r="H16" s="1">
        <v>1</v>
      </c>
      <c r="I16" s="4">
        <f>IF('Pinion Gear'!$H16&lt;&gt;"",'Pinion Gear'!$D16*'Pinion Gear'!$F16*'Pinion Gear'!$H16,'Pinion Gear'!$D16*'Pinion Gear'!$F16)</f>
        <v>0.65</v>
      </c>
    </row>
    <row r="17" spans="1:17" x14ac:dyDescent="0.3">
      <c r="A17" s="1">
        <v>4</v>
      </c>
      <c r="B17" s="14" t="s">
        <v>62</v>
      </c>
      <c r="C17" s="14" t="s">
        <v>93</v>
      </c>
      <c r="D17" s="10">
        <v>0.04</v>
      </c>
      <c r="E17" s="1" t="s">
        <v>54</v>
      </c>
      <c r="F17" s="1">
        <v>7.29</v>
      </c>
      <c r="G17" s="1" t="s">
        <v>43</v>
      </c>
      <c r="H17" s="1">
        <v>3</v>
      </c>
      <c r="I17" s="4">
        <f>IF('Pinion Gear'!$H17&lt;&gt;"",'Pinion Gear'!$D17*'Pinion Gear'!$F17*'Pinion Gear'!$H17,'Pinion Gear'!$D17*'Pinion Gear'!$F17)</f>
        <v>0.87480000000000002</v>
      </c>
    </row>
    <row r="18" spans="1:17" x14ac:dyDescent="0.3">
      <c r="A18" s="1">
        <v>5</v>
      </c>
      <c r="B18" s="13" t="s">
        <v>50</v>
      </c>
      <c r="C18" s="14" t="s">
        <v>107</v>
      </c>
      <c r="D18" s="10">
        <v>1.3</v>
      </c>
      <c r="E18" s="1" t="s">
        <v>44</v>
      </c>
      <c r="F18" s="1">
        <v>1</v>
      </c>
      <c r="G18" s="1" t="s">
        <v>41</v>
      </c>
      <c r="H18" s="1">
        <v>1</v>
      </c>
      <c r="I18" s="4">
        <f>IF('Pinion Gear'!$H18&lt;&gt;"",'Pinion Gear'!$D18*'Pinion Gear'!$F18*'Pinion Gear'!$H18,'Pinion Gear'!$D18*'Pinion Gear'!$F18)</f>
        <v>1.3</v>
      </c>
    </row>
    <row r="19" spans="1:17" x14ac:dyDescent="0.3">
      <c r="A19" s="1">
        <v>6</v>
      </c>
      <c r="B19" s="13" t="s">
        <v>108</v>
      </c>
      <c r="C19" s="14" t="s">
        <v>109</v>
      </c>
      <c r="D19" s="10">
        <v>0.5</v>
      </c>
      <c r="E19" s="1" t="s">
        <v>40</v>
      </c>
      <c r="F19" s="34">
        <v>2.2999999999999998</v>
      </c>
      <c r="G19" s="34" t="s">
        <v>43</v>
      </c>
      <c r="H19" s="34">
        <v>3</v>
      </c>
      <c r="I19" s="4">
        <f>IF('Pinion Gear'!$H19&lt;&gt;"",'Pinion Gear'!$D19*'Pinion Gear'!$F19*'Pinion Gear'!$H19,'Pinion Gear'!$D19*'Pinion Gear'!$F19)</f>
        <v>3.4499999999999997</v>
      </c>
    </row>
    <row r="20" spans="1:17" s="8" customFormat="1" x14ac:dyDescent="0.3">
      <c r="H20" s="74" t="s">
        <v>30</v>
      </c>
      <c r="I20" s="75">
        <f>SUM(I14:I19)</f>
        <v>9.0998799999999989</v>
      </c>
    </row>
    <row r="22" spans="1:17" s="8" customFormat="1" x14ac:dyDescent="0.3">
      <c r="A22" s="68" t="s">
        <v>17</v>
      </c>
      <c r="B22" s="68" t="s">
        <v>45</v>
      </c>
      <c r="C22" s="68" t="s">
        <v>19</v>
      </c>
      <c r="D22" s="68" t="s">
        <v>20</v>
      </c>
      <c r="E22" s="68" t="s">
        <v>21</v>
      </c>
      <c r="F22" s="68" t="s">
        <v>22</v>
      </c>
      <c r="G22" s="68" t="s">
        <v>23</v>
      </c>
      <c r="H22" s="68" t="s">
        <v>24</v>
      </c>
      <c r="I22" s="68" t="s">
        <v>29</v>
      </c>
      <c r="J22" s="68" t="s">
        <v>30</v>
      </c>
    </row>
    <row r="23" spans="1:17" x14ac:dyDescent="0.3">
      <c r="A23" s="1"/>
      <c r="B23" s="1"/>
      <c r="C23" s="1"/>
      <c r="D23" s="1"/>
      <c r="E23" s="1"/>
      <c r="F23" s="16"/>
      <c r="G23" s="1"/>
      <c r="H23" s="14"/>
      <c r="I23" s="17"/>
      <c r="J23" s="10">
        <f>D23*I23</f>
        <v>0</v>
      </c>
    </row>
    <row r="24" spans="1:17" s="8" customFormat="1" x14ac:dyDescent="0.3">
      <c r="I24" s="74" t="s">
        <v>30</v>
      </c>
      <c r="J24" s="75">
        <f>SUM(J23:J23)</f>
        <v>0</v>
      </c>
    </row>
    <row r="25" spans="1:17" x14ac:dyDescent="0.3">
      <c r="H25" s="18"/>
      <c r="I25" s="19"/>
    </row>
    <row r="26" spans="1:17" s="8" customFormat="1" x14ac:dyDescent="0.3">
      <c r="A26" s="68" t="s">
        <v>17</v>
      </c>
      <c r="B26" s="68" t="s">
        <v>46</v>
      </c>
      <c r="C26" s="68" t="s">
        <v>19</v>
      </c>
      <c r="D26" s="68" t="s">
        <v>20</v>
      </c>
      <c r="E26" s="68" t="s">
        <v>36</v>
      </c>
      <c r="F26" s="68" t="s">
        <v>29</v>
      </c>
      <c r="G26" s="68" t="s">
        <v>47</v>
      </c>
      <c r="H26" s="68" t="s">
        <v>48</v>
      </c>
      <c r="I26" s="68" t="s">
        <v>30</v>
      </c>
    </row>
    <row r="27" spans="1:17" x14ac:dyDescent="0.3">
      <c r="A27" s="1"/>
      <c r="B27" s="1"/>
      <c r="C27" s="1"/>
      <c r="D27" s="10"/>
      <c r="E27" s="1"/>
      <c r="F27" s="1"/>
      <c r="G27" s="1"/>
      <c r="H27" s="1"/>
      <c r="I27" s="10">
        <f>D27*F27</f>
        <v>0</v>
      </c>
    </row>
    <row r="28" spans="1:17" s="8" customFormat="1" x14ac:dyDescent="0.3">
      <c r="H28" s="74" t="s">
        <v>30</v>
      </c>
      <c r="I28" s="75">
        <f>SUM(I27)</f>
        <v>0</v>
      </c>
    </row>
    <row r="29" spans="1:17" x14ac:dyDescent="0.3">
      <c r="H29" s="18"/>
      <c r="I29" s="19"/>
    </row>
    <row r="30" spans="1:17" x14ac:dyDescent="0.3">
      <c r="Q30" s="23"/>
    </row>
  </sheetData>
  <hyperlinks>
    <hyperlink ref="J3" location="BOM!A1" display="FileLink1" xr:uid="{00000000-0004-0000-2900-000000000000}"/>
  </hyperlinks>
  <pageMargins left="0.5" right="0.5" top="0.75" bottom="0.75" header="0.3" footer="0.3"/>
  <pageSetup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1">
    <tabColor rgb="FFFFFF00"/>
    <pageSetUpPr fitToPage="1"/>
  </sheetPr>
  <dimension ref="A1:Q30"/>
  <sheetViews>
    <sheetView zoomScale="85" zoomScaleNormal="85" workbookViewId="0">
      <selection activeCell="G21" sqref="G21"/>
    </sheetView>
  </sheetViews>
  <sheetFormatPr defaultColWidth="9.109375" defaultRowHeight="13.8" x14ac:dyDescent="0.3"/>
  <cols>
    <col min="1" max="1" width="9.6640625" style="2" customWidth="1"/>
    <col min="2" max="2" width="31" style="2" customWidth="1"/>
    <col min="3" max="3" width="3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4.44140625" style="2" customWidth="1"/>
    <col min="8" max="8" width="13.88671875" style="2" bestFit="1" customWidth="1"/>
    <col min="9" max="9" width="15.5546875" style="2" bestFit="1" customWidth="1"/>
    <col min="10" max="10" width="12.88671875" style="2" customWidth="1"/>
    <col min="11" max="11" width="14.554687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68" t="s">
        <v>0</v>
      </c>
      <c r="B1" s="1" t="s">
        <v>1</v>
      </c>
      <c r="J1" s="76" t="s">
        <v>2</v>
      </c>
      <c r="K1" s="3">
        <v>254</v>
      </c>
      <c r="M1" s="68" t="s">
        <v>3</v>
      </c>
      <c r="N1" s="4">
        <f>N11+I20+J24+I28</f>
        <v>16.681051255</v>
      </c>
    </row>
    <row r="2" spans="1:14" x14ac:dyDescent="0.3">
      <c r="A2" s="68" t="s">
        <v>4</v>
      </c>
      <c r="B2" s="1" t="s">
        <v>102</v>
      </c>
      <c r="D2" s="68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1" t="s">
        <v>65</v>
      </c>
      <c r="D3" s="68" t="s">
        <v>8</v>
      </c>
      <c r="E3" s="1"/>
      <c r="G3" s="85"/>
      <c r="J3" s="69" t="s">
        <v>5</v>
      </c>
      <c r="K3" s="1" t="s">
        <v>9</v>
      </c>
    </row>
    <row r="4" spans="1:14" x14ac:dyDescent="0.3">
      <c r="A4" s="68" t="s">
        <v>10</v>
      </c>
      <c r="B4" s="6" t="s">
        <v>161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16.681051255</v>
      </c>
    </row>
    <row r="5" spans="1:14" x14ac:dyDescent="0.3">
      <c r="A5" s="68" t="s">
        <v>13</v>
      </c>
      <c r="B5" s="6"/>
      <c r="G5" s="85"/>
      <c r="J5" s="68" t="s">
        <v>11</v>
      </c>
      <c r="K5" s="1"/>
    </row>
    <row r="6" spans="1:14" x14ac:dyDescent="0.3">
      <c r="A6" s="68" t="s">
        <v>14</v>
      </c>
      <c r="B6" s="1" t="s">
        <v>15</v>
      </c>
      <c r="G6" s="85"/>
    </row>
    <row r="7" spans="1:14" x14ac:dyDescent="0.3">
      <c r="A7" s="68" t="s">
        <v>16</v>
      </c>
      <c r="B7" s="1" t="s">
        <v>110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104</v>
      </c>
      <c r="C10" s="1" t="s">
        <v>245</v>
      </c>
      <c r="D10" s="10">
        <v>2.25</v>
      </c>
      <c r="E10" s="66">
        <f>J10*K9:K10*L10</f>
        <v>0.48898278000000001</v>
      </c>
      <c r="F10" s="1" t="s">
        <v>32</v>
      </c>
      <c r="G10" s="1"/>
      <c r="H10" s="11"/>
      <c r="I10" s="12" t="s">
        <v>34</v>
      </c>
      <c r="J10" s="83">
        <v>1.4519999999999999E-3</v>
      </c>
      <c r="K10" s="11">
        <v>4.2900000000000001E-2</v>
      </c>
      <c r="L10" s="11">
        <v>7850</v>
      </c>
      <c r="M10" s="22">
        <v>1</v>
      </c>
      <c r="N10" s="4">
        <f>IF(J10="",D10*M10,D10*J10*K10*L10*M10)</f>
        <v>1.1002112550000001</v>
      </c>
    </row>
    <row r="11" spans="1:14" s="8" customFormat="1" x14ac:dyDescent="0.3">
      <c r="M11" s="74" t="s">
        <v>30</v>
      </c>
      <c r="N11" s="77">
        <f>SUM(N10:N10)</f>
        <v>1.1002112550000001</v>
      </c>
    </row>
    <row r="13" spans="1:14" s="8" customFormat="1" x14ac:dyDescent="0.3">
      <c r="A13" s="68" t="s">
        <v>17</v>
      </c>
      <c r="B13" s="68" t="s">
        <v>35</v>
      </c>
      <c r="C13" s="68" t="s">
        <v>19</v>
      </c>
      <c r="D13" s="68" t="s">
        <v>20</v>
      </c>
      <c r="E13" s="68" t="s">
        <v>36</v>
      </c>
      <c r="F13" s="68" t="s">
        <v>29</v>
      </c>
      <c r="G13" s="68" t="s">
        <v>37</v>
      </c>
      <c r="H13" s="68" t="s">
        <v>38</v>
      </c>
      <c r="I13" s="68" t="s">
        <v>30</v>
      </c>
    </row>
    <row r="14" spans="1:14" x14ac:dyDescent="0.3">
      <c r="A14" s="1">
        <v>1</v>
      </c>
      <c r="B14" s="42" t="s">
        <v>50</v>
      </c>
      <c r="C14" s="14" t="s">
        <v>111</v>
      </c>
      <c r="D14" s="10">
        <v>1.3</v>
      </c>
      <c r="E14" s="1" t="s">
        <v>44</v>
      </c>
      <c r="F14" s="1">
        <v>1</v>
      </c>
      <c r="G14" s="1" t="s">
        <v>41</v>
      </c>
      <c r="H14" s="1">
        <v>1</v>
      </c>
      <c r="I14" s="10">
        <f>IF('Pinion Adapter'!$H14&lt;&gt;"",'Pinion Adapter'!$D14*'Pinion Adapter'!$F14*'Pinion Adapter'!$H14,'Pinion Adapter'!$D14*'Pinion Adapter'!$F14)</f>
        <v>1.3</v>
      </c>
    </row>
    <row r="15" spans="1:14" x14ac:dyDescent="0.3">
      <c r="A15" s="1">
        <v>2</v>
      </c>
      <c r="B15" s="14" t="s">
        <v>62</v>
      </c>
      <c r="C15" s="14" t="s">
        <v>90</v>
      </c>
      <c r="D15" s="10">
        <v>0.04</v>
      </c>
      <c r="E15" s="1" t="s">
        <v>54</v>
      </c>
      <c r="F15" s="43">
        <v>0.56100000000000005</v>
      </c>
      <c r="G15" s="1" t="s">
        <v>43</v>
      </c>
      <c r="H15" s="1">
        <v>3</v>
      </c>
      <c r="I15" s="4">
        <f>IF('Pinion Adapter'!$H15&lt;&gt;"",'Pinion Adapter'!$D15*'Pinion Adapter'!$F15*'Pinion Adapter'!$H15,'Pinion Adapter'!$D15*'Pinion Adapter'!$F15)</f>
        <v>6.7320000000000005E-2</v>
      </c>
    </row>
    <row r="16" spans="1:14" x14ac:dyDescent="0.3">
      <c r="A16" s="1">
        <v>3</v>
      </c>
      <c r="B16" s="42" t="s">
        <v>91</v>
      </c>
      <c r="C16" s="14" t="s">
        <v>112</v>
      </c>
      <c r="D16" s="10">
        <v>0.65</v>
      </c>
      <c r="E16" s="1" t="s">
        <v>44</v>
      </c>
      <c r="F16" s="1">
        <v>1</v>
      </c>
      <c r="G16" s="1" t="s">
        <v>41</v>
      </c>
      <c r="H16" s="1">
        <v>1</v>
      </c>
      <c r="I16" s="4">
        <f>IF('Pinion Adapter'!$H16&lt;&gt;"",'Pinion Adapter'!$D16*'Pinion Adapter'!$F16*'Pinion Adapter'!$H16,'Pinion Adapter'!$D16*'Pinion Adapter'!$F16)</f>
        <v>0.65</v>
      </c>
    </row>
    <row r="17" spans="1:17" ht="14.4" customHeight="1" x14ac:dyDescent="0.3">
      <c r="A17" s="1">
        <v>4</v>
      </c>
      <c r="B17" s="14" t="s">
        <v>62</v>
      </c>
      <c r="C17" s="14" t="s">
        <v>93</v>
      </c>
      <c r="D17" s="10">
        <v>0.04</v>
      </c>
      <c r="E17" s="1" t="s">
        <v>54</v>
      </c>
      <c r="F17" s="43">
        <v>2.1960000000000002</v>
      </c>
      <c r="G17" s="1" t="s">
        <v>43</v>
      </c>
      <c r="H17" s="1">
        <v>3</v>
      </c>
      <c r="I17" s="4">
        <f>IF('Pinion Adapter'!$H17&lt;&gt;"",'Pinion Adapter'!$D17*'Pinion Adapter'!$F17*'Pinion Adapter'!$H17,'Pinion Adapter'!$D17*'Pinion Adapter'!$F17)</f>
        <v>0.26352000000000003</v>
      </c>
    </row>
    <row r="18" spans="1:17" x14ac:dyDescent="0.3">
      <c r="A18" s="1">
        <v>5</v>
      </c>
      <c r="B18" s="79" t="s">
        <v>50</v>
      </c>
      <c r="C18" s="14" t="s">
        <v>113</v>
      </c>
      <c r="D18" s="10">
        <v>1.3</v>
      </c>
      <c r="E18" s="1" t="s">
        <v>44</v>
      </c>
      <c r="F18" s="1">
        <v>1</v>
      </c>
      <c r="G18" s="1" t="s">
        <v>41</v>
      </c>
      <c r="H18" s="1">
        <v>1</v>
      </c>
      <c r="I18" s="4">
        <f>IF('Pinion Adapter'!$H18&lt;&gt;"",'Pinion Adapter'!$D18*'Pinion Adapter'!$F18*'Pinion Adapter'!$H18,'Pinion Adapter'!$D18*'Pinion Adapter'!$F18)</f>
        <v>1.3</v>
      </c>
    </row>
    <row r="19" spans="1:17" x14ac:dyDescent="0.3">
      <c r="A19" s="86">
        <v>6</v>
      </c>
      <c r="B19" s="159" t="s">
        <v>205</v>
      </c>
      <c r="C19" s="87" t="s">
        <v>114</v>
      </c>
      <c r="D19" s="10">
        <v>0.5</v>
      </c>
      <c r="E19" s="1" t="s">
        <v>40</v>
      </c>
      <c r="F19" s="1">
        <v>8</v>
      </c>
      <c r="G19" s="34" t="s">
        <v>43</v>
      </c>
      <c r="H19" s="34">
        <v>3</v>
      </c>
      <c r="I19" s="4">
        <f>IF('Pinion Adapter'!$H19&lt;&gt;"",'Pinion Adapter'!$D19*'Pinion Adapter'!$F19*'Pinion Adapter'!$H19,'Pinion Adapter'!$D19*'Pinion Adapter'!$F19)</f>
        <v>12</v>
      </c>
    </row>
    <row r="20" spans="1:17" s="8" customFormat="1" x14ac:dyDescent="0.3">
      <c r="H20" s="74" t="s">
        <v>30</v>
      </c>
      <c r="I20" s="75">
        <f>SUM(I14:I19)</f>
        <v>15.58084</v>
      </c>
    </row>
    <row r="22" spans="1:17" s="8" customFormat="1" x14ac:dyDescent="0.3">
      <c r="A22" s="68" t="s">
        <v>17</v>
      </c>
      <c r="B22" s="68" t="s">
        <v>45</v>
      </c>
      <c r="C22" s="68" t="s">
        <v>19</v>
      </c>
      <c r="D22" s="68" t="s">
        <v>20</v>
      </c>
      <c r="E22" s="68" t="s">
        <v>21</v>
      </c>
      <c r="F22" s="68" t="s">
        <v>22</v>
      </c>
      <c r="G22" s="68" t="s">
        <v>23</v>
      </c>
      <c r="H22" s="68" t="s">
        <v>24</v>
      </c>
      <c r="I22" s="68" t="s">
        <v>29</v>
      </c>
      <c r="J22" s="68" t="s">
        <v>30</v>
      </c>
    </row>
    <row r="23" spans="1:17" x14ac:dyDescent="0.3">
      <c r="A23" s="1"/>
      <c r="B23" s="1"/>
      <c r="C23" s="1"/>
      <c r="D23" s="1"/>
      <c r="E23" s="1"/>
      <c r="F23" s="16"/>
      <c r="G23" s="1"/>
      <c r="H23" s="14"/>
      <c r="I23" s="17"/>
      <c r="J23" s="10">
        <f>D23*I23</f>
        <v>0</v>
      </c>
    </row>
    <row r="24" spans="1:17" s="8" customFormat="1" x14ac:dyDescent="0.3">
      <c r="I24" s="74" t="s">
        <v>30</v>
      </c>
      <c r="J24" s="75">
        <f>SUM(J23:J23)</f>
        <v>0</v>
      </c>
    </row>
    <row r="25" spans="1:17" x14ac:dyDescent="0.3">
      <c r="H25" s="18"/>
      <c r="I25" s="19"/>
    </row>
    <row r="26" spans="1:17" s="8" customFormat="1" x14ac:dyDescent="0.3">
      <c r="A26" s="68" t="s">
        <v>17</v>
      </c>
      <c r="B26" s="68" t="s">
        <v>46</v>
      </c>
      <c r="C26" s="68" t="s">
        <v>19</v>
      </c>
      <c r="D26" s="68" t="s">
        <v>20</v>
      </c>
      <c r="E26" s="68" t="s">
        <v>36</v>
      </c>
      <c r="F26" s="68" t="s">
        <v>29</v>
      </c>
      <c r="G26" s="68" t="s">
        <v>47</v>
      </c>
      <c r="H26" s="68" t="s">
        <v>48</v>
      </c>
      <c r="I26" s="68" t="s">
        <v>30</v>
      </c>
    </row>
    <row r="27" spans="1:17" x14ac:dyDescent="0.3">
      <c r="A27" s="1"/>
      <c r="B27" s="1"/>
      <c r="C27" s="1"/>
      <c r="D27" s="10"/>
      <c r="E27" s="1"/>
      <c r="F27" s="1"/>
      <c r="G27" s="1"/>
      <c r="H27" s="1"/>
      <c r="I27" s="10">
        <f>D27*F27</f>
        <v>0</v>
      </c>
    </row>
    <row r="28" spans="1:17" s="8" customFormat="1" x14ac:dyDescent="0.3">
      <c r="H28" s="74" t="s">
        <v>30</v>
      </c>
      <c r="I28" s="75">
        <f>SUM(I27)</f>
        <v>0</v>
      </c>
    </row>
    <row r="29" spans="1:17" x14ac:dyDescent="0.3">
      <c r="H29" s="18"/>
      <c r="I29" s="19"/>
    </row>
    <row r="30" spans="1:17" x14ac:dyDescent="0.3">
      <c r="Q30" s="23"/>
    </row>
  </sheetData>
  <hyperlinks>
    <hyperlink ref="J3" location="BOM!A1" display="FileLink1" xr:uid="{00000000-0004-0000-2A00-000000000000}"/>
  </hyperlinks>
  <pageMargins left="0.5" right="0.5" top="0.75" bottom="0.75" header="0.3" footer="0.3"/>
  <pageSetup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3">
    <tabColor rgb="FFFFFF00"/>
    <pageSetUpPr fitToPage="1"/>
  </sheetPr>
  <dimension ref="A1:Q32"/>
  <sheetViews>
    <sheetView zoomScale="93" zoomScaleNormal="93" workbookViewId="0">
      <selection activeCell="G18" sqref="G18"/>
    </sheetView>
  </sheetViews>
  <sheetFormatPr defaultColWidth="9.109375" defaultRowHeight="13.8" x14ac:dyDescent="0.3"/>
  <cols>
    <col min="1" max="1" width="9.6640625" style="2" customWidth="1"/>
    <col min="2" max="2" width="35.33203125" style="2" customWidth="1"/>
    <col min="3" max="3" width="46.109375" style="2" customWidth="1"/>
    <col min="4" max="4" width="13.5546875" style="2" bestFit="1" customWidth="1"/>
    <col min="5" max="5" width="14.109375" style="2" bestFit="1" customWidth="1"/>
    <col min="6" max="6" width="13.5546875" style="2" customWidth="1"/>
    <col min="7" max="7" width="15.44140625" style="2" customWidth="1"/>
    <col min="8" max="8" width="13.88671875" style="2" bestFit="1" customWidth="1"/>
    <col min="9" max="9" width="15.5546875" style="2" bestFit="1" customWidth="1"/>
    <col min="10" max="10" width="12.88671875" style="2" customWidth="1"/>
    <col min="11" max="11" width="14.44140625" style="2" customWidth="1"/>
    <col min="12" max="12" width="13.88671875" style="2" customWidth="1"/>
    <col min="13" max="13" width="16.5546875" style="2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68" t="s">
        <v>0</v>
      </c>
      <c r="B1" s="34" t="s">
        <v>1</v>
      </c>
      <c r="J1" s="76" t="s">
        <v>2</v>
      </c>
      <c r="K1" s="3">
        <v>254</v>
      </c>
      <c r="M1" s="68" t="s">
        <v>3</v>
      </c>
      <c r="N1" s="4">
        <f>N11+I23+J27+I31</f>
        <v>13.786879482500002</v>
      </c>
    </row>
    <row r="2" spans="1:14" x14ac:dyDescent="0.3">
      <c r="A2" s="68" t="s">
        <v>4</v>
      </c>
      <c r="B2" s="34" t="s">
        <v>64</v>
      </c>
      <c r="D2" s="68" t="s">
        <v>5</v>
      </c>
      <c r="E2" s="1"/>
      <c r="M2" s="68" t="s">
        <v>6</v>
      </c>
      <c r="N2" s="5">
        <v>1</v>
      </c>
    </row>
    <row r="3" spans="1:14" ht="14.4" x14ac:dyDescent="0.3">
      <c r="A3" s="68" t="s">
        <v>7</v>
      </c>
      <c r="B3" s="34" t="s">
        <v>65</v>
      </c>
      <c r="D3" s="68" t="s">
        <v>8</v>
      </c>
      <c r="E3" s="1"/>
      <c r="J3" s="69" t="s">
        <v>5</v>
      </c>
      <c r="K3" s="1" t="s">
        <v>9</v>
      </c>
    </row>
    <row r="4" spans="1:14" x14ac:dyDescent="0.3">
      <c r="A4" s="68" t="s">
        <v>10</v>
      </c>
      <c r="B4" s="62" t="s">
        <v>69</v>
      </c>
      <c r="D4" s="68" t="s">
        <v>11</v>
      </c>
      <c r="E4" s="1"/>
      <c r="J4" s="68" t="s">
        <v>8</v>
      </c>
      <c r="K4" s="1"/>
      <c r="M4" s="68" t="s">
        <v>12</v>
      </c>
      <c r="N4" s="4">
        <f>N1*N2</f>
        <v>13.786879482500002</v>
      </c>
    </row>
    <row r="5" spans="1:14" x14ac:dyDescent="0.3">
      <c r="A5" s="68" t="s">
        <v>13</v>
      </c>
      <c r="B5" s="62"/>
      <c r="J5" s="68" t="s">
        <v>11</v>
      </c>
      <c r="K5" s="1"/>
    </row>
    <row r="6" spans="1:14" x14ac:dyDescent="0.3">
      <c r="A6" s="68" t="s">
        <v>14</v>
      </c>
      <c r="B6" s="34" t="s">
        <v>15</v>
      </c>
    </row>
    <row r="7" spans="1:14" ht="27.6" x14ac:dyDescent="0.3">
      <c r="A7" s="68" t="s">
        <v>16</v>
      </c>
      <c r="B7" s="73" t="s">
        <v>115</v>
      </c>
    </row>
    <row r="9" spans="1:14" s="8" customFormat="1" x14ac:dyDescent="0.3">
      <c r="A9" s="68" t="s">
        <v>17</v>
      </c>
      <c r="B9" s="68" t="s">
        <v>18</v>
      </c>
      <c r="C9" s="68" t="s">
        <v>19</v>
      </c>
      <c r="D9" s="68" t="s">
        <v>20</v>
      </c>
      <c r="E9" s="68" t="s">
        <v>21</v>
      </c>
      <c r="F9" s="68" t="s">
        <v>22</v>
      </c>
      <c r="G9" s="68" t="s">
        <v>23</v>
      </c>
      <c r="H9" s="68" t="s">
        <v>24</v>
      </c>
      <c r="I9" s="68" t="s">
        <v>25</v>
      </c>
      <c r="J9" s="68" t="s">
        <v>26</v>
      </c>
      <c r="K9" s="68" t="s">
        <v>27</v>
      </c>
      <c r="L9" s="68" t="s">
        <v>28</v>
      </c>
      <c r="M9" s="68" t="s">
        <v>29</v>
      </c>
      <c r="N9" s="68" t="s">
        <v>30</v>
      </c>
    </row>
    <row r="10" spans="1:14" x14ac:dyDescent="0.3">
      <c r="A10" s="1">
        <v>1</v>
      </c>
      <c r="B10" s="1" t="s">
        <v>88</v>
      </c>
      <c r="C10" s="1" t="s">
        <v>206</v>
      </c>
      <c r="D10" s="10">
        <v>2.25</v>
      </c>
      <c r="E10" s="36">
        <f>J10*K10*L10</f>
        <v>0.23119977</v>
      </c>
      <c r="F10" s="1" t="s">
        <v>32</v>
      </c>
      <c r="G10" s="1"/>
      <c r="H10" s="11"/>
      <c r="I10" s="12" t="s">
        <v>116</v>
      </c>
      <c r="J10" s="83">
        <f>490.87/1000000</f>
        <v>4.9087000000000002E-4</v>
      </c>
      <c r="K10" s="11">
        <v>0.06</v>
      </c>
      <c r="L10" s="11">
        <v>7850</v>
      </c>
      <c r="M10" s="22">
        <v>1</v>
      </c>
      <c r="N10" s="4">
        <f>M10*E10*D10</f>
        <v>0.52019948250000003</v>
      </c>
    </row>
    <row r="11" spans="1:14" s="8" customFormat="1" x14ac:dyDescent="0.3">
      <c r="M11" s="74" t="s">
        <v>30</v>
      </c>
      <c r="N11" s="77">
        <f>SUM(N10:N10)</f>
        <v>0.52019948250000003</v>
      </c>
    </row>
    <row r="13" spans="1:14" s="8" customFormat="1" x14ac:dyDescent="0.3">
      <c r="A13" s="68" t="s">
        <v>17</v>
      </c>
      <c r="B13" s="68" t="s">
        <v>35</v>
      </c>
      <c r="C13" s="68" t="s">
        <v>19</v>
      </c>
      <c r="D13" s="68" t="s">
        <v>20</v>
      </c>
      <c r="E13" s="68" t="s">
        <v>36</v>
      </c>
      <c r="F13" s="68" t="s">
        <v>29</v>
      </c>
      <c r="G13" s="68" t="s">
        <v>37</v>
      </c>
      <c r="H13" s="68" t="s">
        <v>38</v>
      </c>
      <c r="I13" s="68" t="s">
        <v>30</v>
      </c>
    </row>
    <row r="14" spans="1:14" x14ac:dyDescent="0.3">
      <c r="A14" s="1">
        <v>1</v>
      </c>
      <c r="B14" s="42" t="s">
        <v>50</v>
      </c>
      <c r="C14" s="55" t="s">
        <v>111</v>
      </c>
      <c r="D14" s="40">
        <v>1.3</v>
      </c>
      <c r="E14" s="39" t="s">
        <v>44</v>
      </c>
      <c r="F14" s="39">
        <v>1</v>
      </c>
      <c r="G14" s="39" t="s">
        <v>41</v>
      </c>
      <c r="H14" s="39">
        <v>1</v>
      </c>
      <c r="I14" s="40">
        <f>IF(Coupler!$H14&lt;&gt;"",Coupler!$D14*Coupler!$F14*Coupler!$H14,Coupler!$D14*Coupler!$F14)</f>
        <v>1.3</v>
      </c>
    </row>
    <row r="15" spans="1:14" x14ac:dyDescent="0.3">
      <c r="A15" s="39">
        <v>2</v>
      </c>
      <c r="B15" s="55" t="s">
        <v>62</v>
      </c>
      <c r="C15" s="55" t="s">
        <v>117</v>
      </c>
      <c r="D15" s="40">
        <v>0.04</v>
      </c>
      <c r="E15" s="39" t="s">
        <v>54</v>
      </c>
      <c r="F15" s="39">
        <v>1.1519999999999999</v>
      </c>
      <c r="G15" s="39" t="s">
        <v>43</v>
      </c>
      <c r="H15" s="39">
        <v>3</v>
      </c>
      <c r="I15" s="40">
        <f>D15*F15*H15</f>
        <v>0.13823999999999997</v>
      </c>
    </row>
    <row r="16" spans="1:14" x14ac:dyDescent="0.3">
      <c r="A16" s="39">
        <v>3</v>
      </c>
      <c r="B16" s="41" t="s">
        <v>91</v>
      </c>
      <c r="C16" s="38" t="s">
        <v>207</v>
      </c>
      <c r="D16" s="88">
        <v>0.65</v>
      </c>
      <c r="E16" s="39" t="s">
        <v>44</v>
      </c>
      <c r="F16" s="39">
        <v>1</v>
      </c>
      <c r="G16" s="39" t="s">
        <v>41</v>
      </c>
      <c r="H16" s="39">
        <v>1</v>
      </c>
      <c r="I16" s="40">
        <f>IF(Coupler!$H16&lt;&gt;"",Coupler!$D16*Coupler!$F16*Coupler!$H16,Coupler!$D16*Coupler!$F16)</f>
        <v>0.65</v>
      </c>
    </row>
    <row r="17" spans="1:17" ht="15.75" customHeight="1" x14ac:dyDescent="0.3">
      <c r="A17" s="39">
        <v>4</v>
      </c>
      <c r="B17" s="55" t="s">
        <v>62</v>
      </c>
      <c r="C17" s="38" t="s">
        <v>119</v>
      </c>
      <c r="D17" s="40">
        <v>0.04</v>
      </c>
      <c r="E17" s="39" t="s">
        <v>54</v>
      </c>
      <c r="F17" s="39">
        <v>1.1519999999999999</v>
      </c>
      <c r="G17" s="39" t="s">
        <v>43</v>
      </c>
      <c r="H17" s="39">
        <v>3</v>
      </c>
      <c r="I17" s="40">
        <f>IF(Coupler!$H17&lt;&gt;"",Coupler!$D17*Coupler!$F17*Coupler!$H17,Coupler!$D17*Coupler!$F17)</f>
        <v>0.13823999999999997</v>
      </c>
    </row>
    <row r="18" spans="1:17" ht="15.75" customHeight="1" x14ac:dyDescent="0.3">
      <c r="A18" s="39">
        <v>5</v>
      </c>
      <c r="B18" s="41" t="s">
        <v>79</v>
      </c>
      <c r="C18" s="38" t="s">
        <v>120</v>
      </c>
      <c r="D18" s="40">
        <v>0.35</v>
      </c>
      <c r="E18" s="39" t="s">
        <v>61</v>
      </c>
      <c r="F18" s="39">
        <v>1</v>
      </c>
      <c r="G18" s="58" t="s">
        <v>240</v>
      </c>
      <c r="H18" s="39">
        <v>1.5</v>
      </c>
      <c r="I18" s="40">
        <f>IF(Coupler!$H18&lt;&gt;"",Coupler!$D18*Coupler!$F18*Coupler!$H18,Coupler!$D18*Coupler!$F18)</f>
        <v>0.52499999999999991</v>
      </c>
    </row>
    <row r="19" spans="1:17" x14ac:dyDescent="0.3">
      <c r="A19" s="39">
        <v>6</v>
      </c>
      <c r="B19" s="72" t="s">
        <v>50</v>
      </c>
      <c r="C19" s="38" t="s">
        <v>121</v>
      </c>
      <c r="D19" s="40">
        <v>1.3</v>
      </c>
      <c r="E19" s="39" t="s">
        <v>44</v>
      </c>
      <c r="F19" s="39">
        <v>1</v>
      </c>
      <c r="G19" s="58" t="s">
        <v>41</v>
      </c>
      <c r="H19" s="39">
        <v>1</v>
      </c>
      <c r="I19" s="40">
        <f>IF(Coupler!$H19&lt;&gt;"",Coupler!$D19*Coupler!$F19*Coupler!$H19,Coupler!$D19*Coupler!$F19)</f>
        <v>1.3</v>
      </c>
    </row>
    <row r="20" spans="1:17" x14ac:dyDescent="0.3">
      <c r="A20" s="39">
        <v>7</v>
      </c>
      <c r="B20" s="41" t="s">
        <v>62</v>
      </c>
      <c r="C20" s="89" t="s">
        <v>122</v>
      </c>
      <c r="D20" s="40">
        <v>0.04</v>
      </c>
      <c r="E20" s="39" t="s">
        <v>54</v>
      </c>
      <c r="F20" s="39">
        <v>0.96</v>
      </c>
      <c r="G20" s="58" t="s">
        <v>43</v>
      </c>
      <c r="H20" s="39">
        <v>3</v>
      </c>
      <c r="I20" s="40">
        <f>IF(Coupler!$H20&lt;&gt;"",Coupler!$D20*Coupler!$F20*Coupler!$H20,Coupler!$D20*Coupler!$F20)</f>
        <v>0.1152</v>
      </c>
    </row>
    <row r="21" spans="1:17" x14ac:dyDescent="0.3">
      <c r="A21" s="39">
        <v>8</v>
      </c>
      <c r="B21" s="72" t="s">
        <v>50</v>
      </c>
      <c r="C21" s="38" t="s">
        <v>208</v>
      </c>
      <c r="D21" s="40">
        <v>1.3</v>
      </c>
      <c r="E21" s="39" t="s">
        <v>44</v>
      </c>
      <c r="F21" s="39">
        <v>1</v>
      </c>
      <c r="G21" s="58" t="s">
        <v>41</v>
      </c>
      <c r="H21" s="39">
        <v>1</v>
      </c>
      <c r="I21" s="40">
        <f>IF(Coupler!$H21&lt;&gt;"",Coupler!$D21*Coupler!$F21*Coupler!$H21,Coupler!$D21*Coupler!$F21)</f>
        <v>1.3</v>
      </c>
    </row>
    <row r="22" spans="1:17" ht="16.5" customHeight="1" x14ac:dyDescent="0.3">
      <c r="A22" s="39">
        <v>9</v>
      </c>
      <c r="B22" s="41" t="s">
        <v>123</v>
      </c>
      <c r="C22" s="89" t="s">
        <v>124</v>
      </c>
      <c r="D22" s="40">
        <v>0.5</v>
      </c>
      <c r="E22" s="39" t="s">
        <v>40</v>
      </c>
      <c r="F22" s="39">
        <v>5.2</v>
      </c>
      <c r="G22" s="58" t="s">
        <v>43</v>
      </c>
      <c r="H22" s="39">
        <v>3</v>
      </c>
      <c r="I22" s="40">
        <f>IF(Coupler!$H22&lt;&gt;"",Coupler!$D22*Coupler!$F22*Coupler!$H22,Coupler!$D22*Coupler!$F22)</f>
        <v>7.8000000000000007</v>
      </c>
    </row>
    <row r="23" spans="1:17" s="8" customFormat="1" x14ac:dyDescent="0.3">
      <c r="H23" s="70" t="s">
        <v>30</v>
      </c>
      <c r="I23" s="71">
        <f>SUM(I14:I22)</f>
        <v>13.266680000000001</v>
      </c>
    </row>
    <row r="25" spans="1:17" s="8" customFormat="1" x14ac:dyDescent="0.3">
      <c r="A25" s="90" t="s">
        <v>17</v>
      </c>
      <c r="B25" s="90" t="s">
        <v>45</v>
      </c>
      <c r="C25" s="90" t="s">
        <v>19</v>
      </c>
      <c r="D25" s="90" t="s">
        <v>20</v>
      </c>
      <c r="E25" s="90" t="s">
        <v>21</v>
      </c>
      <c r="F25" s="90" t="s">
        <v>22</v>
      </c>
      <c r="G25" s="90" t="s">
        <v>23</v>
      </c>
      <c r="H25" s="90" t="s">
        <v>24</v>
      </c>
      <c r="I25" s="90" t="s">
        <v>29</v>
      </c>
      <c r="J25" s="90" t="s">
        <v>30</v>
      </c>
    </row>
    <row r="26" spans="1:17" x14ac:dyDescent="0.3">
      <c r="A26" s="39"/>
      <c r="B26" s="39"/>
      <c r="C26" s="39"/>
      <c r="D26" s="39"/>
      <c r="E26" s="39"/>
      <c r="F26" s="54"/>
      <c r="G26" s="39"/>
      <c r="H26" s="55"/>
      <c r="I26" s="56"/>
      <c r="J26" s="40">
        <f>D26*I26</f>
        <v>0</v>
      </c>
    </row>
    <row r="27" spans="1:17" s="8" customFormat="1" x14ac:dyDescent="0.3">
      <c r="I27" s="91" t="s">
        <v>30</v>
      </c>
      <c r="J27" s="92">
        <f>SUM(J26:J26)</f>
        <v>0</v>
      </c>
    </row>
    <row r="28" spans="1:17" x14ac:dyDescent="0.3">
      <c r="H28" s="18"/>
      <c r="I28" s="19"/>
    </row>
    <row r="29" spans="1:17" s="8" customFormat="1" x14ac:dyDescent="0.3">
      <c r="A29" s="90" t="s">
        <v>17</v>
      </c>
      <c r="B29" s="90" t="s">
        <v>46</v>
      </c>
      <c r="C29" s="90" t="s">
        <v>19</v>
      </c>
      <c r="D29" s="90" t="s">
        <v>20</v>
      </c>
      <c r="E29" s="90" t="s">
        <v>36</v>
      </c>
      <c r="F29" s="90" t="s">
        <v>29</v>
      </c>
      <c r="G29" s="90" t="s">
        <v>47</v>
      </c>
      <c r="H29" s="90" t="s">
        <v>48</v>
      </c>
      <c r="I29" s="90" t="s">
        <v>30</v>
      </c>
    </row>
    <row r="30" spans="1:17" x14ac:dyDescent="0.3">
      <c r="A30" s="39"/>
      <c r="B30" s="39"/>
      <c r="C30" s="39"/>
      <c r="D30" s="40"/>
      <c r="E30" s="39"/>
      <c r="F30" s="39"/>
      <c r="G30" s="39"/>
      <c r="H30" s="39"/>
      <c r="I30" s="40">
        <f>D30*F30</f>
        <v>0</v>
      </c>
      <c r="Q30" s="23"/>
    </row>
    <row r="31" spans="1:17" s="8" customFormat="1" x14ac:dyDescent="0.3">
      <c r="H31" s="91" t="s">
        <v>30</v>
      </c>
      <c r="I31" s="93">
        <f>SUM(I30:I30)</f>
        <v>0</v>
      </c>
    </row>
    <row r="32" spans="1:17" x14ac:dyDescent="0.3">
      <c r="H32" s="18"/>
      <c r="I32" s="19"/>
    </row>
  </sheetData>
  <hyperlinks>
    <hyperlink ref="J3" location="BOM!A1" display="FileLink1" xr:uid="{00000000-0004-0000-2C00-000000000000}"/>
  </hyperlinks>
  <pageMargins left="0.5" right="0.5" top="0.75" bottom="0.75" header="0.3" footer="0.3"/>
  <pageSetup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C7E74-8A72-4EE2-AFFA-FEF1FF9EF2A4}">
  <sheetPr>
    <tabColor rgb="FFFFFF0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5">
    <tabColor rgb="FFFFFF00"/>
    <pageSetUpPr fitToPage="1"/>
  </sheetPr>
  <dimension ref="A1:Q30"/>
  <sheetViews>
    <sheetView topLeftCell="A2" zoomScale="93" zoomScaleNormal="93" workbookViewId="0">
      <selection activeCell="H18" sqref="H18"/>
    </sheetView>
  </sheetViews>
  <sheetFormatPr defaultColWidth="8.88671875" defaultRowHeight="13.8" x14ac:dyDescent="0.3"/>
  <cols>
    <col min="1" max="1" width="15" style="2" bestFit="1" customWidth="1"/>
    <col min="2" max="2" width="36.33203125" style="2" customWidth="1"/>
    <col min="3" max="3" width="38" style="2" customWidth="1"/>
    <col min="4" max="4" width="13.44140625" style="2" bestFit="1" customWidth="1"/>
    <col min="5" max="5" width="14.109375" style="2" bestFit="1" customWidth="1"/>
    <col min="6" max="6" width="12" style="2" bestFit="1" customWidth="1"/>
    <col min="7" max="7" width="15.33203125" style="2" customWidth="1"/>
    <col min="8" max="8" width="13.88671875" style="2" bestFit="1" customWidth="1"/>
    <col min="9" max="9" width="15.44140625" style="2" customWidth="1"/>
    <col min="10" max="10" width="13.88671875" style="2" bestFit="1" customWidth="1"/>
    <col min="11" max="11" width="12.6640625" style="2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8.88671875" style="2"/>
    <col min="16" max="16" width="9.44140625" style="2" bestFit="1" customWidth="1"/>
    <col min="17" max="18" width="8.88671875" style="2"/>
    <col min="19" max="19" width="10.44140625" style="2" bestFit="1" customWidth="1"/>
    <col min="20" max="20" width="9.44140625" style="2" bestFit="1" customWidth="1"/>
    <col min="21" max="21" width="8.88671875" style="2"/>
    <col min="22" max="22" width="9.44140625" style="2" bestFit="1" customWidth="1"/>
    <col min="23" max="23" width="8.88671875" style="2"/>
    <col min="24" max="25" width="10.109375" style="2" bestFit="1" customWidth="1"/>
    <col min="26" max="28" width="9.33203125" style="2" bestFit="1" customWidth="1"/>
    <col min="29" max="16384" width="8.88671875" style="2"/>
  </cols>
  <sheetData>
    <row r="1" spans="1:14" x14ac:dyDescent="0.3">
      <c r="A1" s="90" t="s">
        <v>0</v>
      </c>
      <c r="B1" s="39" t="s">
        <v>1</v>
      </c>
      <c r="J1" s="76" t="s">
        <v>2</v>
      </c>
      <c r="K1" s="44">
        <v>254</v>
      </c>
      <c r="M1" s="90" t="s">
        <v>3</v>
      </c>
      <c r="N1" s="45">
        <f>N11+I18+J22+I26</f>
        <v>5.519768</v>
      </c>
    </row>
    <row r="2" spans="1:14" x14ac:dyDescent="0.3">
      <c r="A2" s="90" t="s">
        <v>4</v>
      </c>
      <c r="B2" s="39" t="s">
        <v>64</v>
      </c>
      <c r="D2" s="90" t="s">
        <v>5</v>
      </c>
      <c r="E2" s="39"/>
      <c r="M2" s="90" t="s">
        <v>6</v>
      </c>
      <c r="N2" s="160">
        <v>2</v>
      </c>
    </row>
    <row r="3" spans="1:14" ht="14.4" x14ac:dyDescent="0.3">
      <c r="A3" s="90" t="s">
        <v>7</v>
      </c>
      <c r="B3" s="39" t="s">
        <v>125</v>
      </c>
      <c r="D3" s="90" t="s">
        <v>8</v>
      </c>
      <c r="E3" s="39"/>
      <c r="J3" s="94" t="s">
        <v>5</v>
      </c>
      <c r="K3" s="39" t="s">
        <v>9</v>
      </c>
    </row>
    <row r="4" spans="1:14" x14ac:dyDescent="0.3">
      <c r="A4" s="90" t="s">
        <v>10</v>
      </c>
      <c r="B4" s="47" t="s">
        <v>71</v>
      </c>
      <c r="D4" s="90" t="s">
        <v>11</v>
      </c>
      <c r="E4" s="39"/>
      <c r="J4" s="90" t="s">
        <v>8</v>
      </c>
      <c r="K4" s="39"/>
      <c r="M4" s="90" t="s">
        <v>12</v>
      </c>
      <c r="N4" s="45">
        <f>N1*N2</f>
        <v>11.039536</v>
      </c>
    </row>
    <row r="5" spans="1:14" x14ac:dyDescent="0.3">
      <c r="A5" s="90" t="s">
        <v>13</v>
      </c>
      <c r="B5" s="47"/>
      <c r="J5" s="90" t="s">
        <v>11</v>
      </c>
      <c r="K5" s="39"/>
    </row>
    <row r="6" spans="1:14" x14ac:dyDescent="0.3">
      <c r="A6" s="90" t="s">
        <v>14</v>
      </c>
      <c r="B6" s="39" t="s">
        <v>15</v>
      </c>
    </row>
    <row r="7" spans="1:14" ht="27.6" x14ac:dyDescent="0.3">
      <c r="A7" s="90" t="s">
        <v>16</v>
      </c>
      <c r="B7" s="48" t="s">
        <v>209</v>
      </c>
    </row>
    <row r="8" spans="1:14" ht="37.200000000000003" customHeight="1" x14ac:dyDescent="0.3"/>
    <row r="9" spans="1:14" s="8" customFormat="1" x14ac:dyDescent="0.3">
      <c r="A9" s="90" t="s">
        <v>17</v>
      </c>
      <c r="B9" s="90" t="s">
        <v>18</v>
      </c>
      <c r="C9" s="90" t="s">
        <v>19</v>
      </c>
      <c r="D9" s="90" t="s">
        <v>20</v>
      </c>
      <c r="E9" s="90" t="s">
        <v>21</v>
      </c>
      <c r="F9" s="90" t="s">
        <v>22</v>
      </c>
      <c r="G9" s="90" t="s">
        <v>23</v>
      </c>
      <c r="H9" s="90" t="s">
        <v>24</v>
      </c>
      <c r="I9" s="90" t="s">
        <v>25</v>
      </c>
      <c r="J9" s="90" t="s">
        <v>26</v>
      </c>
      <c r="K9" s="90" t="s">
        <v>27</v>
      </c>
      <c r="L9" s="90" t="s">
        <v>28</v>
      </c>
      <c r="M9" s="90" t="s">
        <v>29</v>
      </c>
      <c r="N9" s="90" t="s">
        <v>30</v>
      </c>
    </row>
    <row r="10" spans="1:14" x14ac:dyDescent="0.3">
      <c r="A10" s="39">
        <v>1</v>
      </c>
      <c r="B10" s="39" t="s">
        <v>126</v>
      </c>
      <c r="C10" s="48" t="s">
        <v>214</v>
      </c>
      <c r="D10" s="40">
        <v>4.2</v>
      </c>
      <c r="E10" s="57">
        <f>J10*K10*L10</f>
        <v>0.14904000000000001</v>
      </c>
      <c r="F10" s="39" t="s">
        <v>49</v>
      </c>
      <c r="G10" s="39"/>
      <c r="H10" s="50"/>
      <c r="I10" s="51" t="s">
        <v>34</v>
      </c>
      <c r="J10" s="61">
        <v>1.8400000000000001E-3</v>
      </c>
      <c r="K10" s="52">
        <v>0.03</v>
      </c>
      <c r="L10" s="95">
        <v>2700</v>
      </c>
      <c r="M10" s="96">
        <v>1</v>
      </c>
      <c r="N10" s="45">
        <f>D10*M10*E10</f>
        <v>0.62596800000000008</v>
      </c>
    </row>
    <row r="11" spans="1:14" s="8" customFormat="1" x14ac:dyDescent="0.3">
      <c r="M11" s="91" t="s">
        <v>30</v>
      </c>
      <c r="N11" s="97">
        <f>SUM(N10:N10)</f>
        <v>0.62596800000000008</v>
      </c>
    </row>
    <row r="13" spans="1:14" s="8" customFormat="1" x14ac:dyDescent="0.3">
      <c r="A13" s="90" t="s">
        <v>17</v>
      </c>
      <c r="B13" s="90" t="s">
        <v>35</v>
      </c>
      <c r="C13" s="90" t="s">
        <v>19</v>
      </c>
      <c r="D13" s="90" t="s">
        <v>20</v>
      </c>
      <c r="E13" s="90" t="s">
        <v>36</v>
      </c>
      <c r="F13" s="90" t="s">
        <v>29</v>
      </c>
      <c r="G13" s="90" t="s">
        <v>37</v>
      </c>
      <c r="H13" s="90" t="s">
        <v>38</v>
      </c>
      <c r="I13" s="90" t="s">
        <v>30</v>
      </c>
    </row>
    <row r="14" spans="1:14" ht="27.6" x14ac:dyDescent="0.3">
      <c r="A14" s="39">
        <v>1</v>
      </c>
      <c r="B14" s="55" t="s">
        <v>50</v>
      </c>
      <c r="C14" s="38" t="s">
        <v>213</v>
      </c>
      <c r="D14" s="40">
        <v>1.3</v>
      </c>
      <c r="E14" s="39" t="s">
        <v>44</v>
      </c>
      <c r="F14" s="39">
        <v>1</v>
      </c>
      <c r="G14" s="39" t="s">
        <v>41</v>
      </c>
      <c r="H14" s="39">
        <v>1</v>
      </c>
      <c r="I14" s="40">
        <f>IF('Upper Rack Clamps'!$H14&lt;&gt;"",'Upper Rack Clamps'!$D14*'Upper Rack Clamps'!$F14*'Upper Rack Clamps'!$H14,'Upper Rack Clamps'!$D14*'Upper Rack Clamps'!$F14)</f>
        <v>1.3</v>
      </c>
    </row>
    <row r="15" spans="1:14" ht="12.75" customHeight="1" x14ac:dyDescent="0.3">
      <c r="A15" s="39">
        <v>2</v>
      </c>
      <c r="B15" s="55" t="s">
        <v>62</v>
      </c>
      <c r="C15" s="38" t="s">
        <v>127</v>
      </c>
      <c r="D15" s="40">
        <v>0.04</v>
      </c>
      <c r="E15" s="39" t="s">
        <v>54</v>
      </c>
      <c r="F15" s="65">
        <v>47.344999999999999</v>
      </c>
      <c r="G15" s="39" t="s">
        <v>59</v>
      </c>
      <c r="H15" s="39">
        <v>1</v>
      </c>
      <c r="I15" s="45">
        <f>IF('Upper Rack Clamps'!$H15&lt;&gt;"",'Upper Rack Clamps'!$D15*'Upper Rack Clamps'!$F15*'Upper Rack Clamps'!$H15,'Upper Rack Clamps'!$D15*'Upper Rack Clamps'!$F15)</f>
        <v>1.8937999999999999</v>
      </c>
    </row>
    <row r="16" spans="1:14" ht="12.75" customHeight="1" x14ac:dyDescent="0.3">
      <c r="A16" s="39">
        <v>3</v>
      </c>
      <c r="B16" s="38" t="s">
        <v>91</v>
      </c>
      <c r="C16" s="38" t="s">
        <v>210</v>
      </c>
      <c r="D16" s="40">
        <v>0.65</v>
      </c>
      <c r="E16" s="39" t="s">
        <v>44</v>
      </c>
      <c r="F16" s="39">
        <v>1</v>
      </c>
      <c r="G16" s="39" t="s">
        <v>41</v>
      </c>
      <c r="H16" s="39">
        <v>1</v>
      </c>
      <c r="I16" s="45">
        <f>IF('Upper Rack Clamps'!$H16&lt;&gt;"",'Upper Rack Clamps'!$D16*'Upper Rack Clamps'!$F16*'Upper Rack Clamps'!$H16,'Upper Rack Clamps'!$D16*'Upper Rack Clamps'!$F16)</f>
        <v>0.65</v>
      </c>
    </row>
    <row r="17" spans="1:17" ht="27.6" x14ac:dyDescent="0.3">
      <c r="A17" s="39">
        <v>4</v>
      </c>
      <c r="B17" s="41" t="s">
        <v>79</v>
      </c>
      <c r="C17" s="38" t="s">
        <v>211</v>
      </c>
      <c r="D17" s="40">
        <v>0.35</v>
      </c>
      <c r="E17" s="39" t="s">
        <v>61</v>
      </c>
      <c r="F17" s="65">
        <v>2</v>
      </c>
      <c r="G17" s="58" t="s">
        <v>240</v>
      </c>
      <c r="H17" s="39">
        <v>1.5</v>
      </c>
      <c r="I17" s="45">
        <f>IF('Upper Rack Clamps'!$H17&lt;&gt;"",'Upper Rack Clamps'!$D17*'Upper Rack Clamps'!$F17*'Upper Rack Clamps'!$H17,'Upper Rack Clamps'!$D17*'Upper Rack Clamps'!$F17)</f>
        <v>1.0499999999999998</v>
      </c>
    </row>
    <row r="18" spans="1:17" s="8" customFormat="1" x14ac:dyDescent="0.3">
      <c r="H18" s="91" t="s">
        <v>30</v>
      </c>
      <c r="I18" s="92">
        <f>SUM(I14:I17)</f>
        <v>4.8937999999999997</v>
      </c>
    </row>
    <row r="20" spans="1:17" s="8" customFormat="1" x14ac:dyDescent="0.3">
      <c r="A20" s="90" t="s">
        <v>17</v>
      </c>
      <c r="B20" s="90" t="s">
        <v>45</v>
      </c>
      <c r="C20" s="90" t="s">
        <v>19</v>
      </c>
      <c r="D20" s="90" t="s">
        <v>20</v>
      </c>
      <c r="E20" s="90" t="s">
        <v>21</v>
      </c>
      <c r="F20" s="90" t="s">
        <v>22</v>
      </c>
      <c r="G20" s="90" t="s">
        <v>23</v>
      </c>
      <c r="H20" s="90" t="s">
        <v>24</v>
      </c>
      <c r="I20" s="90" t="s">
        <v>29</v>
      </c>
      <c r="J20" s="90" t="s">
        <v>30</v>
      </c>
    </row>
    <row r="21" spans="1:17" x14ac:dyDescent="0.3">
      <c r="A21" s="39"/>
      <c r="B21" s="39"/>
      <c r="C21" s="39"/>
      <c r="D21" s="39"/>
      <c r="E21" s="39"/>
      <c r="F21" s="54"/>
      <c r="G21" s="39"/>
      <c r="H21" s="55"/>
      <c r="I21" s="56"/>
      <c r="J21" s="40">
        <f>D21*I21</f>
        <v>0</v>
      </c>
    </row>
    <row r="22" spans="1:17" s="8" customFormat="1" x14ac:dyDescent="0.3">
      <c r="I22" s="91" t="s">
        <v>30</v>
      </c>
      <c r="J22" s="92">
        <f>SUM(J21:J21)</f>
        <v>0</v>
      </c>
    </row>
    <row r="23" spans="1:17" x14ac:dyDescent="0.3">
      <c r="H23" s="18"/>
      <c r="I23" s="19"/>
    </row>
    <row r="24" spans="1:17" s="8" customFormat="1" x14ac:dyDescent="0.3">
      <c r="A24" s="90" t="s">
        <v>17</v>
      </c>
      <c r="B24" s="90" t="s">
        <v>46</v>
      </c>
      <c r="C24" s="90" t="s">
        <v>19</v>
      </c>
      <c r="D24" s="90" t="s">
        <v>20</v>
      </c>
      <c r="E24" s="90" t="s">
        <v>36</v>
      </c>
      <c r="F24" s="90" t="s">
        <v>29</v>
      </c>
      <c r="G24" s="90" t="s">
        <v>47</v>
      </c>
      <c r="H24" s="90" t="s">
        <v>48</v>
      </c>
      <c r="I24" s="90" t="s">
        <v>30</v>
      </c>
    </row>
    <row r="25" spans="1:17" x14ac:dyDescent="0.3">
      <c r="A25" s="39"/>
      <c r="B25" s="39"/>
      <c r="C25" s="39"/>
      <c r="D25" s="40"/>
      <c r="E25" s="39"/>
      <c r="F25" s="39"/>
      <c r="G25" s="39"/>
      <c r="H25" s="39"/>
      <c r="I25" s="40">
        <f>IF(G25="",D25*F25,D25*F25/(G25*H25))</f>
        <v>0</v>
      </c>
    </row>
    <row r="26" spans="1:17" s="8" customFormat="1" x14ac:dyDescent="0.3">
      <c r="H26" s="91" t="s">
        <v>30</v>
      </c>
      <c r="I26" s="98">
        <f>SUM(I25:I25)</f>
        <v>0</v>
      </c>
    </row>
    <row r="27" spans="1:17" x14ac:dyDescent="0.3">
      <c r="H27" s="18"/>
      <c r="I27" s="19"/>
    </row>
    <row r="30" spans="1:17" x14ac:dyDescent="0.3">
      <c r="Q30" s="23"/>
    </row>
  </sheetData>
  <hyperlinks>
    <hyperlink ref="J3" location="BOM!A1" display="FileLink1" xr:uid="{00000000-0004-0000-2E00-000000000000}"/>
  </hyperlinks>
  <pageMargins left="0.5" right="0.5" top="0.75" bottom="0.75" header="0.3" footer="0.3"/>
  <pageSetup scale="68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5804-0793-470C-BFD5-4DB5AE112D0C}">
  <sheetPr>
    <tabColor rgb="FFFFFF00"/>
  </sheetPr>
  <dimension ref="A1"/>
  <sheetViews>
    <sheetView workbookViewId="0">
      <selection activeCell="P25" sqref="P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28</vt:i4>
      </vt:variant>
    </vt:vector>
  </HeadingPairs>
  <TitlesOfParts>
    <vt:vector size="62" baseType="lpstr">
      <vt:lpstr>Rack Housing</vt:lpstr>
      <vt:lpstr>Rack Housing Draft</vt:lpstr>
      <vt:lpstr>Rack bar</vt:lpstr>
      <vt:lpstr>Pinion Gear</vt:lpstr>
      <vt:lpstr>Pinion Adapter</vt:lpstr>
      <vt:lpstr>Coupler</vt:lpstr>
      <vt:lpstr>Coupler Draft</vt:lpstr>
      <vt:lpstr>Upper Rack Clamps</vt:lpstr>
      <vt:lpstr>Upper Rack Clamps Draft</vt:lpstr>
      <vt:lpstr>Lower Rack Clamps</vt:lpstr>
      <vt:lpstr>Lower Rack Clamp Draft</vt:lpstr>
      <vt:lpstr>Clevis</vt:lpstr>
      <vt:lpstr>Clevis Draft</vt:lpstr>
      <vt:lpstr>Tie Rod</vt:lpstr>
      <vt:lpstr>Tie Rod insert</vt:lpstr>
      <vt:lpstr>Rack Stopper</vt:lpstr>
      <vt:lpstr>Rack Bolt</vt:lpstr>
      <vt:lpstr>Pinion Shaft</vt:lpstr>
      <vt:lpstr>Bevel Casing</vt:lpstr>
      <vt:lpstr>Bevel</vt:lpstr>
      <vt:lpstr>Bevel Casing Mount</vt:lpstr>
      <vt:lpstr>Bevel Casing mount tab </vt:lpstr>
      <vt:lpstr>Quick Release Shaft</vt:lpstr>
      <vt:lpstr>O clamp </vt:lpstr>
      <vt:lpstr>O clamp mount</vt:lpstr>
      <vt:lpstr>Quick Release</vt:lpstr>
      <vt:lpstr>Steering Wheel upper part </vt:lpstr>
      <vt:lpstr>Steering wheel lower part</vt:lpstr>
      <vt:lpstr>Pedal Shifter mount</vt:lpstr>
      <vt:lpstr>Pedal Shifter</vt:lpstr>
      <vt:lpstr>Custom Bolt </vt:lpstr>
      <vt:lpstr>Custom Nut</vt:lpstr>
      <vt:lpstr>Spring </vt:lpstr>
      <vt:lpstr>Steering Wheel Sleeve</vt:lpstr>
      <vt:lpstr>Bevel!Print_Area</vt:lpstr>
      <vt:lpstr>'Bevel Casing'!Print_Area</vt:lpstr>
      <vt:lpstr>Clevis!Print_Area</vt:lpstr>
      <vt:lpstr>Coupler!Print_Area</vt:lpstr>
      <vt:lpstr>'Lower Rack Clamps'!Print_Area</vt:lpstr>
      <vt:lpstr>'Pinion Adapter'!Print_Area</vt:lpstr>
      <vt:lpstr>'Pinion Gear'!Print_Area</vt:lpstr>
      <vt:lpstr>'Pinion Shaft'!Print_Area</vt:lpstr>
      <vt:lpstr>'Quick Release'!Print_Area</vt:lpstr>
      <vt:lpstr>'Rack bar'!Print_Area</vt:lpstr>
      <vt:lpstr>'Rack Bolt'!Print_Area</vt:lpstr>
      <vt:lpstr>'Rack Housing'!Print_Area</vt:lpstr>
      <vt:lpstr>'Rack Stopper'!Print_Area</vt:lpstr>
      <vt:lpstr>'Tie Rod'!Print_Area</vt:lpstr>
      <vt:lpstr>'Tie Rod insert'!Print_Area</vt:lpstr>
      <vt:lpstr>'Upper Rack Clamps'!Print_Area</vt:lpstr>
      <vt:lpstr>Bevel!Process_P1</vt:lpstr>
      <vt:lpstr>'Bevel Casing'!Process_P1</vt:lpstr>
      <vt:lpstr>Coupler!Process_P1</vt:lpstr>
      <vt:lpstr>'Lower Rack Clamps'!Process_P1</vt:lpstr>
      <vt:lpstr>'Pinion Adapter'!Process_P1</vt:lpstr>
      <vt:lpstr>'Pinion Gear'!Process_P1</vt:lpstr>
      <vt:lpstr>'Pinion Shaft'!Process_P1</vt:lpstr>
      <vt:lpstr>'Quick Release'!Process_P1</vt:lpstr>
      <vt:lpstr>'Rack Bolt'!Process_P1</vt:lpstr>
      <vt:lpstr>'Rack Housing'!Process_P1</vt:lpstr>
      <vt:lpstr>'Tie Rod'!Process_P1</vt:lpstr>
      <vt:lpstr>'Upper Rack Clamps'!Process_P1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S.Nithin</dc:creator>
  <cp:lastModifiedBy>akash</cp:lastModifiedBy>
  <dcterms:created xsi:type="dcterms:W3CDTF">2018-05-02T16:23:11Z</dcterms:created>
  <dcterms:modified xsi:type="dcterms:W3CDTF">2018-09-11T16:58:59Z</dcterms:modified>
</cp:coreProperties>
</file>