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Tariff" sheetId="2" r:id="rId2"/>
  </sheets>
  <calcPr calcId="152511"/>
</workbook>
</file>

<file path=xl/calcChain.xml><?xml version="1.0" encoding="utf-8"?>
<calcChain xmlns="http://schemas.openxmlformats.org/spreadsheetml/2006/main">
  <c r="F22" i="2" l="1"/>
  <c r="F20" i="2"/>
  <c r="F17" i="2"/>
  <c r="F16" i="2"/>
  <c r="E18" i="2"/>
  <c r="F14" i="2"/>
  <c r="F11" i="2"/>
  <c r="F12" i="2"/>
  <c r="F8" i="2"/>
  <c r="F9" i="2" s="1"/>
  <c r="F3" i="2"/>
  <c r="F6" i="2"/>
  <c r="F5" i="2"/>
  <c r="F2" i="2"/>
  <c r="C25" i="2"/>
  <c r="C36" i="2"/>
  <c r="B32" i="2"/>
  <c r="B27" i="2"/>
  <c r="C28" i="2"/>
  <c r="B34" i="2"/>
  <c r="C33" i="2"/>
  <c r="B31" i="2"/>
  <c r="B29" i="2"/>
  <c r="C26" i="2"/>
  <c r="C24" i="2"/>
  <c r="C22" i="2"/>
  <c r="C21" i="2"/>
  <c r="C18" i="2"/>
  <c r="C16" i="2"/>
  <c r="C14" i="2"/>
  <c r="C4" i="2"/>
  <c r="C12" i="2"/>
  <c r="C11" i="2"/>
  <c r="B12" i="2"/>
  <c r="B11" i="2"/>
  <c r="C7" i="2"/>
  <c r="C8" i="2"/>
  <c r="C6" i="2"/>
  <c r="C3" i="2"/>
  <c r="C2" i="2"/>
  <c r="D5" i="1"/>
  <c r="C5" i="1"/>
  <c r="D6" i="1"/>
  <c r="C6" i="1"/>
  <c r="C7" i="1" s="1"/>
  <c r="B6" i="1"/>
  <c r="D3" i="1"/>
  <c r="C3" i="1"/>
  <c r="B3" i="1"/>
  <c r="D2" i="1"/>
  <c r="C2" i="1"/>
  <c r="B2" i="1"/>
  <c r="D7" i="1"/>
  <c r="B7" i="1"/>
  <c r="C29" i="2" l="1"/>
  <c r="C30" i="2" s="1"/>
  <c r="C32" i="2" l="1"/>
  <c r="C31" i="2"/>
  <c r="C34" i="2" l="1"/>
  <c r="C35" i="2" s="1"/>
  <c r="C37" i="2" s="1"/>
  <c r="C38" i="2" s="1"/>
</calcChain>
</file>

<file path=xl/sharedStrings.xml><?xml version="1.0" encoding="utf-8"?>
<sst xmlns="http://schemas.openxmlformats.org/spreadsheetml/2006/main" count="77" uniqueCount="64">
  <si>
    <t>FY2014</t>
  </si>
  <si>
    <t>FY2015</t>
  </si>
  <si>
    <t>FY2016</t>
  </si>
  <si>
    <r>
      <t xml:space="preserve">Particulars / Figures in </t>
    </r>
    <r>
      <rPr>
        <b/>
        <sz val="11"/>
        <color theme="1"/>
        <rFont val="Rupee Foradian"/>
        <family val="2"/>
      </rPr>
      <t>`</t>
    </r>
    <r>
      <rPr>
        <sz val="11"/>
        <color theme="1"/>
        <rFont val="Zurich Blk BT"/>
        <family val="2"/>
      </rPr>
      <t xml:space="preserve"> billion</t>
    </r>
  </si>
  <si>
    <t>Fuel Cost</t>
  </si>
  <si>
    <t>Savings</t>
  </si>
  <si>
    <t>Dividends accrued to Khopoli</t>
  </si>
  <si>
    <t>Dividends accrued to Bhira</t>
  </si>
  <si>
    <t>Total dividends</t>
  </si>
  <si>
    <t>CGPL Physical Parameters</t>
  </si>
  <si>
    <t>Capacity</t>
  </si>
  <si>
    <t>PLF</t>
  </si>
  <si>
    <t>Aux</t>
  </si>
  <si>
    <t>MW</t>
  </si>
  <si>
    <t>%</t>
  </si>
  <si>
    <t>MUs</t>
  </si>
  <si>
    <t>Aux consumption</t>
  </si>
  <si>
    <t>Gross generation</t>
  </si>
  <si>
    <t>Net generation</t>
  </si>
  <si>
    <t>Blend ratio</t>
  </si>
  <si>
    <t>Melawan</t>
  </si>
  <si>
    <t>Eco coal</t>
  </si>
  <si>
    <t>Blended GCV</t>
  </si>
  <si>
    <t>SHR</t>
  </si>
  <si>
    <t>Coal consumed</t>
  </si>
  <si>
    <t>million tonnes</t>
  </si>
  <si>
    <t>KCal / KWh</t>
  </si>
  <si>
    <t>Kcal / Kg</t>
  </si>
  <si>
    <t>GCV</t>
  </si>
  <si>
    <t>Coal price ($/MT)</t>
  </si>
  <si>
    <t>Eco</t>
  </si>
  <si>
    <t>USD / MT</t>
  </si>
  <si>
    <t>FOB cost</t>
  </si>
  <si>
    <t>Marin freight</t>
  </si>
  <si>
    <t>Insurance</t>
  </si>
  <si>
    <t>USD : INR</t>
  </si>
  <si>
    <t>CIF</t>
  </si>
  <si>
    <t>Landing charges</t>
  </si>
  <si>
    <r>
      <rPr>
        <sz val="11"/>
        <color theme="1"/>
        <rFont val="Rupee Foradian"/>
        <family val="2"/>
      </rPr>
      <t>`</t>
    </r>
    <r>
      <rPr>
        <sz val="11"/>
        <color theme="1"/>
        <rFont val="Zurich BT"/>
        <family val="2"/>
      </rPr>
      <t xml:space="preserve"> / MT</t>
    </r>
  </si>
  <si>
    <t>Assessable value</t>
  </si>
  <si>
    <t>Customs duty</t>
  </si>
  <si>
    <t>CVD</t>
  </si>
  <si>
    <t>Green cess</t>
  </si>
  <si>
    <t>Edu. &amp; higher edu. Cess</t>
  </si>
  <si>
    <t>Steevedoring</t>
  </si>
  <si>
    <t>Final price</t>
  </si>
  <si>
    <t>Price</t>
  </si>
  <si>
    <t>Coal cost</t>
  </si>
  <si>
    <t>Unit costs</t>
  </si>
  <si>
    <r>
      <t>Coal cost (</t>
    </r>
    <r>
      <rPr>
        <sz val="11"/>
        <color theme="1"/>
        <rFont val="Rupee Foradian"/>
        <family val="2"/>
      </rPr>
      <t>`</t>
    </r>
    <r>
      <rPr>
        <sz val="11"/>
        <color theme="1"/>
        <rFont val="Zurich BT"/>
        <family val="2"/>
      </rPr>
      <t xml:space="preserve"> million)</t>
    </r>
  </si>
  <si>
    <t>Coal cost / unit</t>
  </si>
  <si>
    <r>
      <t>Depreciation (</t>
    </r>
    <r>
      <rPr>
        <sz val="11"/>
        <color theme="1"/>
        <rFont val="Rupee Foradian"/>
        <family val="2"/>
      </rPr>
      <t>`</t>
    </r>
    <r>
      <rPr>
        <sz val="11"/>
        <color theme="1"/>
        <rFont val="Zurich BT"/>
        <family val="2"/>
      </rPr>
      <t xml:space="preserve"> million)</t>
    </r>
  </si>
  <si>
    <t>Depreciation / unit</t>
  </si>
  <si>
    <r>
      <t>Finance cost (</t>
    </r>
    <r>
      <rPr>
        <sz val="11"/>
        <color theme="1"/>
        <rFont val="Rupee Foradian"/>
        <family val="2"/>
      </rPr>
      <t>`</t>
    </r>
    <r>
      <rPr>
        <sz val="11"/>
        <color theme="1"/>
        <rFont val="Zurich BT"/>
        <family val="2"/>
      </rPr>
      <t xml:space="preserve"> million)</t>
    </r>
  </si>
  <si>
    <t>Finance cost / unit</t>
  </si>
  <si>
    <r>
      <t>Other costs (</t>
    </r>
    <r>
      <rPr>
        <sz val="11"/>
        <color theme="1"/>
        <rFont val="Rupee Foradian"/>
        <family val="2"/>
      </rPr>
      <t>`</t>
    </r>
    <r>
      <rPr>
        <sz val="11"/>
        <color theme="1"/>
        <rFont val="Zurich BT"/>
        <family val="2"/>
      </rPr>
      <t xml:space="preserve"> million)</t>
    </r>
  </si>
  <si>
    <t>Other costs / unit</t>
  </si>
  <si>
    <t>Total costs /unit</t>
  </si>
  <si>
    <t>RoE</t>
  </si>
  <si>
    <r>
      <t>Equity (</t>
    </r>
    <r>
      <rPr>
        <sz val="11"/>
        <color theme="1"/>
        <rFont val="Rupee Foradian"/>
        <family val="2"/>
      </rPr>
      <t>`</t>
    </r>
    <r>
      <rPr>
        <sz val="11"/>
        <color theme="1"/>
        <rFont val="Zurich BT"/>
        <family val="2"/>
      </rPr>
      <t xml:space="preserve"> million)</t>
    </r>
  </si>
  <si>
    <t>RoE / unit</t>
  </si>
  <si>
    <t>Total</t>
  </si>
  <si>
    <r>
      <rPr>
        <b/>
        <sz val="11"/>
        <color theme="1"/>
        <rFont val="Rupee Foradian"/>
        <family val="2"/>
      </rPr>
      <t>`</t>
    </r>
    <r>
      <rPr>
        <sz val="11"/>
        <color theme="1"/>
        <rFont val="Zurich Blk BT"/>
        <family val="2"/>
      </rPr>
      <t xml:space="preserve"> / MT</t>
    </r>
  </si>
  <si>
    <r>
      <rPr>
        <b/>
        <sz val="11"/>
        <color theme="1"/>
        <rFont val="Rupee Foradian"/>
        <family val="2"/>
      </rPr>
      <t>`</t>
    </r>
    <r>
      <rPr>
        <sz val="11"/>
        <color theme="1"/>
        <rFont val="Zurich Blk BT"/>
        <family val="2"/>
      </rPr>
      <t xml:space="preserve"> million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</si>
</sst>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7" formatCode="_(* #,##0.0_);_(* \(#,##0.0\);_(* &quot;-&quot;??_);_(@_)"/>
    <numFmt numFmtId="168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Zurich BT"/>
      <family val="2"/>
    </font>
    <font>
      <sz val="11"/>
      <color theme="1"/>
      <name val="Zurich Blk BT"/>
      <family val="2"/>
    </font>
    <font>
      <sz val="11"/>
      <color theme="1"/>
      <name val="Rupee Foradian"/>
      <family val="2"/>
    </font>
    <font>
      <b/>
      <sz val="11"/>
      <color theme="1"/>
      <name val="Rupee Foradian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3" fontId="2" fillId="0" borderId="0" xfId="1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168" fontId="2" fillId="0" borderId="1" xfId="1" applyNumberFormat="1" applyFont="1" applyBorder="1" applyAlignment="1">
      <alignment vertical="center" wrapText="1"/>
    </xf>
    <xf numFmtId="10" fontId="2" fillId="0" borderId="1" xfId="2" applyNumberFormat="1" applyFont="1" applyBorder="1" applyAlignment="1">
      <alignment vertical="center" wrapText="1"/>
    </xf>
    <xf numFmtId="43" fontId="2" fillId="0" borderId="1" xfId="1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168" fontId="2" fillId="0" borderId="6" xfId="1" applyNumberFormat="1" applyFont="1" applyBorder="1" applyAlignment="1">
      <alignment vertical="center" wrapText="1"/>
    </xf>
    <xf numFmtId="10" fontId="2" fillId="0" borderId="6" xfId="2" applyNumberFormat="1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43" fontId="2" fillId="0" borderId="6" xfId="0" applyNumberFormat="1" applyFont="1" applyBorder="1" applyAlignment="1">
      <alignment vertical="center" wrapText="1"/>
    </xf>
    <xf numFmtId="43" fontId="2" fillId="0" borderId="6" xfId="1" applyFont="1" applyBorder="1" applyAlignment="1">
      <alignment vertical="center" wrapText="1"/>
    </xf>
    <xf numFmtId="43" fontId="2" fillId="0" borderId="6" xfId="1" applyNumberFormat="1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67" fontId="3" fillId="0" borderId="9" xfId="1" applyNumberFormat="1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43" fontId="3" fillId="0" borderId="6" xfId="0" applyNumberFormat="1" applyFont="1" applyBorder="1" applyAlignment="1">
      <alignment vertical="center" wrapText="1"/>
    </xf>
    <xf numFmtId="167" fontId="2" fillId="0" borderId="6" xfId="1" applyNumberFormat="1" applyFont="1" applyBorder="1" applyAlignment="1">
      <alignment vertical="center" wrapText="1"/>
    </xf>
    <xf numFmtId="10" fontId="2" fillId="0" borderId="5" xfId="2" applyNumberFormat="1" applyFont="1" applyBorder="1" applyAlignment="1">
      <alignment vertical="center" wrapText="1"/>
    </xf>
    <xf numFmtId="43" fontId="2" fillId="0" borderId="9" xfId="0" applyNumberFormat="1" applyFont="1" applyBorder="1" applyAlignment="1">
      <alignment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80" zoomScaleNormal="80" workbookViewId="0">
      <selection activeCell="B2" sqref="B2"/>
    </sheetView>
  </sheetViews>
  <sheetFormatPr defaultRowHeight="15" x14ac:dyDescent="0.25"/>
  <cols>
    <col min="1" max="1" width="45.85546875" style="1" customWidth="1"/>
    <col min="2" max="4" width="12.5703125" style="1" customWidth="1"/>
    <col min="5" max="16384" width="9.140625" style="1"/>
  </cols>
  <sheetData>
    <row r="1" spans="1:5" s="2" customFormat="1" x14ac:dyDescent="0.25">
      <c r="A1" s="2" t="s">
        <v>3</v>
      </c>
      <c r="B1" s="2" t="s">
        <v>0</v>
      </c>
      <c r="C1" s="2" t="s">
        <v>1</v>
      </c>
      <c r="D1" s="2" t="s">
        <v>2</v>
      </c>
    </row>
    <row r="2" spans="1:5" x14ac:dyDescent="0.25">
      <c r="A2" s="3" t="s">
        <v>4</v>
      </c>
      <c r="B2" s="4">
        <f>44.0933</f>
        <v>44.093299999999999</v>
      </c>
      <c r="C2" s="4">
        <f>44.7709</f>
        <v>44.770899999999997</v>
      </c>
      <c r="D2" s="4">
        <f>41.2617</f>
        <v>41.261699999999998</v>
      </c>
      <c r="E2" s="4"/>
    </row>
    <row r="3" spans="1:5" x14ac:dyDescent="0.25">
      <c r="A3" s="3" t="s">
        <v>5</v>
      </c>
      <c r="B3" s="4" t="e">
        <f>NA</f>
        <v>#NAME?</v>
      </c>
      <c r="C3" s="4">
        <f>B2-C2</f>
        <v>-0.6775999999999982</v>
      </c>
      <c r="D3" s="4">
        <f>C2-D2</f>
        <v>3.5091999999999999</v>
      </c>
      <c r="E3" s="4"/>
    </row>
    <row r="4" spans="1:5" x14ac:dyDescent="0.25">
      <c r="A4" s="3"/>
      <c r="B4" s="4"/>
      <c r="C4" s="4"/>
      <c r="D4" s="4"/>
      <c r="E4" s="4"/>
    </row>
    <row r="5" spans="1:5" x14ac:dyDescent="0.25">
      <c r="A5" s="3" t="s">
        <v>6</v>
      </c>
      <c r="B5" s="4"/>
      <c r="C5" s="4">
        <f>0</f>
        <v>0</v>
      </c>
      <c r="D5" s="4">
        <f>2.991331</f>
        <v>2.9913310000000002</v>
      </c>
      <c r="E5" s="4"/>
    </row>
    <row r="6" spans="1:5" x14ac:dyDescent="0.25">
      <c r="A6" s="3" t="s">
        <v>7</v>
      </c>
      <c r="B6" s="4">
        <f>74.268838*66.75/10^3</f>
        <v>4.9574449365</v>
      </c>
      <c r="C6" s="4">
        <f>68.3546</f>
        <v>68.354600000000005</v>
      </c>
      <c r="D6" s="4">
        <f>13.866667</f>
        <v>13.866667</v>
      </c>
      <c r="E6" s="4"/>
    </row>
    <row r="7" spans="1:5" x14ac:dyDescent="0.25">
      <c r="A7" s="3" t="s">
        <v>8</v>
      </c>
      <c r="B7" s="4">
        <f>B5+B6</f>
        <v>4.9574449365</v>
      </c>
      <c r="C7" s="4">
        <f>C5+C6</f>
        <v>68.354600000000005</v>
      </c>
      <c r="D7" s="4">
        <f>D5+D6</f>
        <v>16.857997999999998</v>
      </c>
      <c r="E7" s="4"/>
    </row>
    <row r="8" spans="1:5" x14ac:dyDescent="0.25">
      <c r="A8" s="3"/>
      <c r="B8" s="4"/>
      <c r="C8" s="4"/>
      <c r="D8" s="4"/>
      <c r="E8" s="4"/>
    </row>
    <row r="9" spans="1:5" x14ac:dyDescent="0.25">
      <c r="A9" s="3"/>
      <c r="B9" s="4"/>
      <c r="C9" s="4"/>
      <c r="D9" s="4"/>
      <c r="E9" s="4"/>
    </row>
    <row r="10" spans="1:5" x14ac:dyDescent="0.25">
      <c r="A10" s="3"/>
      <c r="B10" s="4"/>
      <c r="C10" s="4"/>
      <c r="D10" s="4"/>
      <c r="E10" s="4"/>
    </row>
    <row r="11" spans="1:5" x14ac:dyDescent="0.25">
      <c r="A11" s="3"/>
      <c r="B11" s="4"/>
      <c r="C11" s="4"/>
      <c r="D11" s="4"/>
      <c r="E11" s="4"/>
    </row>
    <row r="12" spans="1:5" x14ac:dyDescent="0.25">
      <c r="A12" s="3"/>
      <c r="B12" s="4"/>
      <c r="C12" s="4"/>
      <c r="D12" s="4"/>
      <c r="E12" s="4"/>
    </row>
    <row r="13" spans="1:5" x14ac:dyDescent="0.25">
      <c r="B13" s="4"/>
      <c r="C13" s="4"/>
      <c r="D13" s="4"/>
      <c r="E13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80" zoomScaleNormal="80" workbookViewId="0">
      <selection sqref="A1:C1"/>
    </sheetView>
  </sheetViews>
  <sheetFormatPr defaultRowHeight="15" x14ac:dyDescent="0.25"/>
  <cols>
    <col min="1" max="1" width="31" style="3" customWidth="1"/>
    <col min="2" max="2" width="18.28515625" style="3" customWidth="1"/>
    <col min="3" max="3" width="12.42578125" style="3" customWidth="1"/>
    <col min="4" max="4" width="9.140625" style="3"/>
    <col min="5" max="5" width="24.5703125" style="3" customWidth="1"/>
    <col min="6" max="6" width="14.42578125" style="3" bestFit="1" customWidth="1"/>
    <col min="7" max="16384" width="9.140625" style="3"/>
  </cols>
  <sheetData>
    <row r="1" spans="1:6" s="5" customFormat="1" x14ac:dyDescent="0.25">
      <c r="A1" s="10" t="s">
        <v>9</v>
      </c>
      <c r="B1" s="11"/>
      <c r="C1" s="12"/>
      <c r="E1" s="10" t="s">
        <v>48</v>
      </c>
      <c r="F1" s="12"/>
    </row>
    <row r="2" spans="1:6" x14ac:dyDescent="0.25">
      <c r="A2" s="13" t="s">
        <v>10</v>
      </c>
      <c r="B2" s="6" t="s">
        <v>13</v>
      </c>
      <c r="C2" s="14">
        <f>4000</f>
        <v>4000</v>
      </c>
      <c r="E2" s="13" t="s">
        <v>49</v>
      </c>
      <c r="F2" s="27">
        <f>41261.7</f>
        <v>41261.699999999997</v>
      </c>
    </row>
    <row r="3" spans="1:6" x14ac:dyDescent="0.25">
      <c r="A3" s="13" t="s">
        <v>11</v>
      </c>
      <c r="B3" s="6" t="s">
        <v>14</v>
      </c>
      <c r="C3" s="15">
        <f>70.4%</f>
        <v>0.70400000000000007</v>
      </c>
      <c r="E3" s="13" t="s">
        <v>50</v>
      </c>
      <c r="F3" s="17">
        <f>F2/$C$6</f>
        <v>1.6067640186915886</v>
      </c>
    </row>
    <row r="4" spans="1:6" x14ac:dyDescent="0.25">
      <c r="A4" s="13" t="s">
        <v>12</v>
      </c>
      <c r="B4" s="6" t="s">
        <v>14</v>
      </c>
      <c r="C4" s="15">
        <f>C7/C6</f>
        <v>7.7920560747663556E-2</v>
      </c>
      <c r="E4" s="13"/>
      <c r="F4" s="16"/>
    </row>
    <row r="5" spans="1:6" ht="30" x14ac:dyDescent="0.25">
      <c r="A5" s="13"/>
      <c r="B5" s="6"/>
      <c r="C5" s="16"/>
      <c r="E5" s="13" t="s">
        <v>51</v>
      </c>
      <c r="F5" s="27">
        <f>4289.2</f>
        <v>4289.2</v>
      </c>
    </row>
    <row r="6" spans="1:6" x14ac:dyDescent="0.25">
      <c r="A6" s="13" t="s">
        <v>17</v>
      </c>
      <c r="B6" s="6" t="s">
        <v>15</v>
      </c>
      <c r="C6" s="14">
        <f>25680</f>
        <v>25680</v>
      </c>
      <c r="E6" s="13" t="s">
        <v>52</v>
      </c>
      <c r="F6" s="17">
        <f>F5/$C$6</f>
        <v>0.16702492211838005</v>
      </c>
    </row>
    <row r="7" spans="1:6" x14ac:dyDescent="0.25">
      <c r="A7" s="13" t="s">
        <v>16</v>
      </c>
      <c r="B7" s="6" t="s">
        <v>15</v>
      </c>
      <c r="C7" s="14">
        <f>C6-C8</f>
        <v>2001</v>
      </c>
      <c r="E7" s="13"/>
      <c r="F7" s="16"/>
    </row>
    <row r="8" spans="1:6" x14ac:dyDescent="0.25">
      <c r="A8" s="13" t="s">
        <v>18</v>
      </c>
      <c r="B8" s="6" t="s">
        <v>15</v>
      </c>
      <c r="C8" s="14">
        <f>23679</f>
        <v>23679</v>
      </c>
      <c r="E8" s="13" t="s">
        <v>53</v>
      </c>
      <c r="F8" s="27">
        <f>10407.8</f>
        <v>10407.799999999999</v>
      </c>
    </row>
    <row r="9" spans="1:6" x14ac:dyDescent="0.25">
      <c r="A9" s="13"/>
      <c r="B9" s="6"/>
      <c r="C9" s="16"/>
      <c r="E9" s="13" t="s">
        <v>54</v>
      </c>
      <c r="F9" s="17">
        <f>F8/$C$6</f>
        <v>0.40528816199376944</v>
      </c>
    </row>
    <row r="10" spans="1:6" x14ac:dyDescent="0.25">
      <c r="A10" s="13" t="s">
        <v>19</v>
      </c>
      <c r="B10" s="6" t="s">
        <v>28</v>
      </c>
      <c r="C10" s="16" t="s">
        <v>14</v>
      </c>
      <c r="E10" s="13"/>
      <c r="F10" s="16"/>
    </row>
    <row r="11" spans="1:6" x14ac:dyDescent="0.25">
      <c r="A11" s="13" t="s">
        <v>20</v>
      </c>
      <c r="B11" s="7">
        <f>5366</f>
        <v>5366</v>
      </c>
      <c r="C11" s="15">
        <f>100%</f>
        <v>1</v>
      </c>
      <c r="E11" s="13" t="s">
        <v>55</v>
      </c>
      <c r="F11" s="27">
        <f>5419.1</f>
        <v>5419.1</v>
      </c>
    </row>
    <row r="12" spans="1:6" x14ac:dyDescent="0.25">
      <c r="A12" s="13" t="s">
        <v>21</v>
      </c>
      <c r="B12" s="7">
        <f>4250</f>
        <v>4250</v>
      </c>
      <c r="C12" s="15">
        <f>100%-C11</f>
        <v>0</v>
      </c>
      <c r="E12" s="13" t="s">
        <v>56</v>
      </c>
      <c r="F12" s="17">
        <f>F11/$C$6</f>
        <v>0.21102414330218069</v>
      </c>
    </row>
    <row r="13" spans="1:6" x14ac:dyDescent="0.25">
      <c r="A13" s="13"/>
      <c r="B13" s="6"/>
      <c r="C13" s="16"/>
      <c r="E13" s="13"/>
      <c r="F13" s="16"/>
    </row>
    <row r="14" spans="1:6" x14ac:dyDescent="0.25">
      <c r="A14" s="13" t="s">
        <v>22</v>
      </c>
      <c r="B14" s="6" t="s">
        <v>27</v>
      </c>
      <c r="C14" s="14">
        <f>SUMPRODUCT(B11:B12,C11:C12)</f>
        <v>5366</v>
      </c>
      <c r="E14" s="13" t="s">
        <v>57</v>
      </c>
      <c r="F14" s="17">
        <f>F3+F6+F9+F12</f>
        <v>2.3901012461059192</v>
      </c>
    </row>
    <row r="15" spans="1:6" x14ac:dyDescent="0.25">
      <c r="A15" s="13"/>
      <c r="B15" s="6"/>
      <c r="C15" s="16"/>
      <c r="E15" s="13"/>
      <c r="F15" s="16"/>
    </row>
    <row r="16" spans="1:6" x14ac:dyDescent="0.25">
      <c r="A16" s="13" t="s">
        <v>23</v>
      </c>
      <c r="B16" s="6" t="s">
        <v>26</v>
      </c>
      <c r="C16" s="14">
        <f>2083</f>
        <v>2083</v>
      </c>
      <c r="E16" s="13" t="s">
        <v>59</v>
      </c>
      <c r="F16" s="27">
        <f>60304.2</f>
        <v>60304.2</v>
      </c>
    </row>
    <row r="17" spans="1:6" x14ac:dyDescent="0.25">
      <c r="A17" s="13"/>
      <c r="B17" s="6"/>
      <c r="C17" s="16"/>
      <c r="E17" s="13" t="s">
        <v>58</v>
      </c>
      <c r="F17" s="17">
        <f>F16*$E$18</f>
        <v>7236.503999999999</v>
      </c>
    </row>
    <row r="18" spans="1:6" x14ac:dyDescent="0.25">
      <c r="A18" s="13" t="s">
        <v>24</v>
      </c>
      <c r="B18" s="6" t="s">
        <v>25</v>
      </c>
      <c r="C18" s="17">
        <f>C6/(C14/C16)/10^3</f>
        <v>9.9685874021617575</v>
      </c>
      <c r="E18" s="28">
        <f>12%</f>
        <v>0.12</v>
      </c>
      <c r="F18" s="16"/>
    </row>
    <row r="19" spans="1:6" x14ac:dyDescent="0.25">
      <c r="A19" s="13"/>
      <c r="B19" s="6"/>
      <c r="C19" s="16"/>
      <c r="E19" s="13"/>
      <c r="F19" s="16"/>
    </row>
    <row r="20" spans="1:6" x14ac:dyDescent="0.25">
      <c r="A20" s="13" t="s">
        <v>29</v>
      </c>
      <c r="B20" s="6"/>
      <c r="C20" s="16"/>
      <c r="E20" s="13" t="s">
        <v>60</v>
      </c>
      <c r="F20" s="18">
        <f>F17/$C$6</f>
        <v>0.28179532710280369</v>
      </c>
    </row>
    <row r="21" spans="1:6" x14ac:dyDescent="0.25">
      <c r="A21" s="13" t="s">
        <v>20</v>
      </c>
      <c r="B21" s="6" t="s">
        <v>31</v>
      </c>
      <c r="C21" s="16">
        <f>46.73</f>
        <v>46.73</v>
      </c>
      <c r="E21" s="13"/>
      <c r="F21" s="16"/>
    </row>
    <row r="22" spans="1:6" ht="15.75" thickBot="1" x14ac:dyDescent="0.3">
      <c r="A22" s="13" t="s">
        <v>30</v>
      </c>
      <c r="B22" s="6" t="s">
        <v>31</v>
      </c>
      <c r="C22" s="16" t="e">
        <f>NA</f>
        <v>#NAME?</v>
      </c>
      <c r="E22" s="20" t="s">
        <v>61</v>
      </c>
      <c r="F22" s="29">
        <f>F14+F20</f>
        <v>2.671896573208723</v>
      </c>
    </row>
    <row r="23" spans="1:6" x14ac:dyDescent="0.25">
      <c r="A23" s="13"/>
      <c r="B23" s="6"/>
      <c r="C23" s="16"/>
    </row>
    <row r="24" spans="1:6" x14ac:dyDescent="0.25">
      <c r="A24" s="13" t="s">
        <v>32</v>
      </c>
      <c r="B24" s="6" t="s">
        <v>31</v>
      </c>
      <c r="C24" s="18">
        <f>C21</f>
        <v>46.73</v>
      </c>
    </row>
    <row r="25" spans="1:6" x14ac:dyDescent="0.25">
      <c r="A25" s="13" t="s">
        <v>33</v>
      </c>
      <c r="B25" s="6" t="s">
        <v>31</v>
      </c>
      <c r="C25" s="18">
        <f>6</f>
        <v>6</v>
      </c>
    </row>
    <row r="26" spans="1:6" x14ac:dyDescent="0.25">
      <c r="A26" s="13" t="s">
        <v>34</v>
      </c>
      <c r="B26" s="6" t="s">
        <v>31</v>
      </c>
      <c r="C26" s="18">
        <f>1</f>
        <v>1</v>
      </c>
    </row>
    <row r="27" spans="1:6" x14ac:dyDescent="0.25">
      <c r="A27" s="13" t="s">
        <v>35</v>
      </c>
      <c r="B27" s="9">
        <f>64</f>
        <v>64</v>
      </c>
      <c r="C27" s="16"/>
    </row>
    <row r="28" spans="1:6" x14ac:dyDescent="0.25">
      <c r="A28" s="13" t="s">
        <v>36</v>
      </c>
      <c r="B28" s="6" t="s">
        <v>38</v>
      </c>
      <c r="C28" s="19">
        <f>(C24+C25+C26)*$B$27</f>
        <v>3438.72</v>
      </c>
    </row>
    <row r="29" spans="1:6" x14ac:dyDescent="0.25">
      <c r="A29" s="13" t="s">
        <v>37</v>
      </c>
      <c r="B29" s="8">
        <f>1%</f>
        <v>0.01</v>
      </c>
      <c r="C29" s="19">
        <f>C28*$B$29</f>
        <v>34.3872</v>
      </c>
    </row>
    <row r="30" spans="1:6" x14ac:dyDescent="0.25">
      <c r="A30" s="13" t="s">
        <v>39</v>
      </c>
      <c r="B30" s="6" t="s">
        <v>38</v>
      </c>
      <c r="C30" s="17">
        <f>C28+C29</f>
        <v>3473.1071999999999</v>
      </c>
    </row>
    <row r="31" spans="1:6" x14ac:dyDescent="0.25">
      <c r="A31" s="13" t="s">
        <v>40</v>
      </c>
      <c r="B31" s="8">
        <f>2.5%</f>
        <v>2.5000000000000001E-2</v>
      </c>
      <c r="C31" s="17">
        <f>C30*$B$31</f>
        <v>86.827680000000001</v>
      </c>
    </row>
    <row r="32" spans="1:6" x14ac:dyDescent="0.25">
      <c r="A32" s="13" t="s">
        <v>41</v>
      </c>
      <c r="B32" s="8">
        <f>0%</f>
        <v>0</v>
      </c>
      <c r="C32" s="17">
        <f>C30*$B$32</f>
        <v>0</v>
      </c>
    </row>
    <row r="33" spans="1:3" x14ac:dyDescent="0.25">
      <c r="A33" s="13" t="s">
        <v>42</v>
      </c>
      <c r="B33" s="6" t="s">
        <v>38</v>
      </c>
      <c r="C33" s="18">
        <f>400</f>
        <v>400</v>
      </c>
    </row>
    <row r="34" spans="1:3" x14ac:dyDescent="0.25">
      <c r="A34" s="13" t="s">
        <v>43</v>
      </c>
      <c r="B34" s="8">
        <f>3%</f>
        <v>0.03</v>
      </c>
      <c r="C34" s="18">
        <f>(C31+C32+C33)*$B$34</f>
        <v>14.604830399999999</v>
      </c>
    </row>
    <row r="35" spans="1:3" x14ac:dyDescent="0.25">
      <c r="A35" s="13" t="s">
        <v>46</v>
      </c>
      <c r="B35" s="6" t="s">
        <v>38</v>
      </c>
      <c r="C35" s="18">
        <f>C30+C31+C32+C33+C34</f>
        <v>3974.5397103999999</v>
      </c>
    </row>
    <row r="36" spans="1:3" x14ac:dyDescent="0.25">
      <c r="A36" s="13" t="s">
        <v>44</v>
      </c>
      <c r="B36" s="6" t="s">
        <v>38</v>
      </c>
      <c r="C36" s="18">
        <f>200</f>
        <v>200</v>
      </c>
    </row>
    <row r="37" spans="1:3" s="5" customFormat="1" x14ac:dyDescent="0.25">
      <c r="A37" s="24" t="s">
        <v>45</v>
      </c>
      <c r="B37" s="25" t="s">
        <v>62</v>
      </c>
      <c r="C37" s="26">
        <f>C35+C36</f>
        <v>4174.5397104000003</v>
      </c>
    </row>
    <row r="38" spans="1:3" ht="15.75" thickBot="1" x14ac:dyDescent="0.3">
      <c r="A38" s="21" t="s">
        <v>47</v>
      </c>
      <c r="B38" s="22" t="s">
        <v>63</v>
      </c>
      <c r="C38" s="23">
        <f>C37*C18</f>
        <v>41614.263966917431</v>
      </c>
    </row>
  </sheetData>
  <mergeCells count="2">
    <mergeCell ref="A1:C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Tariff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2016-09-25T17:42:45Z</dcterms:modified>
</cp:coreProperties>
</file>