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mitch\Documents\TU Delft\BSc-3\AE3212-II Simulation, Verification &amp; Validation\Aerodynamics\31\B31\ReferenceData\"/>
    </mc:Choice>
  </mc:AlternateContent>
  <xr:revisionPtr revIDLastSave="0" documentId="13_ncr:1_{EF6B6FB9-5FAD-44E5-8780-49F31FD5C216}" xr6:coauthVersionLast="45" xr6:coauthVersionMax="45" xr10:uidLastSave="{00000000-0000-0000-0000-000000000000}"/>
  <bookViews>
    <workbookView xWindow="38290" yWindow="-5600" windowWidth="38620" windowHeight="21360" activeTab="2" xr2:uid="{00000000-000D-0000-FFFF-FFFF00000000}"/>
  </bookViews>
  <sheets>
    <sheet name="Imperial" sheetId="1" r:id="rId1"/>
    <sheet name="Metric" sheetId="2" r:id="rId2"/>
    <sheet name="Sheet1" sheetId="3" r:id="rId3"/>
    <sheet name="thrust" sheetId="4" r:id="rId4"/>
  </sheets>
  <externalReferences>
    <externalReference r:id="rId5"/>
  </externalReferenc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S28" i="3" l="1"/>
  <c r="BR36" i="3"/>
  <c r="BG10" i="3"/>
  <c r="T78" i="3" l="1"/>
  <c r="T79" i="3" s="1"/>
  <c r="AL38" i="3" l="1"/>
  <c r="AK38" i="3"/>
  <c r="AL39" i="3" s="1"/>
  <c r="AN28" i="3"/>
  <c r="W72" i="3"/>
  <c r="W73" i="3"/>
  <c r="W45" i="3"/>
  <c r="W46" i="3"/>
  <c r="W47" i="3"/>
  <c r="W48" i="3"/>
  <c r="W49" i="3"/>
  <c r="W50" i="3"/>
  <c r="W51" i="3"/>
  <c r="W29" i="3"/>
  <c r="W30" i="3"/>
  <c r="W31" i="3"/>
  <c r="W32" i="3"/>
  <c r="W33" i="3"/>
  <c r="W28" i="3"/>
  <c r="J1" i="4"/>
  <c r="D1" i="4" s="1"/>
  <c r="K1" i="4"/>
  <c r="E1" i="4" s="1"/>
  <c r="B1" i="4"/>
  <c r="C1" i="4"/>
  <c r="J2" i="4"/>
  <c r="D2" i="4" s="1"/>
  <c r="K2" i="4"/>
  <c r="E2" i="4" s="1"/>
  <c r="B2" i="4"/>
  <c r="C2" i="4"/>
  <c r="J3" i="4"/>
  <c r="D3" i="4" s="1"/>
  <c r="K3" i="4"/>
  <c r="E3" i="4" s="1"/>
  <c r="B3" i="4"/>
  <c r="C3" i="4"/>
  <c r="J4" i="4"/>
  <c r="D4" i="4" s="1"/>
  <c r="K4" i="4"/>
  <c r="E4" i="4" s="1"/>
  <c r="B4" i="4"/>
  <c r="C4" i="4"/>
  <c r="J5" i="4"/>
  <c r="D5" i="4" s="1"/>
  <c r="K5" i="4"/>
  <c r="E5" i="4" s="1"/>
  <c r="B5" i="4"/>
  <c r="C5" i="4"/>
  <c r="J6" i="4"/>
  <c r="D6" i="4" s="1"/>
  <c r="K6" i="4"/>
  <c r="E6" i="4" s="1"/>
  <c r="B6" i="4"/>
  <c r="C6" i="4"/>
  <c r="J7" i="4"/>
  <c r="D7" i="4" s="1"/>
  <c r="K7" i="4"/>
  <c r="E7" i="4" s="1"/>
  <c r="B7" i="4"/>
  <c r="C7" i="4"/>
  <c r="J8" i="4"/>
  <c r="D8" i="4" s="1"/>
  <c r="K8" i="4"/>
  <c r="E8" i="4" s="1"/>
  <c r="B8" i="4"/>
  <c r="C8" i="4"/>
  <c r="J9" i="4"/>
  <c r="D9" i="4" s="1"/>
  <c r="K9" i="4"/>
  <c r="E9" i="4" s="1"/>
  <c r="B9" i="4"/>
  <c r="C9" i="4"/>
  <c r="J10" i="4"/>
  <c r="D10" i="4" s="1"/>
  <c r="K10" i="4"/>
  <c r="E10" i="4" s="1"/>
  <c r="B10" i="4"/>
  <c r="C10" i="4"/>
  <c r="J11" i="4"/>
  <c r="D11" i="4" s="1"/>
  <c r="K11" i="4"/>
  <c r="E11" i="4" s="1"/>
  <c r="B11" i="4"/>
  <c r="C11" i="4"/>
  <c r="J12" i="4"/>
  <c r="D12" i="4" s="1"/>
  <c r="K12" i="4"/>
  <c r="E12" i="4" s="1"/>
  <c r="B12" i="4"/>
  <c r="C12" i="4"/>
  <c r="J13" i="4"/>
  <c r="D13" i="4" s="1"/>
  <c r="K13" i="4"/>
  <c r="E13" i="4" s="1"/>
  <c r="B13" i="4"/>
  <c r="C13" i="4"/>
  <c r="J14" i="4"/>
  <c r="D14" i="4" s="1"/>
  <c r="K14" i="4"/>
  <c r="E14" i="4" s="1"/>
  <c r="B14" i="4"/>
  <c r="C14" i="4"/>
  <c r="J15" i="4"/>
  <c r="D15" i="4" s="1"/>
  <c r="K15" i="4"/>
  <c r="E15" i="4" s="1"/>
  <c r="B15" i="4"/>
  <c r="C15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" i="4"/>
  <c r="AK35" i="3"/>
  <c r="T72" i="3"/>
  <c r="T73" i="3"/>
  <c r="T46" i="3"/>
  <c r="T47" i="3"/>
  <c r="T48" i="3"/>
  <c r="T49" i="3"/>
  <c r="T50" i="3"/>
  <c r="T51" i="3"/>
  <c r="T45" i="3"/>
  <c r="T29" i="3"/>
  <c r="T30" i="3"/>
  <c r="T31" i="3"/>
  <c r="T32" i="3"/>
  <c r="T33" i="3"/>
  <c r="T28" i="3"/>
  <c r="F72" i="3" l="1"/>
  <c r="F73" i="3"/>
  <c r="F46" i="3"/>
  <c r="F47" i="3"/>
  <c r="F48" i="3"/>
  <c r="F49" i="3"/>
  <c r="F50" i="3"/>
  <c r="F51" i="3"/>
  <c r="F45" i="3"/>
  <c r="F29" i="3"/>
  <c r="F30" i="3"/>
  <c r="F31" i="3"/>
  <c r="F32" i="3"/>
  <c r="F33" i="3"/>
  <c r="F28" i="3"/>
  <c r="E73" i="3"/>
  <c r="E72" i="3"/>
  <c r="E46" i="3"/>
  <c r="E47" i="3"/>
  <c r="E48" i="3"/>
  <c r="E49" i="3"/>
  <c r="E50" i="3"/>
  <c r="E51" i="3"/>
  <c r="E45" i="3"/>
  <c r="H29" i="3"/>
  <c r="H30" i="3"/>
  <c r="H31" i="3"/>
  <c r="H32" i="3"/>
  <c r="H33" i="3"/>
  <c r="H28" i="3"/>
  <c r="AL45" i="3" l="1"/>
  <c r="P57" i="3"/>
  <c r="Q56" i="3" s="1"/>
  <c r="P56" i="3"/>
  <c r="Q57" i="3" s="1"/>
  <c r="P55" i="3"/>
  <c r="Q58" i="3" s="1"/>
  <c r="P58" i="3"/>
  <c r="Q55" i="3" s="1"/>
  <c r="P59" i="3"/>
  <c r="Q59" i="3" s="1"/>
  <c r="P60" i="3"/>
  <c r="Q60" i="3" s="1"/>
  <c r="P61" i="3"/>
  <c r="Q61" i="3" s="1"/>
  <c r="H73" i="3"/>
  <c r="M76" i="2"/>
  <c r="M75" i="2"/>
  <c r="K75" i="2"/>
  <c r="L75" i="2"/>
  <c r="K76" i="2"/>
  <c r="L76" i="2"/>
  <c r="J76" i="2"/>
  <c r="J75" i="2"/>
  <c r="E76" i="2"/>
  <c r="E75" i="2"/>
  <c r="U73" i="3"/>
  <c r="D76" i="2"/>
  <c r="D75" i="2"/>
  <c r="M60" i="2"/>
  <c r="M61" i="2"/>
  <c r="M62" i="2"/>
  <c r="M63" i="2"/>
  <c r="M64" i="2"/>
  <c r="M65" i="2"/>
  <c r="M59" i="2"/>
  <c r="J59" i="2"/>
  <c r="AL51" i="3"/>
  <c r="F55" i="3" s="1"/>
  <c r="AL49" i="3"/>
  <c r="F57" i="3" s="1"/>
  <c r="AL48" i="3"/>
  <c r="F61" i="3" s="1"/>
  <c r="AL47" i="3"/>
  <c r="F60" i="3" s="1"/>
  <c r="E60" i="2"/>
  <c r="E61" i="2"/>
  <c r="E62" i="2"/>
  <c r="E63" i="2"/>
  <c r="E64" i="2"/>
  <c r="E65" i="2"/>
  <c r="E59" i="2"/>
  <c r="E29" i="2"/>
  <c r="E30" i="2"/>
  <c r="E31" i="2"/>
  <c r="E32" i="2"/>
  <c r="E33" i="2"/>
  <c r="E28" i="2"/>
  <c r="P33" i="3"/>
  <c r="P32" i="3"/>
  <c r="P31" i="3"/>
  <c r="P30" i="3"/>
  <c r="P29" i="3"/>
  <c r="P28" i="3"/>
  <c r="D33" i="3"/>
  <c r="E33" i="3" s="1"/>
  <c r="R33" i="3" s="1"/>
  <c r="D32" i="3"/>
  <c r="E32" i="3" s="1"/>
  <c r="R32" i="3" s="1"/>
  <c r="D31" i="3"/>
  <c r="E31" i="3" s="1"/>
  <c r="R31" i="3" s="1"/>
  <c r="D30" i="3"/>
  <c r="D29" i="3"/>
  <c r="E29" i="3" s="1"/>
  <c r="R29" i="3" s="1"/>
  <c r="D28" i="3"/>
  <c r="E28" i="3" s="1"/>
  <c r="R28" i="3" s="1"/>
  <c r="B29" i="3"/>
  <c r="B30" i="3"/>
  <c r="B31" i="3"/>
  <c r="B32" i="3"/>
  <c r="B33" i="3"/>
  <c r="B28" i="3"/>
  <c r="C50" i="3" s="1"/>
  <c r="M81" i="3"/>
  <c r="K81" i="3"/>
  <c r="J81" i="3"/>
  <c r="G81" i="3"/>
  <c r="D81" i="3"/>
  <c r="M80" i="3"/>
  <c r="K80" i="3"/>
  <c r="J80" i="3"/>
  <c r="G80" i="3"/>
  <c r="D80" i="3"/>
  <c r="T77" i="3"/>
  <c r="AL73" i="3"/>
  <c r="U72" i="3"/>
  <c r="L72" i="3"/>
  <c r="J72" i="3"/>
  <c r="AL72" i="3"/>
  <c r="H72" i="3"/>
  <c r="U51" i="3"/>
  <c r="H51" i="3"/>
  <c r="AL50" i="3"/>
  <c r="F56" i="3" s="1"/>
  <c r="H50" i="3"/>
  <c r="U49" i="3"/>
  <c r="H49" i="3"/>
  <c r="H48" i="3"/>
  <c r="R48" i="3" s="1"/>
  <c r="U48" i="3"/>
  <c r="U47" i="3"/>
  <c r="H47" i="3"/>
  <c r="AL46" i="3"/>
  <c r="F59" i="3" s="1"/>
  <c r="H46" i="3"/>
  <c r="U45" i="3"/>
  <c r="F58" i="3"/>
  <c r="H45" i="3"/>
  <c r="AL33" i="3"/>
  <c r="AL32" i="3"/>
  <c r="AL31" i="3"/>
  <c r="U31" i="3"/>
  <c r="AL30" i="3"/>
  <c r="AL29" i="3"/>
  <c r="C29" i="3"/>
  <c r="AL28" i="3"/>
  <c r="C28" i="3"/>
  <c r="C33" i="3"/>
  <c r="AG14" i="3"/>
  <c r="AH14" i="3" s="1"/>
  <c r="AG13" i="3"/>
  <c r="AH13" i="3" s="1"/>
  <c r="AG12" i="3"/>
  <c r="AH12" i="3" s="1"/>
  <c r="AG11" i="3"/>
  <c r="AH11" i="3" s="1"/>
  <c r="AG10" i="3"/>
  <c r="AH10" i="3" s="1"/>
  <c r="AG9" i="3"/>
  <c r="AH9" i="3" s="1"/>
  <c r="AG8" i="3"/>
  <c r="AH8" i="3" s="1"/>
  <c r="AG7" i="3"/>
  <c r="AH7" i="3" s="1"/>
  <c r="AG6" i="3"/>
  <c r="AH6" i="3" s="1"/>
  <c r="O5" i="3"/>
  <c r="AG4" i="3"/>
  <c r="AH4" i="3" s="1"/>
  <c r="AG2" i="3"/>
  <c r="AH2" i="3" s="1"/>
  <c r="C47" i="3" l="1"/>
  <c r="C51" i="3"/>
  <c r="C48" i="3"/>
  <c r="U30" i="3"/>
  <c r="E30" i="3"/>
  <c r="R30" i="3" s="1"/>
  <c r="Q30" i="3" s="1"/>
  <c r="V30" i="3" s="1"/>
  <c r="C45" i="3"/>
  <c r="C49" i="3"/>
  <c r="C46" i="3"/>
  <c r="R72" i="3"/>
  <c r="Q72" i="3" s="1"/>
  <c r="V72" i="3" s="1"/>
  <c r="R73" i="3"/>
  <c r="Q73" i="3" s="1"/>
  <c r="V73" i="3" s="1"/>
  <c r="R45" i="3"/>
  <c r="Q45" i="3" s="1"/>
  <c r="V45" i="3" s="1"/>
  <c r="Q31" i="3"/>
  <c r="V31" i="3" s="1"/>
  <c r="C32" i="3"/>
  <c r="C31" i="3"/>
  <c r="C30" i="3"/>
  <c r="Q48" i="3"/>
  <c r="V48" i="3" s="1"/>
  <c r="AG16" i="3"/>
  <c r="AG28" i="3" s="1"/>
  <c r="U28" i="3"/>
  <c r="U50" i="3"/>
  <c r="R50" i="3"/>
  <c r="U32" i="3"/>
  <c r="U33" i="3"/>
  <c r="R49" i="3"/>
  <c r="U29" i="3"/>
  <c r="R47" i="3"/>
  <c r="Q47" i="3" s="1"/>
  <c r="V47" i="3" s="1"/>
  <c r="R51" i="3"/>
  <c r="Q51" i="3" s="1"/>
  <c r="V51" i="3" s="1"/>
  <c r="U46" i="3"/>
  <c r="R46" i="3"/>
  <c r="Q46" i="3" s="1"/>
  <c r="Q50" i="3"/>
  <c r="V50" i="3" s="1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J60" i="2"/>
  <c r="J61" i="2"/>
  <c r="J62" i="2"/>
  <c r="J63" i="2"/>
  <c r="J64" i="2"/>
  <c r="J65" i="2"/>
  <c r="B65" i="2"/>
  <c r="C65" i="2"/>
  <c r="D65" i="2"/>
  <c r="F65" i="2"/>
  <c r="G65" i="2"/>
  <c r="H65" i="2"/>
  <c r="I65" i="2"/>
  <c r="I59" i="2"/>
  <c r="I61" i="2"/>
  <c r="I62" i="2"/>
  <c r="I63" i="2"/>
  <c r="I64" i="2"/>
  <c r="I60" i="2"/>
  <c r="H59" i="2"/>
  <c r="H60" i="2"/>
  <c r="H61" i="2"/>
  <c r="H62" i="2"/>
  <c r="H63" i="2"/>
  <c r="H64" i="2"/>
  <c r="A79" i="2"/>
  <c r="A83" i="2"/>
  <c r="A84" i="2"/>
  <c r="C77" i="2"/>
  <c r="D81" i="2"/>
  <c r="G81" i="2"/>
  <c r="I81" i="2"/>
  <c r="J81" i="2"/>
  <c r="D82" i="2"/>
  <c r="G82" i="2"/>
  <c r="I82" i="2"/>
  <c r="J82" i="2"/>
  <c r="D83" i="2"/>
  <c r="E83" i="2"/>
  <c r="G83" i="2"/>
  <c r="H83" i="2"/>
  <c r="I83" i="2"/>
  <c r="J83" i="2"/>
  <c r="D84" i="2"/>
  <c r="E84" i="2"/>
  <c r="G84" i="2"/>
  <c r="H84" i="2"/>
  <c r="I84" i="2"/>
  <c r="J84" i="2"/>
  <c r="B74" i="2"/>
  <c r="C74" i="2"/>
  <c r="D74" i="2"/>
  <c r="E74" i="2"/>
  <c r="F74" i="2"/>
  <c r="G74" i="2"/>
  <c r="H74" i="2"/>
  <c r="I74" i="2"/>
  <c r="J74" i="2"/>
  <c r="K74" i="2"/>
  <c r="L74" i="2"/>
  <c r="M74" i="2"/>
  <c r="C75" i="2"/>
  <c r="F75" i="2"/>
  <c r="G75" i="2"/>
  <c r="H75" i="2"/>
  <c r="I75" i="2"/>
  <c r="C76" i="2"/>
  <c r="F76" i="2"/>
  <c r="G76" i="2"/>
  <c r="H76" i="2"/>
  <c r="I76" i="2"/>
  <c r="B76" i="2"/>
  <c r="B75" i="2"/>
  <c r="G59" i="2"/>
  <c r="G60" i="2"/>
  <c r="G61" i="2"/>
  <c r="G62" i="2"/>
  <c r="G63" i="2"/>
  <c r="G64" i="2"/>
  <c r="F64" i="2"/>
  <c r="D64" i="2"/>
  <c r="B64" i="2"/>
  <c r="B28" i="2"/>
  <c r="C64" i="2"/>
  <c r="F63" i="2"/>
  <c r="D63" i="2"/>
  <c r="B63" i="2"/>
  <c r="C63" i="2"/>
  <c r="F62" i="2"/>
  <c r="D62" i="2"/>
  <c r="B62" i="2"/>
  <c r="C62" i="2"/>
  <c r="F61" i="2"/>
  <c r="D61" i="2"/>
  <c r="B61" i="2"/>
  <c r="C61" i="2"/>
  <c r="F60" i="2"/>
  <c r="D60" i="2"/>
  <c r="B60" i="2"/>
  <c r="C60" i="2"/>
  <c r="F59" i="2"/>
  <c r="D59" i="2"/>
  <c r="B59" i="2"/>
  <c r="C59" i="2"/>
  <c r="B33" i="2"/>
  <c r="J28" i="2"/>
  <c r="G29" i="2"/>
  <c r="H29" i="2"/>
  <c r="I29" i="2"/>
  <c r="G30" i="2"/>
  <c r="H30" i="2"/>
  <c r="I30" i="2"/>
  <c r="G31" i="2"/>
  <c r="H31" i="2"/>
  <c r="I31" i="2"/>
  <c r="G32" i="2"/>
  <c r="H32" i="2"/>
  <c r="I32" i="2"/>
  <c r="G33" i="2"/>
  <c r="H33" i="2"/>
  <c r="I33" i="2"/>
  <c r="H28" i="2"/>
  <c r="I28" i="2"/>
  <c r="G28" i="2"/>
  <c r="D29" i="2"/>
  <c r="D30" i="2"/>
  <c r="D31" i="2"/>
  <c r="D32" i="2"/>
  <c r="D33" i="2"/>
  <c r="D28" i="2"/>
  <c r="F28" i="2"/>
  <c r="F29" i="2"/>
  <c r="J29" i="2"/>
  <c r="F30" i="2"/>
  <c r="J30" i="2"/>
  <c r="F31" i="2"/>
  <c r="J31" i="2"/>
  <c r="F32" i="2"/>
  <c r="J32" i="2"/>
  <c r="F33" i="2"/>
  <c r="J33" i="2"/>
  <c r="B29" i="2"/>
  <c r="B30" i="2"/>
  <c r="B31" i="2"/>
  <c r="B32" i="2"/>
  <c r="C29" i="2"/>
  <c r="C30" i="2"/>
  <c r="C31" i="2"/>
  <c r="C32" i="2"/>
  <c r="C33" i="2"/>
  <c r="C28" i="2"/>
  <c r="D18" i="2"/>
  <c r="H9" i="2"/>
  <c r="H10" i="2"/>
  <c r="H11" i="2"/>
  <c r="H12" i="2"/>
  <c r="H13" i="2"/>
  <c r="H14" i="2"/>
  <c r="H15" i="2"/>
  <c r="H16" i="2"/>
  <c r="H8" i="2"/>
  <c r="V46" i="3" l="1"/>
  <c r="S48" i="3"/>
  <c r="AK48" i="3" s="1"/>
  <c r="E61" i="3" s="1"/>
  <c r="S31" i="3"/>
  <c r="S30" i="3"/>
  <c r="Q49" i="3"/>
  <c r="V49" i="3" s="1"/>
  <c r="S46" i="3"/>
  <c r="AG72" i="3"/>
  <c r="AH72" i="3" s="1"/>
  <c r="AG49" i="3"/>
  <c r="AG45" i="3"/>
  <c r="AG30" i="3"/>
  <c r="AH30" i="3" s="1"/>
  <c r="AG46" i="3"/>
  <c r="AH28" i="3"/>
  <c r="AG31" i="3"/>
  <c r="AH31" i="3" s="1"/>
  <c r="AG32" i="3"/>
  <c r="AH32" i="3" s="1"/>
  <c r="AG50" i="3"/>
  <c r="AG33" i="3"/>
  <c r="AH33" i="3" s="1"/>
  <c r="AH16" i="3"/>
  <c r="AG73" i="3"/>
  <c r="AH73" i="3" s="1"/>
  <c r="AG51" i="3"/>
  <c r="AG48" i="3"/>
  <c r="AG47" i="3"/>
  <c r="AG29" i="3"/>
  <c r="AH29" i="3" s="1"/>
  <c r="S51" i="3"/>
  <c r="S50" i="3"/>
  <c r="Y50" i="3" s="1"/>
  <c r="S73" i="3"/>
  <c r="AK73" i="3" s="1"/>
  <c r="S45" i="3"/>
  <c r="Q29" i="3"/>
  <c r="V29" i="3" s="1"/>
  <c r="Q33" i="3"/>
  <c r="V33" i="3" s="1"/>
  <c r="Q28" i="3"/>
  <c r="S47" i="3"/>
  <c r="Q32" i="3"/>
  <c r="V32" i="3" s="1"/>
  <c r="S72" i="3"/>
  <c r="AK72" i="3" s="1"/>
  <c r="AK31" i="3" l="1"/>
  <c r="AK30" i="3"/>
  <c r="V28" i="3"/>
  <c r="S28" i="3"/>
  <c r="AJ72" i="3"/>
  <c r="AJ73" i="3"/>
  <c r="AM73" i="3" s="1"/>
  <c r="Y48" i="3"/>
  <c r="AJ31" i="3"/>
  <c r="AM31" i="3" s="1"/>
  <c r="AH48" i="3"/>
  <c r="AJ48" i="3" s="1"/>
  <c r="D61" i="3" s="1"/>
  <c r="G61" i="3" s="1"/>
  <c r="H61" i="3" s="1"/>
  <c r="AB48" i="3"/>
  <c r="M58" i="3" s="1"/>
  <c r="N55" i="3" s="1"/>
  <c r="AK51" i="3"/>
  <c r="E55" i="3" s="1"/>
  <c r="X51" i="3"/>
  <c r="AH51" i="3"/>
  <c r="AJ51" i="3" s="1"/>
  <c r="D55" i="3" s="1"/>
  <c r="G55" i="3" s="1"/>
  <c r="AB51" i="3"/>
  <c r="M61" i="3" s="1"/>
  <c r="N61" i="3" s="1"/>
  <c r="AH50" i="3"/>
  <c r="AJ50" i="3" s="1"/>
  <c r="D56" i="3" s="1"/>
  <c r="G56" i="3" s="1"/>
  <c r="AB50" i="3"/>
  <c r="M60" i="3" s="1"/>
  <c r="N60" i="3" s="1"/>
  <c r="AH46" i="3"/>
  <c r="AJ46" i="3" s="1"/>
  <c r="D59" i="3" s="1"/>
  <c r="G59" i="3" s="1"/>
  <c r="AB46" i="3"/>
  <c r="M56" i="3" s="1"/>
  <c r="N57" i="3" s="1"/>
  <c r="AK45" i="3"/>
  <c r="E58" i="3" s="1"/>
  <c r="X45" i="3"/>
  <c r="Y45" i="3"/>
  <c r="AK50" i="3"/>
  <c r="E56" i="3" s="1"/>
  <c r="X50" i="3"/>
  <c r="AH49" i="3"/>
  <c r="AB49" i="3"/>
  <c r="M59" i="3" s="1"/>
  <c r="N59" i="3" s="1"/>
  <c r="X48" i="3"/>
  <c r="AK47" i="3"/>
  <c r="E60" i="3" s="1"/>
  <c r="X47" i="3"/>
  <c r="Y47" i="3"/>
  <c r="S33" i="3"/>
  <c r="S32" i="3"/>
  <c r="Y51" i="3"/>
  <c r="S29" i="3"/>
  <c r="AH47" i="3"/>
  <c r="AJ47" i="3" s="1"/>
  <c r="D60" i="3" s="1"/>
  <c r="G60" i="3" s="1"/>
  <c r="AB47" i="3"/>
  <c r="M57" i="3" s="1"/>
  <c r="N56" i="3" s="1"/>
  <c r="AH45" i="3"/>
  <c r="AJ45" i="3" s="1"/>
  <c r="D58" i="3" s="1"/>
  <c r="G58" i="3" s="1"/>
  <c r="AB45" i="3"/>
  <c r="M55" i="3" s="1"/>
  <c r="N58" i="3" s="1"/>
  <c r="X46" i="3"/>
  <c r="AK46" i="3"/>
  <c r="E59" i="3" s="1"/>
  <c r="Y46" i="3"/>
  <c r="S49" i="3"/>
  <c r="AK29" i="3" l="1"/>
  <c r="AJ30" i="3"/>
  <c r="AK32" i="3"/>
  <c r="AN31" i="3"/>
  <c r="AK33" i="3"/>
  <c r="AK28" i="3"/>
  <c r="AJ28" i="3"/>
  <c r="AM28" i="3" s="1"/>
  <c r="AM72" i="3"/>
  <c r="T82" i="3"/>
  <c r="T83" i="3" s="1"/>
  <c r="H60" i="3"/>
  <c r="H55" i="3"/>
  <c r="H59" i="3"/>
  <c r="AJ33" i="3"/>
  <c r="AM33" i="3" s="1"/>
  <c r="AJ29" i="3"/>
  <c r="AM29" i="3" s="1"/>
  <c r="H58" i="3"/>
  <c r="K60" i="3"/>
  <c r="L60" i="3" s="1"/>
  <c r="Z50" i="3"/>
  <c r="AA50" i="3" s="1"/>
  <c r="I60" i="3" s="1"/>
  <c r="J60" i="3" s="1"/>
  <c r="R60" i="3" s="1"/>
  <c r="H56" i="3"/>
  <c r="K58" i="3"/>
  <c r="L55" i="3" s="1"/>
  <c r="Z48" i="3"/>
  <c r="AA48" i="3" s="1"/>
  <c r="I58" i="3" s="1"/>
  <c r="J55" i="3" s="1"/>
  <c r="R55" i="3" s="1"/>
  <c r="K56" i="3"/>
  <c r="L57" i="3" s="1"/>
  <c r="Z46" i="3"/>
  <c r="AA46" i="3" s="1"/>
  <c r="I56" i="3" s="1"/>
  <c r="J57" i="3" s="1"/>
  <c r="R57" i="3" s="1"/>
  <c r="X49" i="3"/>
  <c r="AK49" i="3"/>
  <c r="E57" i="3" s="1"/>
  <c r="Y49" i="3"/>
  <c r="K57" i="3"/>
  <c r="L56" i="3" s="1"/>
  <c r="Z47" i="3"/>
  <c r="AA47" i="3" s="1"/>
  <c r="I57" i="3" s="1"/>
  <c r="J56" i="3" s="1"/>
  <c r="R56" i="3" s="1"/>
  <c r="AJ49" i="3"/>
  <c r="D57" i="3" s="1"/>
  <c r="G57" i="3" s="1"/>
  <c r="K55" i="3"/>
  <c r="L58" i="3" s="1"/>
  <c r="Z45" i="3"/>
  <c r="AA45" i="3" s="1"/>
  <c r="I55" i="3" s="1"/>
  <c r="J58" i="3" s="1"/>
  <c r="R58" i="3" s="1"/>
  <c r="K61" i="3"/>
  <c r="L61" i="3" s="1"/>
  <c r="Z51" i="3"/>
  <c r="AA51" i="3" s="1"/>
  <c r="I61" i="3" s="1"/>
  <c r="J61" i="3" s="1"/>
  <c r="R61" i="3" s="1"/>
  <c r="AM30" i="3" l="1"/>
  <c r="AN30" i="3" s="1"/>
  <c r="AJ32" i="3"/>
  <c r="AM32" i="3" s="1"/>
  <c r="AN32" i="3" s="1"/>
  <c r="AN33" i="3"/>
  <c r="AN29" i="3"/>
  <c r="K59" i="3"/>
  <c r="L59" i="3" s="1"/>
  <c r="Z49" i="3"/>
  <c r="AA49" i="3" s="1"/>
  <c r="I59" i="3" s="1"/>
  <c r="J59" i="3" s="1"/>
  <c r="R59" i="3" s="1"/>
  <c r="H57" i="3"/>
</calcChain>
</file>

<file path=xl/sharedStrings.xml><?xml version="1.0" encoding="utf-8"?>
<sst xmlns="http://schemas.openxmlformats.org/spreadsheetml/2006/main" count="513" uniqueCount="185">
  <si>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</si>
  <si>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</si>
  <si>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</si>
  <si>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</si>
  <si>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</si>
  <si>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</si>
  <si>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</si>
  <si>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</si>
  <si>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</si>
  <si>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</si>
  <si>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</si>
  <si>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</si>
  <si>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</si>
  <si>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</si>
  <si>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</si>
  <si>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</si>
  <si>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</si>
  <si>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</si>
  <si>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</si>
  <si>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</si>
  <si>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</si>
  <si>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</si>
  <si>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</si>
  <si>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</si>
  <si>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</si>
  <si>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</si>
  <si>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</si>
  <si>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</si>
  <si>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</si>
  <si>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</si>
  <si>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</si>
  <si>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</si>
  <si>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</si>
  <si>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</si>
  <si>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</si>
  <si>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</si>
  <si>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</si>
  <si>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</si>
  <si>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</si>
  <si>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</si>
  <si>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</si>
  <si>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</si>
  <si>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</si>
  <si>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</si>
  <si>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</si>
  <si>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</si>
  <si>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</si>
  <si>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</si>
  <si>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</si>
  <si>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</si>
  <si>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</si>
  <si>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</si>
  <si>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</si>
  <si>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</si>
  <si>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</si>
  <si>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</si>
  <si>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</si>
  <si>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</si>
  <si>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</si>
  <si>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</si>
  <si>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1.7</t>
  </si>
  <si>
    <t>2.4</t>
  </si>
  <si>
    <t>3.6</t>
  </si>
  <si>
    <t>5.4</t>
  </si>
  <si>
    <t>8.7</t>
  </si>
  <si>
    <t>10.6</t>
  </si>
  <si>
    <t>5.3</t>
  </si>
  <si>
    <t>2.8</t>
  </si>
  <si>
    <t>5.5</t>
  </si>
  <si>
    <t>37:19</t>
  </si>
  <si>
    <t>39:11</t>
  </si>
  <si>
    <t>6.3</t>
  </si>
  <si>
    <t>4.5</t>
  </si>
  <si>
    <t>41:24</t>
  </si>
  <si>
    <t>7.3</t>
  </si>
  <si>
    <t>3.5</t>
  </si>
  <si>
    <t>42:56</t>
  </si>
  <si>
    <t>8.5</t>
  </si>
  <si>
    <t>2.5</t>
  </si>
  <si>
    <t>45:41</t>
  </si>
  <si>
    <t>5.0</t>
  </si>
  <si>
    <t>47:20</t>
  </si>
  <si>
    <t>4.1</t>
  </si>
  <si>
    <t>6.2</t>
  </si>
  <si>
    <t>48:40</t>
  </si>
  <si>
    <t>3.4</t>
  </si>
  <si>
    <t>8.2</t>
  </si>
  <si>
    <t>51:02</t>
  </si>
  <si>
    <t>52:46</t>
  </si>
  <si>
    <t>26:04</t>
  </si>
  <si>
    <t>29:47</t>
  </si>
  <si>
    <t>32:00</t>
  </si>
  <si>
    <t>23:46</t>
  </si>
  <si>
    <t>21:37</t>
  </si>
  <si>
    <t>19:17</t>
  </si>
  <si>
    <t>59:10</t>
  </si>
  <si>
    <t>53:57</t>
  </si>
  <si>
    <t>1:00:35</t>
  </si>
  <si>
    <t>1:01:57</t>
  </si>
  <si>
    <t>1:02:47</t>
  </si>
  <si>
    <t>1:05:20</t>
  </si>
  <si>
    <t>Post-Flight Data Sheet AE3202 - METRIC</t>
  </si>
  <si>
    <t>date of flight</t>
  </si>
  <si>
    <t>T/O Time:</t>
  </si>
  <si>
    <t>co-ordinator</t>
  </si>
  <si>
    <t>observer 1L</t>
  </si>
  <si>
    <t>observer 1R</t>
  </si>
  <si>
    <t>observer 2L</t>
  </si>
  <si>
    <t>observer 2R</t>
  </si>
  <si>
    <t>observer 3L</t>
  </si>
  <si>
    <t>observer 3R</t>
  </si>
  <si>
    <t>block fuel [kg]</t>
  </si>
  <si>
    <t>[m]</t>
  </si>
  <si>
    <t>[m/s]</t>
  </si>
  <si>
    <t>[kg/hr]</t>
  </si>
  <si>
    <t>[kg]</t>
  </si>
  <si>
    <t xml:space="preserve">Fe </t>
  </si>
  <si>
    <t xml:space="preserve">ET* </t>
  </si>
  <si>
    <t>Post-Flight Data Sheet AE3202 - Metric</t>
  </si>
  <si>
    <t xml:space="preserve">Weight </t>
  </si>
  <si>
    <t>lbs-kg</t>
  </si>
  <si>
    <t>S</t>
  </si>
  <si>
    <t>OEW [kg]:</t>
  </si>
  <si>
    <t>data of flight:</t>
  </si>
  <si>
    <t>c</t>
  </si>
  <si>
    <t>flight number</t>
  </si>
  <si>
    <t>V3</t>
  </si>
  <si>
    <t>b</t>
  </si>
  <si>
    <t>block fuel [kg]:</t>
  </si>
  <si>
    <t>A</t>
  </si>
  <si>
    <t>Ws</t>
  </si>
  <si>
    <t>pax W [kg]:</t>
  </si>
  <si>
    <t>d</t>
  </si>
  <si>
    <t>Cmd</t>
  </si>
  <si>
    <t>CmTc</t>
  </si>
  <si>
    <t>TAKE-OFF WEIGHT</t>
  </si>
  <si>
    <t>Stationary measurments CL-CD Series 1</t>
  </si>
  <si>
    <t>Clean</t>
  </si>
  <si>
    <t>p</t>
  </si>
  <si>
    <t>CAS</t>
  </si>
  <si>
    <t>Ts</t>
  </si>
  <si>
    <t>M</t>
  </si>
  <si>
    <t>TAS</t>
  </si>
  <si>
    <t>EAS</t>
  </si>
  <si>
    <t>T_ISA</t>
  </si>
  <si>
    <t>delta Ttemp</t>
  </si>
  <si>
    <t>T (from Thrust.exe)</t>
  </si>
  <si>
    <t>[Pa]</t>
  </si>
  <si>
    <t>[K]</t>
  </si>
  <si>
    <r>
      <t>C</t>
    </r>
    <r>
      <rPr>
        <vertAlign val="subscript"/>
        <sz val="11"/>
        <color theme="1"/>
        <rFont val="Calibri"/>
        <family val="2"/>
        <scheme val="minor"/>
      </rPr>
      <t>L</t>
    </r>
  </si>
  <si>
    <r>
      <t>C</t>
    </r>
    <r>
      <rPr>
        <vertAlign val="subscript"/>
        <sz val="11"/>
        <color theme="1"/>
        <rFont val="Calibri"/>
        <family val="2"/>
        <scheme val="minor"/>
      </rPr>
      <t>D</t>
    </r>
  </si>
  <si>
    <t>α</t>
  </si>
  <si>
    <r>
      <t>C</t>
    </r>
    <r>
      <rPr>
        <vertAlign val="subscript"/>
        <sz val="11"/>
        <color theme="1"/>
        <rFont val="Calibri"/>
        <family val="2"/>
        <scheme val="minor"/>
      </rPr>
      <t>L</t>
    </r>
    <r>
      <rPr>
        <vertAlign val="superscript"/>
        <sz val="11"/>
        <color theme="1"/>
        <rFont val="Calibri"/>
        <family val="2"/>
        <scheme val="minor"/>
      </rPr>
      <t>2</t>
    </r>
  </si>
  <si>
    <r>
      <t>e</t>
    </r>
    <r>
      <rPr>
        <vertAlign val="subscript"/>
        <sz val="11"/>
        <color theme="1"/>
        <rFont val="Calibri"/>
        <family val="2"/>
        <scheme val="minor"/>
      </rPr>
      <t>0</t>
    </r>
  </si>
  <si>
    <t>Substract fuel [kg]</t>
  </si>
  <si>
    <r>
      <t>C</t>
    </r>
    <r>
      <rPr>
        <vertAlign val="subscript"/>
        <sz val="11"/>
        <color theme="1"/>
        <rFont val="Calibri"/>
        <family val="2"/>
        <scheme val="minor"/>
      </rPr>
      <t>D0</t>
    </r>
  </si>
  <si>
    <t>From graph</t>
  </si>
  <si>
    <t>delta T</t>
  </si>
  <si>
    <t>T</t>
  </si>
  <si>
    <t>REAS</t>
  </si>
  <si>
    <t>Tc</t>
  </si>
  <si>
    <t>Tcs</t>
  </si>
  <si>
    <t>de_eq*</t>
  </si>
  <si>
    <t>Fe*</t>
  </si>
  <si>
    <t>[-]</t>
  </si>
  <si>
    <r>
      <t>C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rgb="FF000000"/>
        <rFont val="Calibri"/>
        <family val="2"/>
        <charset val="1"/>
      </rPr>
      <t xml:space="preserve"> sorted</t>
    </r>
  </si>
  <si>
    <r>
      <t>C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rgb="FF000000"/>
        <rFont val="Calibri"/>
        <family val="2"/>
        <charset val="1"/>
      </rPr>
      <t xml:space="preserve"> sorted</t>
    </r>
  </si>
  <si>
    <r>
      <rPr>
        <sz val="11"/>
        <color theme="1"/>
        <rFont val="Calibri"/>
        <family val="2"/>
      </rPr>
      <t>α</t>
    </r>
    <r>
      <rPr>
        <sz val="11"/>
        <color rgb="FF000000"/>
        <rFont val="Calibri"/>
        <family val="2"/>
        <charset val="1"/>
      </rPr>
      <t xml:space="preserve"> sorted</t>
    </r>
  </si>
  <si>
    <t>Julian</t>
  </si>
  <si>
    <t>position</t>
  </si>
  <si>
    <t>3R</t>
  </si>
  <si>
    <t>FRONT</t>
  </si>
  <si>
    <t>x_cg</t>
  </si>
  <si>
    <r>
      <t>C</t>
    </r>
    <r>
      <rPr>
        <vertAlign val="subscript"/>
        <sz val="11"/>
        <color theme="1"/>
        <rFont val="Calibri"/>
        <family val="2"/>
        <scheme val="minor"/>
      </rPr>
      <t>N</t>
    </r>
  </si>
  <si>
    <t>Determining the elevator effectiveness, Cmd</t>
  </si>
  <si>
    <t>x_cg1</t>
  </si>
  <si>
    <t>x_cg2</t>
  </si>
  <si>
    <t>dx_cg</t>
  </si>
  <si>
    <t>rho</t>
  </si>
  <si>
    <t>[kg/m^3]</t>
  </si>
  <si>
    <t>e</t>
  </si>
  <si>
    <t>alpha</t>
  </si>
  <si>
    <t>Cma</t>
  </si>
  <si>
    <t>Cd</t>
  </si>
  <si>
    <t>Cl2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</si>
</sst>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h:mm;@"/>
    <numFmt numFmtId="165" formatCode="0.0000"/>
    <numFmt numFmtId="166" formatCode="0.000"/>
    <numFmt numFmtId="167" formatCode="0.0"/>
    <numFmt numFmtId="168" formatCode="[$-F400]h:mm:ss\ AM/PM"/>
    <numFmt numFmtId="169" formatCode="0.00000"/>
  </numFmts>
  <fonts count="1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164" fontId="0" fillId="0" borderId="0" xfId="0" applyNumberFormat="1" applyProtection="1">
      <protection locked="0"/>
    </xf>
    <xf numFmtId="164" fontId="0" fillId="0" borderId="0" xfId="0" quotePrefix="1" applyNumberFormat="1" applyProtection="1">
      <protection locked="0"/>
    </xf>
    <xf numFmtId="46" fontId="0" fillId="0" borderId="0" xfId="0" quotePrefix="1" applyNumberFormat="1" applyProtection="1">
      <protection locked="0"/>
    </xf>
    <xf numFmtId="20" fontId="0" fillId="0" borderId="0" xfId="0" quotePrefix="1" applyNumberFormat="1" applyProtection="1">
      <protection locked="0"/>
    </xf>
    <xf numFmtId="16" fontId="0" fillId="0" borderId="0" xfId="0" applyNumberFormat="1" applyProtection="1">
      <protection locked="0"/>
    </xf>
    <xf numFmtId="0" fontId="4" fillId="0" borderId="0" xfId="0" applyFont="1"/>
    <xf numFmtId="16" fontId="0" fillId="0" borderId="0" xfId="0" applyNumberFormat="1"/>
    <xf numFmtId="20" fontId="0" fillId="0" borderId="0" xfId="0" applyNumberFormat="1"/>
    <xf numFmtId="1" fontId="0" fillId="0" borderId="0" xfId="0" applyNumberFormat="1"/>
    <xf numFmtId="0" fontId="6" fillId="0" borderId="0" xfId="0" applyFont="1"/>
    <xf numFmtId="0" fontId="0" fillId="2" borderId="0" xfId="0" applyFill="1"/>
    <xf numFmtId="0" fontId="0" fillId="3" borderId="1" xfId="0" applyFill="1" applyBorder="1"/>
    <xf numFmtId="1" fontId="6" fillId="3" borderId="2" xfId="0" applyNumberFormat="1" applyFont="1" applyFill="1" applyBorder="1"/>
    <xf numFmtId="1" fontId="0" fillId="3" borderId="1" xfId="0" applyNumberFormat="1" applyFill="1" applyBorder="1"/>
    <xf numFmtId="2" fontId="0" fillId="2" borderId="0" xfId="0" applyNumberFormat="1" applyFill="1"/>
    <xf numFmtId="0" fontId="0" fillId="4" borderId="0" xfId="0" applyFill="1"/>
    <xf numFmtId="0" fontId="0" fillId="4" borderId="3" xfId="0" applyFill="1" applyBorder="1"/>
    <xf numFmtId="1" fontId="0" fillId="4" borderId="0" xfId="0" applyNumberFormat="1" applyFill="1"/>
    <xf numFmtId="14" fontId="0" fillId="0" borderId="0" xfId="0" applyNumberFormat="1"/>
    <xf numFmtId="0" fontId="0" fillId="4" borderId="1" xfId="0" applyFill="1" applyBorder="1"/>
    <xf numFmtId="0" fontId="0" fillId="4" borderId="2" xfId="0" applyFill="1" applyBorder="1"/>
    <xf numFmtId="0" fontId="6" fillId="4" borderId="3" xfId="0" applyFont="1" applyFill="1" applyBorder="1"/>
    <xf numFmtId="1" fontId="6" fillId="4" borderId="0" xfId="0" applyNumberFormat="1" applyFont="1" applyFill="1"/>
    <xf numFmtId="0" fontId="0" fillId="5" borderId="1" xfId="0" applyFill="1" applyBorder="1"/>
    <xf numFmtId="0" fontId="8" fillId="5" borderId="1" xfId="0" applyFont="1" applyFill="1" applyBorder="1"/>
    <xf numFmtId="2" fontId="0" fillId="0" borderId="0" xfId="0" applyNumberFormat="1"/>
    <xf numFmtId="2" fontId="10" fillId="0" borderId="0" xfId="0" applyNumberFormat="1" applyFont="1"/>
    <xf numFmtId="2" fontId="11" fillId="0" borderId="0" xfId="0" applyNumberFormat="1" applyFont="1"/>
    <xf numFmtId="165" fontId="0" fillId="0" borderId="0" xfId="0" applyNumberFormat="1"/>
    <xf numFmtId="166" fontId="0" fillId="0" borderId="0" xfId="0" applyNumberFormat="1"/>
    <xf numFmtId="166" fontId="10" fillId="2" borderId="0" xfId="0" applyNumberFormat="1" applyFont="1" applyFill="1"/>
    <xf numFmtId="167" fontId="0" fillId="2" borderId="0" xfId="0" applyNumberFormat="1" applyFill="1"/>
    <xf numFmtId="166" fontId="0" fillId="2" borderId="0" xfId="0" applyNumberFormat="1" applyFill="1"/>
    <xf numFmtId="166" fontId="10" fillId="0" borderId="0" xfId="0" applyNumberFormat="1" applyFont="1"/>
    <xf numFmtId="168" fontId="0" fillId="0" borderId="0" xfId="0" applyNumberFormat="1"/>
    <xf numFmtId="167" fontId="0" fillId="0" borderId="0" xfId="0" applyNumberFormat="1"/>
    <xf numFmtId="0" fontId="0" fillId="5" borderId="0" xfId="0" applyFill="1"/>
    <xf numFmtId="0" fontId="12" fillId="0" borderId="0" xfId="0" applyFont="1"/>
    <xf numFmtId="2" fontId="0" fillId="4" borderId="0" xfId="0" applyNumberFormat="1" applyFill="1"/>
    <xf numFmtId="1" fontId="10" fillId="2" borderId="0" xfId="0" applyNumberFormat="1" applyFont="1" applyFill="1"/>
    <xf numFmtId="0" fontId="0" fillId="6" borderId="1" xfId="0" applyFill="1" applyBorder="1"/>
    <xf numFmtId="0" fontId="0" fillId="7" borderId="1" xfId="0" applyFill="1" applyBorder="1"/>
    <xf numFmtId="166" fontId="10" fillId="8" borderId="0" xfId="0" applyNumberFormat="1" applyFont="1" applyFill="1"/>
    <xf numFmtId="166" fontId="10" fillId="9" borderId="0" xfId="0" applyNumberFormat="1" applyFont="1" applyFill="1"/>
    <xf numFmtId="0" fontId="8" fillId="5" borderId="0" xfId="0" applyFont="1" applyFill="1"/>
    <xf numFmtId="0" fontId="13" fillId="10" borderId="0" xfId="0" applyFont="1" applyFill="1"/>
    <xf numFmtId="0" fontId="0" fillId="10" borderId="0" xfId="0" applyFill="1"/>
    <xf numFmtId="0" fontId="0" fillId="11" borderId="0" xfId="0" applyFill="1"/>
    <xf numFmtId="169" fontId="0" fillId="11" borderId="0" xfId="0" applyNumberFormat="1" applyFill="1"/>
    <xf numFmtId="167" fontId="0" fillId="11" borderId="0" xfId="0" applyNumberFormat="1" applyFill="1"/>
    <xf numFmtId="165" fontId="0" fillId="0" borderId="0" xfId="0" applyNumberFormat="1" applyFill="1"/>
    <xf numFmtId="0" fontId="0" fillId="0" borderId="0" xfId="0" applyFill="1"/>
    <xf numFmtId="0" fontId="12" fillId="0" borderId="0" xfId="0" applyFont="1" applyFill="1"/>
    <xf numFmtId="165" fontId="14" fillId="0" borderId="0" xfId="0" applyNumberFormat="1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CD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Sheet1!$AK$28:$AK$33</c:f>
              <c:numCache>
                <c:formatCode>0.000</c:formatCode>
                <c:ptCount val="6"/>
                <c:pt idx="0">
                  <c:v>2.5324765030919492E-2</c:v>
                </c:pt>
                <c:pt idx="1">
                  <c:v>2.6197968421421636E-2</c:v>
                </c:pt>
                <c:pt idx="2">
                  <c:v>2.8303754543725274E-2</c:v>
                </c:pt>
                <c:pt idx="3">
                  <c:v>3.1032500365259577E-2</c:v>
                </c:pt>
                <c:pt idx="4">
                  <c:v>5.0178507306054103E-2</c:v>
                </c:pt>
                <c:pt idx="5">
                  <c:v>7.100917707904697E-2</c:v>
                </c:pt>
              </c:numCache>
            </c:numRef>
          </c:xVal>
          <c:yVal>
            <c:numRef>
              <c:f>Sheet1!$AJ$28:$AJ$33</c:f>
              <c:numCache>
                <c:formatCode>0.000</c:formatCode>
                <c:ptCount val="6"/>
                <c:pt idx="0">
                  <c:v>0.2179167925817676</c:v>
                </c:pt>
                <c:pt idx="1">
                  <c:v>0.27582563875525951</c:v>
                </c:pt>
                <c:pt idx="2">
                  <c:v>0.36508957561230709</c:v>
                </c:pt>
                <c:pt idx="3">
                  <c:v>0.50679345108629925</c:v>
                </c:pt>
                <c:pt idx="4">
                  <c:v>0.79791217370818568</c:v>
                </c:pt>
                <c:pt idx="5">
                  <c:v>0.96865725604009023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80-48B3-B7DF-68ADAD946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d_e_eq* - V_REAS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Sheet1!$Q$55:$Q$61</c:f>
              <c:numCache>
                <c:formatCode>0.000</c:formatCode>
                <c:ptCount val="7"/>
                <c:pt idx="0">
                  <c:v>8.5</c:v>
                </c:pt>
                <c:pt idx="1">
                  <c:v>7.3</c:v>
                </c:pt>
                <c:pt idx="2">
                  <c:v>6.3</c:v>
                </c:pt>
                <c:pt idx="3">
                  <c:v>5.3</c:v>
                </c:pt>
                <c:pt idx="4">
                  <c:v>4.5</c:v>
                </c:pt>
                <c:pt idx="5">
                  <c:v>4.0999999999999996</c:v>
                </c:pt>
                <c:pt idx="6">
                  <c:v>3.4</c:v>
                </c:pt>
              </c:numCache>
            </c:numRef>
          </c:xVal>
          <c:yVal>
            <c:numRef>
              <c:f>Sheet1!$R$55:$R$61</c:f>
              <c:numCache>
                <c:formatCode>0.000</c:formatCode>
                <c:ptCount val="7"/>
                <c:pt idx="0">
                  <c:v>-1.5453567813156015</c:v>
                </c:pt>
                <c:pt idx="1">
                  <c:v>-0.93992989213183453</c:v>
                </c:pt>
                <c:pt idx="2">
                  <c:v>-0.43649459865001994</c:v>
                </c:pt>
                <c:pt idx="3">
                  <c:v>-3.2393571929929234E-2</c:v>
                </c:pt>
                <c:pt idx="4">
                  <c:v>0.37929299208234274</c:v>
                </c:pt>
                <c:pt idx="5">
                  <c:v>0.5822254445635161</c:v>
                </c:pt>
                <c:pt idx="6">
                  <c:v>0.98592560126790663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CD-441F-A48D-94C17EFA5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α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[m/s]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δ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e_eq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Sheet1!$AL$28:$AL$33</c:f>
              <c:numCache>
                <c:formatCode>0.0</c:formatCode>
                <c:ptCount val="6"/>
                <c:pt idx="0">
                  <c:v>1.7</c:v>
                </c:pt>
                <c:pt idx="1">
                  <c:v>2.4</c:v>
                </c:pt>
                <c:pt idx="2">
                  <c:v>3.6</c:v>
                </c:pt>
                <c:pt idx="3">
                  <c:v>5.4</c:v>
                </c:pt>
                <c:pt idx="4">
                  <c:v>8.6999999999999993</c:v>
                </c:pt>
                <c:pt idx="5">
                  <c:v>10.6</c:v>
                </c:pt>
              </c:numCache>
            </c:numRef>
          </c:xVal>
          <c:yVal>
            <c:numRef>
              <c:f>Sheet1!$AJ$28:$AJ$33</c:f>
              <c:numCache>
                <c:formatCode>0.000</c:formatCode>
                <c:ptCount val="6"/>
                <c:pt idx="0">
                  <c:v>0.2179167925817676</c:v>
                </c:pt>
                <c:pt idx="1">
                  <c:v>0.27582563875525951</c:v>
                </c:pt>
                <c:pt idx="2">
                  <c:v>0.36508957561230709</c:v>
                </c:pt>
                <c:pt idx="3">
                  <c:v>0.50679345108629925</c:v>
                </c:pt>
                <c:pt idx="4">
                  <c:v>0.79791217370818568</c:v>
                </c:pt>
                <c:pt idx="5">
                  <c:v>0.96865725604009023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FA-4D2C-AB2C-C34B11406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α</a:t>
                </a:r>
                <a:r>
                  <a:rPr lang="en-GB" sz="1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[°]</a:t>
                </a:r>
                <a:endParaRPr lang="nl-NL" sz="14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CD - 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Sheet1!$AL$28:$AL$33</c:f>
              <c:numCache>
                <c:formatCode>0.0</c:formatCode>
                <c:ptCount val="6"/>
                <c:pt idx="0">
                  <c:v>1.7</c:v>
                </c:pt>
                <c:pt idx="1">
                  <c:v>2.4</c:v>
                </c:pt>
                <c:pt idx="2">
                  <c:v>3.6</c:v>
                </c:pt>
                <c:pt idx="3">
                  <c:v>5.4</c:v>
                </c:pt>
                <c:pt idx="4">
                  <c:v>8.6999999999999993</c:v>
                </c:pt>
                <c:pt idx="5">
                  <c:v>10.6</c:v>
                </c:pt>
              </c:numCache>
            </c:numRef>
          </c:xVal>
          <c:yVal>
            <c:numRef>
              <c:f>Sheet1!$AK$28:$AK$33</c:f>
              <c:numCache>
                <c:formatCode>0.000</c:formatCode>
                <c:ptCount val="6"/>
                <c:pt idx="0">
                  <c:v>2.5324765030919492E-2</c:v>
                </c:pt>
                <c:pt idx="1">
                  <c:v>2.6197968421421636E-2</c:v>
                </c:pt>
                <c:pt idx="2">
                  <c:v>2.8303754543725274E-2</c:v>
                </c:pt>
                <c:pt idx="3">
                  <c:v>3.1032500365259577E-2</c:v>
                </c:pt>
                <c:pt idx="4">
                  <c:v>5.0178507306054103E-2</c:v>
                </c:pt>
                <c:pt idx="5">
                  <c:v>7.100917707904697E-2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B7-4AB5-8632-A076A0464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α</a:t>
                </a:r>
                <a:r>
                  <a:rPr lang="en-GB" sz="1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[°]</a:t>
                </a:r>
                <a:endParaRPr lang="nl-NL" sz="14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CL^2 - CD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.0000000000000002E-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Sheet1!$AK$28:$AK$33</c:f>
              <c:numCache>
                <c:formatCode>0.000</c:formatCode>
                <c:ptCount val="6"/>
                <c:pt idx="0">
                  <c:v>2.5324765030919492E-2</c:v>
                </c:pt>
                <c:pt idx="1">
                  <c:v>2.6197968421421636E-2</c:v>
                </c:pt>
                <c:pt idx="2">
                  <c:v>2.8303754543725274E-2</c:v>
                </c:pt>
                <c:pt idx="3">
                  <c:v>3.1032500365259577E-2</c:v>
                </c:pt>
                <c:pt idx="4">
                  <c:v>5.0178507306054103E-2</c:v>
                </c:pt>
                <c:pt idx="5">
                  <c:v>7.100917707904697E-2</c:v>
                </c:pt>
              </c:numCache>
            </c:numRef>
          </c:xVal>
          <c:yVal>
            <c:numRef>
              <c:f>Sheet1!$AM$28:$AM$33</c:f>
              <c:numCache>
                <c:formatCode>0.000</c:formatCode>
                <c:ptCount val="6"/>
                <c:pt idx="0">
                  <c:v>4.7487728489125122E-2</c:v>
                </c:pt>
                <c:pt idx="1">
                  <c:v>7.6079782994746908E-2</c:v>
                </c:pt>
                <c:pt idx="2">
                  <c:v>0.13329039822077449</c:v>
                </c:pt>
                <c:pt idx="3">
                  <c:v>0.25683960206396117</c:v>
                </c:pt>
                <c:pt idx="4">
                  <c:v>0.63666383695172191</c:v>
                </c:pt>
                <c:pt idx="5">
                  <c:v>0.9382968796791169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68-448A-91D7-B7A094FC1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30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2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CD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Sheet1!$E$55:$E$61</c:f>
              <c:numCache>
                <c:formatCode>0.000</c:formatCode>
                <c:ptCount val="7"/>
                <c:pt idx="0">
                  <c:v>2.2328735169103324E-2</c:v>
                </c:pt>
                <c:pt idx="1">
                  <c:v>2.6112309823875652E-2</c:v>
                </c:pt>
                <c:pt idx="2">
                  <c:v>2.7990697717466539E-2</c:v>
                </c:pt>
                <c:pt idx="3">
                  <c:v>3.2905699889181891E-2</c:v>
                </c:pt>
                <c:pt idx="4">
                  <c:v>3.8854360373795152E-2</c:v>
                </c:pt>
                <c:pt idx="5">
                  <c:v>4.544308502063011E-2</c:v>
                </c:pt>
                <c:pt idx="6">
                  <c:v>5.3860455128057809E-2</c:v>
                </c:pt>
              </c:numCache>
            </c:numRef>
          </c:xVal>
          <c:yVal>
            <c:numRef>
              <c:f>Sheet1!$D$55:$D$61</c:f>
              <c:numCache>
                <c:formatCode>0.000</c:formatCode>
                <c:ptCount val="7"/>
                <c:pt idx="0">
                  <c:v>0.35503091667658349</c:v>
                </c:pt>
                <c:pt idx="1">
                  <c:v>0.40964911505987472</c:v>
                </c:pt>
                <c:pt idx="2">
                  <c:v>0.43974709224861286</c:v>
                </c:pt>
                <c:pt idx="3">
                  <c:v>0.51317972021993852</c:v>
                </c:pt>
                <c:pt idx="4">
                  <c:v>0.59086559125904159</c:v>
                </c:pt>
                <c:pt idx="5">
                  <c:v>0.67765263817216348</c:v>
                </c:pt>
                <c:pt idx="6">
                  <c:v>0.78607033173851326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40-4E2E-8C11-44DB9BB46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Sheet1!$F$55:$F$61</c:f>
              <c:numCache>
                <c:formatCode>0.000</c:formatCode>
                <c:ptCount val="7"/>
                <c:pt idx="0">
                  <c:v>3.4</c:v>
                </c:pt>
                <c:pt idx="1">
                  <c:v>4.0999999999999996</c:v>
                </c:pt>
                <c:pt idx="2">
                  <c:v>4.5</c:v>
                </c:pt>
                <c:pt idx="3">
                  <c:v>5.3</c:v>
                </c:pt>
                <c:pt idx="4">
                  <c:v>6.3</c:v>
                </c:pt>
                <c:pt idx="5">
                  <c:v>7.3</c:v>
                </c:pt>
                <c:pt idx="6">
                  <c:v>8.5</c:v>
                </c:pt>
              </c:numCache>
            </c:numRef>
          </c:xVal>
          <c:yVal>
            <c:numRef>
              <c:f>Sheet1!$D$55:$D$61</c:f>
              <c:numCache>
                <c:formatCode>0.000</c:formatCode>
                <c:ptCount val="7"/>
                <c:pt idx="0">
                  <c:v>0.35503091667658349</c:v>
                </c:pt>
                <c:pt idx="1">
                  <c:v>0.40964911505987472</c:v>
                </c:pt>
                <c:pt idx="2">
                  <c:v>0.43974709224861286</c:v>
                </c:pt>
                <c:pt idx="3">
                  <c:v>0.51317972021993852</c:v>
                </c:pt>
                <c:pt idx="4">
                  <c:v>0.59086559125904159</c:v>
                </c:pt>
                <c:pt idx="5">
                  <c:v>0.67765263817216348</c:v>
                </c:pt>
                <c:pt idx="6">
                  <c:v>0.78607033173851326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4-4BEA-9975-92A9FF23B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α</a:t>
                </a:r>
                <a:r>
                  <a:rPr lang="en-GB" sz="1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[°]</a:t>
                </a:r>
                <a:endParaRPr lang="nl-NL" sz="14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67704494419796"/>
          <c:y val="2.4973852975642915E-2"/>
          <c:w val="0.75174535678637799"/>
          <c:h val="0.80129862460746659"/>
        </c:manualLayout>
      </c:layout>
      <c:scatterChart>
        <c:scatterStyle val="lineMarker"/>
        <c:varyColors val="0"/>
        <c:ser>
          <c:idx val="0"/>
          <c:order val="0"/>
          <c:tx>
            <c:v>CD - alpha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Sheet1!$F$55:$F$61</c:f>
              <c:numCache>
                <c:formatCode>0.000</c:formatCode>
                <c:ptCount val="7"/>
                <c:pt idx="0">
                  <c:v>3.4</c:v>
                </c:pt>
                <c:pt idx="1">
                  <c:v>4.0999999999999996</c:v>
                </c:pt>
                <c:pt idx="2">
                  <c:v>4.5</c:v>
                </c:pt>
                <c:pt idx="3">
                  <c:v>5.3</c:v>
                </c:pt>
                <c:pt idx="4">
                  <c:v>6.3</c:v>
                </c:pt>
                <c:pt idx="5">
                  <c:v>7.3</c:v>
                </c:pt>
                <c:pt idx="6">
                  <c:v>8.5</c:v>
                </c:pt>
              </c:numCache>
            </c:numRef>
          </c:xVal>
          <c:yVal>
            <c:numRef>
              <c:f>Sheet1!$E$55:$E$61</c:f>
              <c:numCache>
                <c:formatCode>0.000</c:formatCode>
                <c:ptCount val="7"/>
                <c:pt idx="0">
                  <c:v>2.2328735169103324E-2</c:v>
                </c:pt>
                <c:pt idx="1">
                  <c:v>2.6112309823875652E-2</c:v>
                </c:pt>
                <c:pt idx="2">
                  <c:v>2.7990697717466539E-2</c:v>
                </c:pt>
                <c:pt idx="3">
                  <c:v>3.2905699889181891E-2</c:v>
                </c:pt>
                <c:pt idx="4">
                  <c:v>3.8854360373795152E-2</c:v>
                </c:pt>
                <c:pt idx="5">
                  <c:v>4.544308502063011E-2</c:v>
                </c:pt>
                <c:pt idx="6">
                  <c:v>5.3860455128057809E-2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46-4D99-AE5A-107269FF8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α</a:t>
                </a:r>
                <a:r>
                  <a:rPr lang="en-GB" sz="1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[°]</a:t>
                </a:r>
                <a:endParaRPr lang="nl-NL" sz="14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361459614165716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d_e_eq* - V_REAS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Sheet1!$L$55:$L$61</c:f>
              <c:numCache>
                <c:formatCode>0.000</c:formatCode>
                <c:ptCount val="7"/>
                <c:pt idx="0">
                  <c:v>64.71721597855985</c:v>
                </c:pt>
                <c:pt idx="1">
                  <c:v>69.702276465379043</c:v>
                </c:pt>
                <c:pt idx="2">
                  <c:v>74.645937892849673</c:v>
                </c:pt>
                <c:pt idx="3">
                  <c:v>80.096914450360671</c:v>
                </c:pt>
                <c:pt idx="4">
                  <c:v>86.526480866531131</c:v>
                </c:pt>
                <c:pt idx="5">
                  <c:v>89.648807815569668</c:v>
                </c:pt>
                <c:pt idx="6">
                  <c:v>96.298038742252388</c:v>
                </c:pt>
              </c:numCache>
            </c:numRef>
          </c:xVal>
          <c:yVal>
            <c:numRef>
              <c:f>Sheet1!$J$55:$J$61</c:f>
              <c:numCache>
                <c:formatCode>0.000</c:formatCode>
                <c:ptCount val="7"/>
                <c:pt idx="0">
                  <c:v>-2.6971563951979232E-2</c:v>
                </c:pt>
                <c:pt idx="1">
                  <c:v>-1.6404871355615656E-2</c:v>
                </c:pt>
                <c:pt idx="2">
                  <c:v>-7.6182679136140427E-3</c:v>
                </c:pt>
                <c:pt idx="3">
                  <c:v>-5.6537448665887899E-4</c:v>
                </c:pt>
                <c:pt idx="4">
                  <c:v>6.6199115415776629E-3</c:v>
                </c:pt>
                <c:pt idx="5">
                  <c:v>1.0161750996521076E-2</c:v>
                </c:pt>
                <c:pt idx="6">
                  <c:v>1.7207647921829751E-2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7F-4D8A-99F0-5041E546E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V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REAS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[m/s]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  <c:majorUnit val="10"/>
        <c:minorUnit val="5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δ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e_eq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F_e* - V_REAS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Sheet1!$L$55:$L$61</c:f>
              <c:numCache>
                <c:formatCode>0.000</c:formatCode>
                <c:ptCount val="7"/>
                <c:pt idx="0">
                  <c:v>64.71721597855985</c:v>
                </c:pt>
                <c:pt idx="1">
                  <c:v>69.702276465379043</c:v>
                </c:pt>
                <c:pt idx="2">
                  <c:v>74.645937892849673</c:v>
                </c:pt>
                <c:pt idx="3">
                  <c:v>80.096914450360671</c:v>
                </c:pt>
                <c:pt idx="4">
                  <c:v>86.526480866531131</c:v>
                </c:pt>
                <c:pt idx="5">
                  <c:v>89.648807815569668</c:v>
                </c:pt>
                <c:pt idx="6">
                  <c:v>96.298038742252388</c:v>
                </c:pt>
              </c:numCache>
            </c:numRef>
          </c:xVal>
          <c:yVal>
            <c:numRef>
              <c:f>Sheet1!$N$55:$N$61</c:f>
              <c:numCache>
                <c:formatCode>0.000</c:formatCode>
                <c:ptCount val="7"/>
                <c:pt idx="0">
                  <c:v>-44.551699294519231</c:v>
                </c:pt>
                <c:pt idx="1">
                  <c:v>-28.037025248346879</c:v>
                </c:pt>
                <c:pt idx="2">
                  <c:v>-22.17950090351945</c:v>
                </c:pt>
                <c:pt idx="3">
                  <c:v>0</c:v>
                </c:pt>
                <c:pt idx="4">
                  <c:v>25.25874245982655</c:v>
                </c:pt>
                <c:pt idx="5">
                  <c:v>38.934696350074475</c:v>
                </c:pt>
                <c:pt idx="6">
                  <c:v>80.911102949107573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2-47D5-99C4-77ECBD28D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  <c:min val="6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V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REAS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[m/s]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  <c:majorUnit val="10"/>
        <c:minorUnit val="5"/>
      </c:valAx>
      <c:valAx>
        <c:axId val="66159809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GB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F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e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*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425330</xdr:colOff>
      <xdr:row>22</xdr:row>
      <xdr:rowOff>126700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8640" y="987480"/>
          <a:ext cx="2424240" cy="3332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0</xdr:colOff>
      <xdr:row>5</xdr:row>
      <xdr:rowOff>0</xdr:rowOff>
    </xdr:from>
    <xdr:to>
      <xdr:col>50</xdr:col>
      <xdr:colOff>271145</xdr:colOff>
      <xdr:row>26</xdr:row>
      <xdr:rowOff>99059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473A04-9777-4068-9DB0-4F5FC8F83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0</xdr:colOff>
      <xdr:row>5</xdr:row>
      <xdr:rowOff>0</xdr:rowOff>
    </xdr:from>
    <xdr:to>
      <xdr:col>57</xdr:col>
      <xdr:colOff>462375</xdr:colOff>
      <xdr:row>24</xdr:row>
      <xdr:rowOff>126233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2D046F-A667-4C5E-B160-751567D33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60</xdr:col>
      <xdr:colOff>0</xdr:colOff>
      <xdr:row>5</xdr:row>
      <xdr:rowOff>0</xdr:rowOff>
    </xdr:from>
    <xdr:to>
      <xdr:col>66</xdr:col>
      <xdr:colOff>462375</xdr:colOff>
      <xdr:row>24</xdr:row>
      <xdr:rowOff>126233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1192BB-4251-494F-9AA4-E4431E9C8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69</xdr:col>
      <xdr:colOff>0</xdr:colOff>
      <xdr:row>5</xdr:row>
      <xdr:rowOff>0</xdr:rowOff>
    </xdr:from>
    <xdr:to>
      <xdr:col>75</xdr:col>
      <xdr:colOff>462375</xdr:colOff>
      <xdr:row>24</xdr:row>
      <xdr:rowOff>126233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A3FC71-5F85-4D6A-9798-3684060CF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0</xdr:colOff>
      <xdr:row>33</xdr:row>
      <xdr:rowOff>0</xdr:rowOff>
    </xdr:from>
    <xdr:to>
      <xdr:col>48</xdr:col>
      <xdr:colOff>462375</xdr:colOff>
      <xdr:row>53</xdr:row>
      <xdr:rowOff>64955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C21253-3EFD-4983-A505-659A89C18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501650</xdr:colOff>
      <xdr:row>32</xdr:row>
      <xdr:rowOff>0</xdr:rowOff>
    </xdr:from>
    <xdr:to>
      <xdr:col>57</xdr:col>
      <xdr:colOff>325215</xdr:colOff>
      <xdr:row>52</xdr:row>
      <xdr:rowOff>63685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56CC59-89F4-40BA-9AFA-A31030C5E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60</xdr:col>
      <xdr:colOff>0</xdr:colOff>
      <xdr:row>33</xdr:row>
      <xdr:rowOff>0</xdr:rowOff>
    </xdr:from>
    <xdr:to>
      <xdr:col>66</xdr:col>
      <xdr:colOff>462375</xdr:colOff>
      <xdr:row>53</xdr:row>
      <xdr:rowOff>64955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982E22-A5F8-4387-B523-F97A4B0FC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0</xdr:colOff>
      <xdr:row>56</xdr:row>
      <xdr:rowOff>0</xdr:rowOff>
    </xdr:from>
    <xdr:to>
      <xdr:col>48</xdr:col>
      <xdr:colOff>464915</xdr:colOff>
      <xdr:row>75</xdr:row>
      <xdr:rowOff>95435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3F0A301-22BC-41FC-8CA1-12118D997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463550</xdr:colOff>
      <xdr:row>55</xdr:row>
      <xdr:rowOff>31750</xdr:rowOff>
    </xdr:from>
    <xdr:to>
      <xdr:col>56</xdr:col>
      <xdr:colOff>284575</xdr:colOff>
      <xdr:row>74</xdr:row>
      <xdr:rowOff>177985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B31925E-5845-4C7A-8898-3939785D9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0</xdr:colOff>
      <xdr:row>77</xdr:row>
      <xdr:rowOff>0</xdr:rowOff>
    </xdr:from>
    <xdr:to>
      <xdr:col>48</xdr:col>
      <xdr:colOff>463645</xdr:colOff>
      <xdr:row>97</xdr:row>
      <xdr:rowOff>185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906ABCB-AD5A-4E24-A940-999CCFBD4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tch/Documents/TU%20Delft/BSc-3/AE3212-II%20Simulation,%20Verification%20&amp;%20Validation/Aerodynamics/31/B31/Testflightdata/statmeas3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erial Units"/>
      <sheetName val="Metric Units"/>
      <sheetName val="statmeas3"/>
      <sheetName val="statmeas1"/>
      <sheetName val="statmeas2"/>
      <sheetName val="thrust"/>
    </sheetNames>
    <sheetDataSet>
      <sheetData sheetId="0">
        <row r="75">
          <cell r="G75">
            <v>0</v>
          </cell>
          <cell r="I75">
            <v>0</v>
          </cell>
        </row>
        <row r="83">
          <cell r="D83">
            <v>2.9166666666666664E-2</v>
          </cell>
          <cell r="E83" t="str">
            <v>Dutch Roll</v>
          </cell>
          <cell r="G83">
            <v>3.1944444444444449E-2</v>
          </cell>
          <cell r="H83" t="str">
            <v>Aper. Roll</v>
          </cell>
          <cell r="J83">
            <v>3.3333333333333333E-2</v>
          </cell>
        </row>
        <row r="84">
          <cell r="D84">
            <v>3.125E-2</v>
          </cell>
          <cell r="E84" t="str">
            <v>Dutch Roll YD</v>
          </cell>
          <cell r="G84">
            <v>3.2638888888888891E-2</v>
          </cell>
          <cell r="H84" t="str">
            <v xml:space="preserve">Spiral </v>
          </cell>
          <cell r="J84">
            <v>3.6111111111111115E-2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opLeftCell="A34" zoomScaleNormal="100" zoomScaleSheetLayoutView="100" workbookViewId="0">
      <selection activeCell="B76" sqref="B76"/>
    </sheetView>
  </sheetViews>
  <sheetFormatPr defaultColWidth="8.7890625" defaultRowHeight="14.4" x14ac:dyDescent="0.55000000000000004"/>
  <sheetData>
    <row r="1" spans="1:8" x14ac:dyDescent="0.55000000000000004">
      <c r="A1" s="1" t="s">
        <v>0</v>
      </c>
    </row>
    <row r="3" spans="1:8" x14ac:dyDescent="0.55000000000000004">
      <c r="A3" t="s">
        <v>1</v>
      </c>
      <c r="D3" s="8">
        <v>43171</v>
      </c>
      <c r="F3" t="s">
        <v>2</v>
      </c>
      <c r="H3" s="2"/>
    </row>
    <row r="4" spans="1:8" x14ac:dyDescent="0.55000000000000004">
      <c r="A4" t="s">
        <v>3</v>
      </c>
      <c r="D4" s="2">
        <v>1</v>
      </c>
      <c r="F4" t="s">
        <v>4</v>
      </c>
      <c r="H4" s="2"/>
    </row>
    <row r="6" spans="1:8" x14ac:dyDescent="0.55000000000000004">
      <c r="A6" s="1" t="s">
        <v>5</v>
      </c>
      <c r="B6" s="1"/>
    </row>
    <row r="7" spans="1:8" x14ac:dyDescent="0.55000000000000004">
      <c r="D7" t="s">
        <v>6</v>
      </c>
      <c r="H7" t="s">
        <v>7</v>
      </c>
    </row>
    <row r="8" spans="1:8" x14ac:dyDescent="0.55000000000000004">
      <c r="A8" t="s">
        <v>8</v>
      </c>
      <c r="D8" s="2"/>
      <c r="H8" s="2">
        <v>95</v>
      </c>
    </row>
    <row r="9" spans="1:8" x14ac:dyDescent="0.55000000000000004">
      <c r="A9" t="s">
        <v>9</v>
      </c>
      <c r="D9" s="2"/>
      <c r="H9" s="2">
        <v>92</v>
      </c>
    </row>
    <row r="10" spans="1:8" x14ac:dyDescent="0.55000000000000004">
      <c r="A10" t="s">
        <v>10</v>
      </c>
      <c r="D10" s="2"/>
      <c r="H10" s="2">
        <v>74</v>
      </c>
    </row>
    <row r="11" spans="1:8" x14ac:dyDescent="0.55000000000000004">
      <c r="A11" t="s">
        <v>11</v>
      </c>
      <c r="D11" s="2"/>
      <c r="H11" s="2">
        <v>66</v>
      </c>
    </row>
    <row r="12" spans="1:8" x14ac:dyDescent="0.55000000000000004">
      <c r="A12" t="s">
        <v>12</v>
      </c>
      <c r="D12" s="2"/>
      <c r="H12" s="2">
        <v>61</v>
      </c>
    </row>
    <row r="13" spans="1:8" x14ac:dyDescent="0.55000000000000004">
      <c r="A13" t="s">
        <v>13</v>
      </c>
      <c r="D13" s="2"/>
      <c r="H13" s="2">
        <v>75</v>
      </c>
    </row>
    <row r="14" spans="1:8" x14ac:dyDescent="0.55000000000000004">
      <c r="A14" t="s">
        <v>14</v>
      </c>
      <c r="D14" s="2"/>
      <c r="H14" s="2">
        <v>78</v>
      </c>
    </row>
    <row r="15" spans="1:8" x14ac:dyDescent="0.55000000000000004">
      <c r="A15" t="s">
        <v>15</v>
      </c>
      <c r="D15" s="2"/>
      <c r="H15" s="2">
        <v>86</v>
      </c>
    </row>
    <row r="16" spans="1:8" x14ac:dyDescent="0.55000000000000004">
      <c r="A16" t="s">
        <v>16</v>
      </c>
      <c r="D16" s="2"/>
      <c r="H16" s="2">
        <v>68</v>
      </c>
    </row>
    <row r="18" spans="1:10" x14ac:dyDescent="0.55000000000000004">
      <c r="A18" t="s">
        <v>17</v>
      </c>
      <c r="D18" s="2">
        <v>4050</v>
      </c>
    </row>
    <row r="21" spans="1:10" x14ac:dyDescent="0.55000000000000004">
      <c r="A21" s="1" t="s">
        <v>18</v>
      </c>
    </row>
    <row r="23" spans="1:10" x14ac:dyDescent="0.55000000000000004">
      <c r="A23" t="s">
        <v>19</v>
      </c>
      <c r="E23" t="s">
        <v>20</v>
      </c>
    </row>
    <row r="25" spans="1:10" x14ac:dyDescent="0.55000000000000004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 x14ac:dyDescent="0.55000000000000004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0" x14ac:dyDescent="0.55000000000000004">
      <c r="A28">
        <v>1</v>
      </c>
      <c r="B28" s="7" t="s">
        <v>94</v>
      </c>
      <c r="C28" s="2"/>
      <c r="D28" s="2">
        <v>5010</v>
      </c>
      <c r="E28" s="2">
        <v>249</v>
      </c>
      <c r="F28" s="2" t="s">
        <v>60</v>
      </c>
      <c r="G28" s="2">
        <v>798</v>
      </c>
      <c r="H28" s="2">
        <v>813</v>
      </c>
      <c r="I28" s="2">
        <v>360</v>
      </c>
      <c r="J28" s="2">
        <v>12.5</v>
      </c>
    </row>
    <row r="29" spans="1:10" x14ac:dyDescent="0.55000000000000004">
      <c r="A29">
        <v>2</v>
      </c>
      <c r="B29" s="7" t="s">
        <v>93</v>
      </c>
      <c r="C29" s="2"/>
      <c r="D29" s="2">
        <v>5020</v>
      </c>
      <c r="E29" s="2">
        <v>221</v>
      </c>
      <c r="F29" s="2" t="s">
        <v>61</v>
      </c>
      <c r="G29" s="2">
        <v>673</v>
      </c>
      <c r="H29" s="2">
        <v>682</v>
      </c>
      <c r="I29" s="2">
        <v>412</v>
      </c>
      <c r="J29" s="2">
        <v>10.5</v>
      </c>
    </row>
    <row r="30" spans="1:10" x14ac:dyDescent="0.55000000000000004">
      <c r="A30">
        <v>3</v>
      </c>
      <c r="B30" s="7" t="s">
        <v>92</v>
      </c>
      <c r="C30" s="2"/>
      <c r="D30" s="2">
        <v>5020</v>
      </c>
      <c r="E30" s="2">
        <v>192</v>
      </c>
      <c r="F30" s="2" t="s">
        <v>62</v>
      </c>
      <c r="G30" s="2">
        <v>561</v>
      </c>
      <c r="H30" s="2">
        <v>579</v>
      </c>
      <c r="I30" s="2">
        <v>447</v>
      </c>
      <c r="J30" s="2">
        <v>8.8000000000000007</v>
      </c>
    </row>
    <row r="31" spans="1:10" x14ac:dyDescent="0.55000000000000004">
      <c r="A31">
        <v>4</v>
      </c>
      <c r="B31" s="6" t="s">
        <v>89</v>
      </c>
      <c r="C31" s="2"/>
      <c r="D31" s="2">
        <v>5030</v>
      </c>
      <c r="E31" s="2">
        <v>163</v>
      </c>
      <c r="F31" s="2" t="s">
        <v>63</v>
      </c>
      <c r="G31" s="2">
        <v>463</v>
      </c>
      <c r="H31" s="2">
        <v>484</v>
      </c>
      <c r="I31" s="2">
        <v>478</v>
      </c>
      <c r="J31" s="2">
        <v>7.2</v>
      </c>
    </row>
    <row r="32" spans="1:10" x14ac:dyDescent="0.55000000000000004">
      <c r="A32">
        <v>5</v>
      </c>
      <c r="B32" s="6" t="s">
        <v>90</v>
      </c>
      <c r="C32" s="2"/>
      <c r="D32" s="2">
        <v>5020</v>
      </c>
      <c r="E32" s="2">
        <v>130</v>
      </c>
      <c r="F32" s="2" t="s">
        <v>64</v>
      </c>
      <c r="G32" s="2">
        <v>443</v>
      </c>
      <c r="H32" s="2">
        <v>467</v>
      </c>
      <c r="I32" s="2">
        <v>532</v>
      </c>
      <c r="J32" s="2">
        <v>6</v>
      </c>
    </row>
    <row r="33" spans="1:10" x14ac:dyDescent="0.55000000000000004">
      <c r="A33">
        <v>6</v>
      </c>
      <c r="B33" s="6" t="s">
        <v>91</v>
      </c>
      <c r="C33" s="2"/>
      <c r="D33" s="2">
        <v>5110</v>
      </c>
      <c r="E33" s="2">
        <v>118</v>
      </c>
      <c r="F33" s="2" t="s">
        <v>65</v>
      </c>
      <c r="G33" s="2">
        <v>474</v>
      </c>
      <c r="H33" s="2">
        <v>499</v>
      </c>
      <c r="I33" s="2">
        <v>570</v>
      </c>
      <c r="J33" s="2">
        <v>5.2</v>
      </c>
    </row>
    <row r="34" spans="1:10" x14ac:dyDescent="0.55000000000000004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55000000000000004">
      <c r="C35" t="s">
        <v>39</v>
      </c>
    </row>
    <row r="37" spans="1:10" x14ac:dyDescent="0.55000000000000004">
      <c r="A37" s="1" t="s">
        <v>40</v>
      </c>
    </row>
    <row r="39" spans="1:10" x14ac:dyDescent="0.55000000000000004">
      <c r="A39" t="s">
        <v>41</v>
      </c>
      <c r="E39" s="2"/>
    </row>
    <row r="41" spans="1:10" x14ac:dyDescent="0.55000000000000004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55000000000000004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 x14ac:dyDescent="0.55000000000000004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55000000000000004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55000000000000004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55000000000000004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55000000000000004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55000000000000004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55000000000000004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55000000000000004">
      <c r="C51" t="s">
        <v>39</v>
      </c>
    </row>
    <row r="52" spans="1:13" x14ac:dyDescent="0.55000000000000004">
      <c r="A52" s="1" t="s">
        <v>43</v>
      </c>
    </row>
    <row r="54" spans="1:13" x14ac:dyDescent="0.55000000000000004">
      <c r="A54" t="s">
        <v>19</v>
      </c>
      <c r="E54" t="s">
        <v>20</v>
      </c>
    </row>
    <row r="56" spans="1:13" x14ac:dyDescent="0.55000000000000004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55000000000000004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55000000000000004">
      <c r="A59">
        <v>1</v>
      </c>
      <c r="B59" s="5" t="s">
        <v>69</v>
      </c>
      <c r="C59" s="2"/>
      <c r="D59" s="2">
        <v>6060</v>
      </c>
      <c r="E59" s="2">
        <v>161</v>
      </c>
      <c r="F59" s="2" t="s">
        <v>66</v>
      </c>
      <c r="G59" s="2">
        <v>0</v>
      </c>
      <c r="H59" s="2">
        <v>2.8</v>
      </c>
      <c r="I59" s="2">
        <v>0</v>
      </c>
      <c r="J59" s="2">
        <v>462</v>
      </c>
      <c r="K59" s="2">
        <v>486</v>
      </c>
      <c r="L59" s="2">
        <v>664</v>
      </c>
      <c r="M59" s="2" t="s">
        <v>68</v>
      </c>
    </row>
    <row r="60" spans="1:13" x14ac:dyDescent="0.55000000000000004">
      <c r="A60">
        <v>2</v>
      </c>
      <c r="B60" s="5" t="s">
        <v>70</v>
      </c>
      <c r="C60" s="2"/>
      <c r="D60" s="2">
        <v>6350</v>
      </c>
      <c r="E60" s="2">
        <v>150</v>
      </c>
      <c r="F60" s="2" t="s">
        <v>71</v>
      </c>
      <c r="G60" s="2">
        <v>-0.4</v>
      </c>
      <c r="H60" s="2">
        <v>2.8</v>
      </c>
      <c r="I60" s="2">
        <v>-23</v>
      </c>
      <c r="J60" s="2">
        <v>458</v>
      </c>
      <c r="K60" s="2">
        <v>482</v>
      </c>
      <c r="L60" s="2">
        <v>694</v>
      </c>
      <c r="M60" s="2" t="s">
        <v>72</v>
      </c>
    </row>
    <row r="61" spans="1:13" x14ac:dyDescent="0.55000000000000004">
      <c r="A61">
        <v>3</v>
      </c>
      <c r="B61" s="5" t="s">
        <v>73</v>
      </c>
      <c r="C61" s="2"/>
      <c r="D61" s="2">
        <v>6550</v>
      </c>
      <c r="E61" s="2">
        <v>140</v>
      </c>
      <c r="F61" s="2" t="s">
        <v>74</v>
      </c>
      <c r="G61" s="2">
        <v>-0.9</v>
      </c>
      <c r="H61" s="2">
        <v>2.8</v>
      </c>
      <c r="I61" s="2">
        <v>-29</v>
      </c>
      <c r="J61" s="2">
        <v>454</v>
      </c>
      <c r="K61" s="2">
        <v>477</v>
      </c>
      <c r="L61" s="2">
        <v>730</v>
      </c>
      <c r="M61" s="2" t="s">
        <v>75</v>
      </c>
    </row>
    <row r="62" spans="1:13" x14ac:dyDescent="0.55000000000000004">
      <c r="A62">
        <v>4</v>
      </c>
      <c r="B62" s="5" t="s">
        <v>76</v>
      </c>
      <c r="C62" s="2"/>
      <c r="D62" s="2">
        <v>6880</v>
      </c>
      <c r="E62" s="2">
        <v>130</v>
      </c>
      <c r="F62" s="2" t="s">
        <v>77</v>
      </c>
      <c r="G62" s="2">
        <v>-1.5</v>
      </c>
      <c r="H62" s="2">
        <v>2.8</v>
      </c>
      <c r="I62" s="2">
        <v>-46</v>
      </c>
      <c r="J62" s="2">
        <v>449</v>
      </c>
      <c r="K62" s="2">
        <v>473</v>
      </c>
      <c r="L62" s="2">
        <v>755</v>
      </c>
      <c r="M62" s="2" t="s">
        <v>78</v>
      </c>
    </row>
    <row r="63" spans="1:13" x14ac:dyDescent="0.55000000000000004">
      <c r="A63">
        <v>5</v>
      </c>
      <c r="B63" s="5" t="s">
        <v>79</v>
      </c>
      <c r="C63" s="2"/>
      <c r="D63" s="2">
        <v>6160</v>
      </c>
      <c r="E63" s="2">
        <v>173</v>
      </c>
      <c r="F63" s="2" t="s">
        <v>72</v>
      </c>
      <c r="G63" s="2">
        <v>0.4</v>
      </c>
      <c r="H63" s="2">
        <v>2.8</v>
      </c>
      <c r="I63" s="2">
        <v>26</v>
      </c>
      <c r="J63" s="2">
        <v>465</v>
      </c>
      <c r="K63" s="2">
        <v>489</v>
      </c>
      <c r="L63" s="2">
        <v>798</v>
      </c>
      <c r="M63" s="2" t="s">
        <v>80</v>
      </c>
    </row>
    <row r="64" spans="1:13" x14ac:dyDescent="0.55000000000000004">
      <c r="A64">
        <v>6</v>
      </c>
      <c r="B64" s="5" t="s">
        <v>81</v>
      </c>
      <c r="C64" s="2"/>
      <c r="D64" s="2">
        <v>5810</v>
      </c>
      <c r="E64" s="2">
        <v>179</v>
      </c>
      <c r="F64" s="2" t="s">
        <v>82</v>
      </c>
      <c r="G64" s="2">
        <v>0.6</v>
      </c>
      <c r="H64" s="2">
        <v>2.8</v>
      </c>
      <c r="I64" s="2">
        <v>40</v>
      </c>
      <c r="J64" s="2">
        <v>472</v>
      </c>
      <c r="K64" s="2">
        <v>496</v>
      </c>
      <c r="L64" s="2">
        <v>825</v>
      </c>
      <c r="M64" s="2" t="s">
        <v>83</v>
      </c>
    </row>
    <row r="65" spans="1:13" x14ac:dyDescent="0.55000000000000004">
      <c r="A65">
        <v>7</v>
      </c>
      <c r="B65" s="5" t="s">
        <v>84</v>
      </c>
      <c r="C65" s="2"/>
      <c r="D65" s="2">
        <v>5310</v>
      </c>
      <c r="E65" s="2">
        <v>192</v>
      </c>
      <c r="F65" s="2" t="s">
        <v>85</v>
      </c>
      <c r="G65" s="2">
        <v>1</v>
      </c>
      <c r="H65" s="2">
        <v>2.8</v>
      </c>
      <c r="I65" s="2">
        <v>83</v>
      </c>
      <c r="J65" s="2">
        <v>482</v>
      </c>
      <c r="K65" s="2">
        <v>505</v>
      </c>
      <c r="L65" s="2">
        <v>846</v>
      </c>
      <c r="M65" s="2" t="s">
        <v>86</v>
      </c>
    </row>
    <row r="66" spans="1:13" x14ac:dyDescent="0.55000000000000004">
      <c r="C66" t="s">
        <v>39</v>
      </c>
    </row>
    <row r="68" spans="1:13" x14ac:dyDescent="0.55000000000000004">
      <c r="A68" s="1" t="s">
        <v>48</v>
      </c>
    </row>
    <row r="70" spans="1:13" x14ac:dyDescent="0.55000000000000004">
      <c r="A70" t="s">
        <v>49</v>
      </c>
      <c r="C70" s="2"/>
    </row>
    <row r="71" spans="1:13" x14ac:dyDescent="0.55000000000000004">
      <c r="A71" t="s">
        <v>50</v>
      </c>
      <c r="C71" s="2">
        <v>288</v>
      </c>
      <c r="E71" t="s">
        <v>51</v>
      </c>
      <c r="H71" s="2">
        <v>134</v>
      </c>
    </row>
    <row r="73" spans="1:13" x14ac:dyDescent="0.55000000000000004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55000000000000004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55000000000000004">
      <c r="A75">
        <v>1</v>
      </c>
      <c r="B75" s="5" t="s">
        <v>87</v>
      </c>
      <c r="C75" s="2"/>
      <c r="D75" s="2">
        <v>5730</v>
      </c>
      <c r="E75" s="2">
        <v>161</v>
      </c>
      <c r="F75" s="2" t="s">
        <v>66</v>
      </c>
      <c r="G75" s="2">
        <v>0</v>
      </c>
      <c r="H75" s="2" t="s">
        <v>67</v>
      </c>
      <c r="I75" s="2">
        <v>0</v>
      </c>
      <c r="J75" s="2">
        <v>471</v>
      </c>
      <c r="K75" s="2">
        <v>493</v>
      </c>
      <c r="L75" s="2">
        <v>881</v>
      </c>
      <c r="M75" s="2" t="s">
        <v>80</v>
      </c>
    </row>
    <row r="76" spans="1:13" x14ac:dyDescent="0.55000000000000004">
      <c r="A76">
        <v>2</v>
      </c>
      <c r="B76" s="5" t="s">
        <v>88</v>
      </c>
      <c r="C76" s="2"/>
      <c r="D76" s="2">
        <v>5790</v>
      </c>
      <c r="E76" s="2">
        <v>161</v>
      </c>
      <c r="F76" s="2">
        <v>5.3</v>
      </c>
      <c r="G76" s="2">
        <v>-0.5</v>
      </c>
      <c r="H76" s="2" t="s">
        <v>67</v>
      </c>
      <c r="I76" s="2">
        <v>-30</v>
      </c>
      <c r="J76" s="2">
        <v>468</v>
      </c>
      <c r="K76" s="2">
        <v>490</v>
      </c>
      <c r="L76" s="2">
        <v>910</v>
      </c>
      <c r="M76" s="2" t="s">
        <v>80</v>
      </c>
    </row>
    <row r="77" spans="1:13" x14ac:dyDescent="0.55000000000000004">
      <c r="C77" t="s">
        <v>39</v>
      </c>
    </row>
    <row r="79" spans="1:13" x14ac:dyDescent="0.55000000000000004">
      <c r="A79" s="1" t="s">
        <v>52</v>
      </c>
    </row>
    <row r="81" spans="1:10" x14ac:dyDescent="0.55000000000000004">
      <c r="D81" t="s">
        <v>53</v>
      </c>
      <c r="G81" t="s">
        <v>53</v>
      </c>
      <c r="J81" t="s">
        <v>53</v>
      </c>
    </row>
    <row r="82" spans="1:10" x14ac:dyDescent="0.55000000000000004">
      <c r="D82" t="s">
        <v>42</v>
      </c>
      <c r="G82" t="s">
        <v>42</v>
      </c>
      <c r="J82" t="s">
        <v>42</v>
      </c>
    </row>
    <row r="83" spans="1:10" x14ac:dyDescent="0.55000000000000004">
      <c r="A83" t="s">
        <v>54</v>
      </c>
      <c r="D83" s="5" t="s">
        <v>96</v>
      </c>
      <c r="E83" t="s">
        <v>55</v>
      </c>
      <c r="G83" s="5" t="s">
        <v>98</v>
      </c>
      <c r="H83" t="s">
        <v>56</v>
      </c>
      <c r="J83" s="5" t="s">
        <v>95</v>
      </c>
    </row>
    <row r="84" spans="1:10" x14ac:dyDescent="0.55000000000000004">
      <c r="A84" t="s">
        <v>57</v>
      </c>
      <c r="D84" s="5" t="s">
        <v>97</v>
      </c>
      <c r="E84" t="s">
        <v>58</v>
      </c>
      <c r="G84" s="5" t="s">
        <v>99</v>
      </c>
      <c r="H84" t="s">
        <v>59</v>
      </c>
      <c r="J84" s="5" t="s">
        <v>100</v>
      </c>
    </row>
  </sheetData>
  <sheetProtection sheet="1" objects="1" scenarios="1" selectLockedCells="1"/>
  <conditionalFormatting sqref="B34:J34">
    <cfRule type="expression" priority="3">
      <formula>LEN(TRIM(B34))=0</formula>
    </cfRule>
  </conditionalFormatting>
  <conditionalFormatting sqref="D18">
    <cfRule type="expression" priority="4">
      <formula>LEN(TRIM(D18))=0</formula>
    </cfRule>
  </conditionalFormatting>
  <conditionalFormatting sqref="B28:J33">
    <cfRule type="expression" priority="5">
      <formula>LEN(TRIM(B28))=0</formula>
    </cfRule>
  </conditionalFormatting>
  <conditionalFormatting sqref="C59:M65">
    <cfRule type="expression" priority="6">
      <formula>LEN(TRIM(C59))=0</formula>
    </cfRule>
  </conditionalFormatting>
  <conditionalFormatting sqref="C44:J50">
    <cfRule type="expression" priority="7">
      <formula>LEN(TRIM(C44))=0</formula>
    </cfRule>
  </conditionalFormatting>
  <conditionalFormatting sqref="C70">
    <cfRule type="expression" priority="8">
      <formula>LEN(TRIM(C70))=0</formula>
    </cfRule>
  </conditionalFormatting>
  <conditionalFormatting sqref="C71">
    <cfRule type="expression" priority="9">
      <formula>LEN(TRIM(C71))=0</formula>
    </cfRule>
  </conditionalFormatting>
  <conditionalFormatting sqref="H71">
    <cfRule type="expression" priority="10">
      <formula>LEN(TRIM(H71))=0</formula>
    </cfRule>
  </conditionalFormatting>
  <conditionalFormatting sqref="B75:M76">
    <cfRule type="expression" priority="11">
      <formula>LEN(TRIM(B75))=0</formula>
    </cfRule>
  </conditionalFormatting>
  <conditionalFormatting sqref="D3:D4">
    <cfRule type="expression" priority="12">
      <formula>LEN(TRIM(D3))=0</formula>
    </cfRule>
  </conditionalFormatting>
  <conditionalFormatting sqref="E39">
    <cfRule type="expression" priority="13">
      <formula>LEN(TRIM(E39))=0</formula>
    </cfRule>
  </conditionalFormatting>
  <conditionalFormatting sqref="D83:D84">
    <cfRule type="expression" priority="14">
      <formula>LEN(TRIM(D83))=0</formula>
    </cfRule>
  </conditionalFormatting>
  <conditionalFormatting sqref="G83:G84">
    <cfRule type="expression" priority="15">
      <formula>LEN(TRIM(G83))=0</formula>
    </cfRule>
  </conditionalFormatting>
  <conditionalFormatting sqref="J83:J84">
    <cfRule type="expression" priority="16">
      <formula>LEN(TRIM(J83))=0</formula>
    </cfRule>
  </conditionalFormatting>
  <conditionalFormatting sqref="B59:B65">
    <cfRule type="expression" priority="17">
      <formula>LEN(TRIM(B59))=0</formula>
    </cfRule>
  </conditionalFormatting>
  <conditionalFormatting sqref="B44:B50">
    <cfRule type="expression" priority="18">
      <formula>LEN(TRIM(B44))=0</formula>
    </cfRule>
  </conditionalFormatting>
  <pageMargins left="0.7" right="0.7" top="0.75" bottom="0.75" header="0.51180555555555496" footer="0.51180555555555496"/>
  <pageSetup paperSize="9" scale="99" firstPageNumber="0" orientation="portrait" verticalDpi="0" r:id="rId1"/>
  <colBreaks count="1" manualBreakCount="1">
    <brk id="1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35FD9-8489-4515-ACCD-B4F393F3AAF3}">
  <dimension ref="A1:M84"/>
  <sheetViews>
    <sheetView workbookViewId="0">
      <selection activeCell="P24" sqref="A20:P24"/>
    </sheetView>
  </sheetViews>
  <sheetFormatPr defaultRowHeight="14.4" x14ac:dyDescent="0.55000000000000004"/>
  <cols>
    <col min="4" max="4" width="10.15625" bestFit="1" customWidth="1"/>
    <col min="10" max="12" width="9.15625" bestFit="1" customWidth="1"/>
  </cols>
  <sheetData>
    <row r="1" spans="1:8" x14ac:dyDescent="0.55000000000000004">
      <c r="A1" s="9" t="s">
        <v>101</v>
      </c>
      <c r="H1">
        <v>0.45359237000000002</v>
      </c>
    </row>
    <row r="3" spans="1:8" x14ac:dyDescent="0.55000000000000004">
      <c r="A3" t="s">
        <v>102</v>
      </c>
      <c r="D3" s="10">
        <v>43902</v>
      </c>
      <c r="F3" t="s">
        <v>103</v>
      </c>
    </row>
    <row r="4" spans="1:8" x14ac:dyDescent="0.55000000000000004">
      <c r="A4" t="s">
        <v>3</v>
      </c>
      <c r="D4">
        <v>1</v>
      </c>
      <c r="F4" t="s">
        <v>4</v>
      </c>
    </row>
    <row r="6" spans="1:8" x14ac:dyDescent="0.55000000000000004">
      <c r="A6" t="s">
        <v>5</v>
      </c>
    </row>
    <row r="7" spans="1:8" x14ac:dyDescent="0.55000000000000004">
      <c r="H7" t="s">
        <v>7</v>
      </c>
    </row>
    <row r="8" spans="1:8" x14ac:dyDescent="0.55000000000000004">
      <c r="A8" t="s">
        <v>8</v>
      </c>
      <c r="H8">
        <f>Imperial!H8</f>
        <v>95</v>
      </c>
    </row>
    <row r="9" spans="1:8" x14ac:dyDescent="0.55000000000000004">
      <c r="A9" t="s">
        <v>9</v>
      </c>
      <c r="H9">
        <f>Imperial!H9</f>
        <v>92</v>
      </c>
    </row>
    <row r="10" spans="1:8" x14ac:dyDescent="0.55000000000000004">
      <c r="A10" t="s">
        <v>104</v>
      </c>
      <c r="H10">
        <f>Imperial!H10</f>
        <v>74</v>
      </c>
    </row>
    <row r="11" spans="1:8" x14ac:dyDescent="0.55000000000000004">
      <c r="A11" t="s">
        <v>105</v>
      </c>
      <c r="H11">
        <f>Imperial!H11</f>
        <v>66</v>
      </c>
    </row>
    <row r="12" spans="1:8" x14ac:dyDescent="0.55000000000000004">
      <c r="A12" t="s">
        <v>106</v>
      </c>
      <c r="H12">
        <f>Imperial!H12</f>
        <v>61</v>
      </c>
    </row>
    <row r="13" spans="1:8" x14ac:dyDescent="0.55000000000000004">
      <c r="A13" t="s">
        <v>107</v>
      </c>
      <c r="H13">
        <f>Imperial!H13</f>
        <v>75</v>
      </c>
    </row>
    <row r="14" spans="1:8" x14ac:dyDescent="0.55000000000000004">
      <c r="A14" t="s">
        <v>108</v>
      </c>
      <c r="H14">
        <f>Imperial!H14</f>
        <v>78</v>
      </c>
    </row>
    <row r="15" spans="1:8" x14ac:dyDescent="0.55000000000000004">
      <c r="A15" t="s">
        <v>109</v>
      </c>
      <c r="H15">
        <f>Imperial!H15</f>
        <v>86</v>
      </c>
    </row>
    <row r="16" spans="1:8" x14ac:dyDescent="0.55000000000000004">
      <c r="A16" t="s">
        <v>110</v>
      </c>
      <c r="H16">
        <f>Imperial!H16</f>
        <v>68</v>
      </c>
    </row>
    <row r="18" spans="1:10" x14ac:dyDescent="0.55000000000000004">
      <c r="A18" t="s">
        <v>111</v>
      </c>
      <c r="D18">
        <f>Imperial!D18*H1</f>
        <v>1837.0490985000001</v>
      </c>
    </row>
    <row r="21" spans="1:10" x14ac:dyDescent="0.55000000000000004">
      <c r="A21" s="9" t="s">
        <v>18</v>
      </c>
    </row>
    <row r="23" spans="1:10" x14ac:dyDescent="0.55000000000000004">
      <c r="A23" t="s">
        <v>19</v>
      </c>
      <c r="E23" t="s">
        <v>20</v>
      </c>
    </row>
    <row r="25" spans="1:10" x14ac:dyDescent="0.55000000000000004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 x14ac:dyDescent="0.55000000000000004">
      <c r="B26" t="s">
        <v>31</v>
      </c>
      <c r="C26" t="s">
        <v>32</v>
      </c>
      <c r="D26" t="s">
        <v>112</v>
      </c>
      <c r="E26" t="s">
        <v>113</v>
      </c>
      <c r="F26" t="s">
        <v>35</v>
      </c>
      <c r="G26" t="s">
        <v>114</v>
      </c>
      <c r="H26" t="s">
        <v>114</v>
      </c>
      <c r="I26" t="s">
        <v>115</v>
      </c>
      <c r="J26" t="s">
        <v>38</v>
      </c>
    </row>
    <row r="28" spans="1:10" x14ac:dyDescent="0.55000000000000004">
      <c r="A28">
        <v>1</v>
      </c>
      <c r="B28" s="11" t="str">
        <f>Imperial!B28</f>
        <v>19:17</v>
      </c>
      <c r="C28" s="11">
        <f>B28-$B$28</f>
        <v>0</v>
      </c>
      <c r="D28" s="12">
        <f>Imperial!D28*0.3048</f>
        <v>1527.048</v>
      </c>
      <c r="E28" s="12">
        <f>Imperial!E28*0.514444</f>
        <v>128.09655599999999</v>
      </c>
      <c r="F28" t="str">
        <f>Imperial!F28</f>
        <v>1.7</v>
      </c>
      <c r="G28" s="12">
        <f>Imperial!G28*$H$1</f>
        <v>361.96671126000001</v>
      </c>
      <c r="H28" s="12">
        <f>Imperial!H28*$H$1</f>
        <v>368.77059681000003</v>
      </c>
      <c r="I28" s="12">
        <f>Imperial!I28*$H$1</f>
        <v>163.29325320000001</v>
      </c>
      <c r="J28">
        <f>Imperial!J28</f>
        <v>12.5</v>
      </c>
    </row>
    <row r="29" spans="1:10" x14ac:dyDescent="0.55000000000000004">
      <c r="A29">
        <v>2</v>
      </c>
      <c r="B29" s="11" t="str">
        <f>Imperial!B29</f>
        <v>21:37</v>
      </c>
      <c r="C29" s="11">
        <f t="shared" ref="C29:C33" si="0">B29-$B$28</f>
        <v>9.722222222222221E-2</v>
      </c>
      <c r="D29" s="12">
        <f>Imperial!D29*0.3048</f>
        <v>1530.096</v>
      </c>
      <c r="E29" s="12">
        <f>Imperial!E29*0.514444</f>
        <v>113.69212400000001</v>
      </c>
      <c r="F29" t="str">
        <f>Imperial!F29</f>
        <v>2.4</v>
      </c>
      <c r="G29" s="12">
        <f>Imperial!G29*$H$1</f>
        <v>305.26766501000003</v>
      </c>
      <c r="H29" s="12">
        <f>Imperial!H29*$H$1</f>
        <v>309.34999634000002</v>
      </c>
      <c r="I29" s="12">
        <f>Imperial!I29*$H$1</f>
        <v>186.88005644</v>
      </c>
      <c r="J29">
        <f>Imperial!J29</f>
        <v>10.5</v>
      </c>
    </row>
    <row r="30" spans="1:10" x14ac:dyDescent="0.55000000000000004">
      <c r="A30">
        <v>3</v>
      </c>
      <c r="B30" s="11" t="str">
        <f>Imperial!B30</f>
        <v>23:46</v>
      </c>
      <c r="C30" s="11">
        <f t="shared" si="0"/>
        <v>0.18680555555555545</v>
      </c>
      <c r="D30" s="12">
        <f>Imperial!D30*0.3048</f>
        <v>1530.096</v>
      </c>
      <c r="E30" s="12">
        <f>Imperial!E30*0.514444</f>
        <v>98.773247999999995</v>
      </c>
      <c r="F30" t="str">
        <f>Imperial!F30</f>
        <v>3.6</v>
      </c>
      <c r="G30" s="12">
        <f>Imperial!G30*$H$1</f>
        <v>254.46531957000002</v>
      </c>
      <c r="H30" s="12">
        <f>Imperial!H30*$H$1</f>
        <v>262.62998223</v>
      </c>
      <c r="I30" s="12">
        <f>Imperial!I30*$H$1</f>
        <v>202.75578939000002</v>
      </c>
      <c r="J30">
        <f>Imperial!J30</f>
        <v>8.8000000000000007</v>
      </c>
    </row>
    <row r="31" spans="1:10" x14ac:dyDescent="0.55000000000000004">
      <c r="A31">
        <v>4</v>
      </c>
      <c r="B31" s="11" t="str">
        <f>Imperial!B31</f>
        <v>26:04</v>
      </c>
      <c r="C31" s="11">
        <f t="shared" si="0"/>
        <v>0.28263888888888877</v>
      </c>
      <c r="D31" s="12">
        <f>Imperial!D31*0.3048</f>
        <v>1533.144</v>
      </c>
      <c r="E31" s="12">
        <f>Imperial!E31*0.514444</f>
        <v>83.854371999999998</v>
      </c>
      <c r="F31" t="str">
        <f>Imperial!F31</f>
        <v>5.4</v>
      </c>
      <c r="G31" s="12">
        <f>Imperial!G31*$H$1</f>
        <v>210.01326731</v>
      </c>
      <c r="H31" s="12">
        <f>Imperial!H31*$H$1</f>
        <v>219.53870708000002</v>
      </c>
      <c r="I31" s="12">
        <f>Imperial!I31*$H$1</f>
        <v>216.81715286000002</v>
      </c>
      <c r="J31">
        <f>Imperial!J31</f>
        <v>7.2</v>
      </c>
    </row>
    <row r="32" spans="1:10" x14ac:dyDescent="0.55000000000000004">
      <c r="A32">
        <v>5</v>
      </c>
      <c r="B32" s="11" t="str">
        <f>Imperial!B32</f>
        <v>29:47</v>
      </c>
      <c r="C32" s="11">
        <f t="shared" si="0"/>
        <v>0.43750000000000011</v>
      </c>
      <c r="D32" s="12">
        <f>Imperial!D32*0.3048</f>
        <v>1530.096</v>
      </c>
      <c r="E32" s="12">
        <f>Imperial!E32*0.514444</f>
        <v>66.877719999999997</v>
      </c>
      <c r="F32" t="str">
        <f>Imperial!F32</f>
        <v>8.7</v>
      </c>
      <c r="G32" s="12">
        <f>Imperial!G32*$H$1</f>
        <v>200.94141991000001</v>
      </c>
      <c r="H32" s="12">
        <f>Imperial!H32*$H$1</f>
        <v>211.82763679000001</v>
      </c>
      <c r="I32" s="12">
        <f>Imperial!I32*$H$1</f>
        <v>241.31114084000001</v>
      </c>
      <c r="J32">
        <f>Imperial!J32</f>
        <v>6</v>
      </c>
    </row>
    <row r="33" spans="1:10" x14ac:dyDescent="0.55000000000000004">
      <c r="A33">
        <v>6</v>
      </c>
      <c r="B33" s="11" t="str">
        <f>Imperial!B33</f>
        <v>32:00</v>
      </c>
      <c r="C33" s="11">
        <f t="shared" si="0"/>
        <v>0.52986111111111101</v>
      </c>
      <c r="D33" s="12">
        <f>Imperial!D33*0.3048</f>
        <v>1557.528</v>
      </c>
      <c r="E33" s="12">
        <f>Imperial!E33*0.514444</f>
        <v>60.704391999999999</v>
      </c>
      <c r="F33" t="str">
        <f>Imperial!F33</f>
        <v>10.6</v>
      </c>
      <c r="G33" s="12">
        <f>Imperial!G33*$H$1</f>
        <v>215.00278338000001</v>
      </c>
      <c r="H33" s="12">
        <f>Imperial!H33*$H$1</f>
        <v>226.34259263000001</v>
      </c>
      <c r="I33" s="12">
        <f>Imperial!I33*$H$1</f>
        <v>258.54765090000001</v>
      </c>
      <c r="J33">
        <f>Imperial!J33</f>
        <v>5.2</v>
      </c>
    </row>
    <row r="34" spans="1:10" x14ac:dyDescent="0.55000000000000004">
      <c r="A34">
        <v>7</v>
      </c>
    </row>
    <row r="52" spans="1:13" x14ac:dyDescent="0.55000000000000004">
      <c r="A52" s="9" t="s">
        <v>43</v>
      </c>
    </row>
    <row r="54" spans="1:13" x14ac:dyDescent="0.55000000000000004">
      <c r="A54" t="s">
        <v>19</v>
      </c>
      <c r="E54" t="s">
        <v>20</v>
      </c>
    </row>
    <row r="56" spans="1:13" x14ac:dyDescent="0.55000000000000004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116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55000000000000004">
      <c r="B57" t="s">
        <v>31</v>
      </c>
      <c r="C57" t="s">
        <v>32</v>
      </c>
      <c r="D57" t="s">
        <v>112</v>
      </c>
      <c r="E57" t="s">
        <v>113</v>
      </c>
      <c r="F57" t="s">
        <v>35</v>
      </c>
      <c r="G57" t="s">
        <v>35</v>
      </c>
      <c r="H57" t="s">
        <v>35</v>
      </c>
      <c r="I57" t="s">
        <v>47</v>
      </c>
      <c r="J57" t="s">
        <v>114</v>
      </c>
      <c r="K57" t="s">
        <v>114</v>
      </c>
      <c r="L57" t="s">
        <v>115</v>
      </c>
      <c r="M57" t="s">
        <v>38</v>
      </c>
    </row>
    <row r="59" spans="1:13" x14ac:dyDescent="0.55000000000000004">
      <c r="A59">
        <v>1</v>
      </c>
      <c r="B59" s="11" t="str">
        <f>Imperial!B59</f>
        <v>37:19</v>
      </c>
      <c r="C59" s="11">
        <f>B59-$B$28</f>
        <v>0.75138888888888899</v>
      </c>
      <c r="D59" s="12">
        <f>Imperial!D59*0.3048</f>
        <v>1847.0880000000002</v>
      </c>
      <c r="E59" s="12">
        <f>Imperial!E59*0.514444</f>
        <v>82.825484000000003</v>
      </c>
      <c r="F59" t="str">
        <f>Imperial!F59</f>
        <v>5.3</v>
      </c>
      <c r="G59">
        <f>Imperial!G59</f>
        <v>0</v>
      </c>
      <c r="H59">
        <f>Imperial!H59</f>
        <v>2.8</v>
      </c>
      <c r="I59">
        <f>Imperial!I59</f>
        <v>0</v>
      </c>
      <c r="J59" s="12">
        <f>Imperial!J59*$H$1</f>
        <v>209.55967494000001</v>
      </c>
      <c r="K59" s="12">
        <f>Imperial!K59*$H$1</f>
        <v>220.44589182000001</v>
      </c>
      <c r="L59" s="12">
        <f>Imperial!L59*$H$1</f>
        <v>301.18533368000004</v>
      </c>
      <c r="M59">
        <f>Imperial!M59+273.15</f>
        <v>278.64999999999998</v>
      </c>
    </row>
    <row r="60" spans="1:13" x14ac:dyDescent="0.55000000000000004">
      <c r="A60">
        <v>2</v>
      </c>
      <c r="B60" s="11" t="str">
        <f>Imperial!B60</f>
        <v>39:11</v>
      </c>
      <c r="C60" s="11">
        <f t="shared" ref="C60:C64" si="1">B60-$B$28</f>
        <v>0.8291666666666665</v>
      </c>
      <c r="D60" s="12">
        <f>Imperial!D60*0.3048</f>
        <v>1935.48</v>
      </c>
      <c r="E60" s="12">
        <f>Imperial!E60*0.514444</f>
        <v>77.166600000000003</v>
      </c>
      <c r="F60" t="str">
        <f>Imperial!F60</f>
        <v>6.3</v>
      </c>
      <c r="G60">
        <f>Imperial!G60</f>
        <v>-0.4</v>
      </c>
      <c r="H60">
        <f>Imperial!H60</f>
        <v>2.8</v>
      </c>
      <c r="I60">
        <f>Imperial!I60</f>
        <v>-23</v>
      </c>
      <c r="J60" s="12">
        <f>Imperial!J60*$H$1</f>
        <v>207.74530546</v>
      </c>
      <c r="K60" s="12">
        <f>Imperial!K60*$H$1</f>
        <v>218.63152234</v>
      </c>
      <c r="L60" s="12">
        <f>Imperial!L60*$H$1</f>
        <v>314.79310478000002</v>
      </c>
      <c r="M60">
        <f>Imperial!M60+273.15</f>
        <v>277.64999999999998</v>
      </c>
    </row>
    <row r="61" spans="1:13" x14ac:dyDescent="0.55000000000000004">
      <c r="A61">
        <v>3</v>
      </c>
      <c r="B61" s="11" t="str">
        <f>Imperial!B61</f>
        <v>41:24</v>
      </c>
      <c r="C61" s="11">
        <f t="shared" si="1"/>
        <v>0.92152777777777761</v>
      </c>
      <c r="D61" s="12">
        <f>Imperial!D61*0.3048</f>
        <v>1996.44</v>
      </c>
      <c r="E61" s="12">
        <f>Imperial!E61*0.514444</f>
        <v>72.02216</v>
      </c>
      <c r="F61" t="str">
        <f>Imperial!F61</f>
        <v>7.3</v>
      </c>
      <c r="G61">
        <f>Imperial!G61</f>
        <v>-0.9</v>
      </c>
      <c r="H61">
        <f>Imperial!H61</f>
        <v>2.8</v>
      </c>
      <c r="I61">
        <f>Imperial!I61</f>
        <v>-29</v>
      </c>
      <c r="J61" s="12">
        <f>Imperial!J61*$H$1</f>
        <v>205.93093598000002</v>
      </c>
      <c r="K61" s="12">
        <f>Imperial!K61*$H$1</f>
        <v>216.36356049</v>
      </c>
      <c r="L61" s="12">
        <f>Imperial!L61*$H$1</f>
        <v>331.12243010000003</v>
      </c>
      <c r="M61">
        <f>Imperial!M61+273.15</f>
        <v>276.64999999999998</v>
      </c>
    </row>
    <row r="62" spans="1:13" x14ac:dyDescent="0.55000000000000004">
      <c r="A62">
        <v>4</v>
      </c>
      <c r="B62" s="11" t="str">
        <f>Imperial!B62</f>
        <v>42:56</v>
      </c>
      <c r="C62" s="11">
        <f t="shared" si="1"/>
        <v>0.9854166666666665</v>
      </c>
      <c r="D62" s="12">
        <f>Imperial!D62*0.3048</f>
        <v>2097.0239999999999</v>
      </c>
      <c r="E62" s="12">
        <f>Imperial!E62*0.514444</f>
        <v>66.877719999999997</v>
      </c>
      <c r="F62" t="str">
        <f>Imperial!F62</f>
        <v>8.5</v>
      </c>
      <c r="G62">
        <f>Imperial!G62</f>
        <v>-1.5</v>
      </c>
      <c r="H62">
        <f>Imperial!H62</f>
        <v>2.8</v>
      </c>
      <c r="I62">
        <f>Imperial!I62</f>
        <v>-46</v>
      </c>
      <c r="J62" s="12">
        <f>Imperial!J62*$H$1</f>
        <v>203.66297413000001</v>
      </c>
      <c r="K62" s="12">
        <f>Imperial!K62*$H$1</f>
        <v>214.54919101000002</v>
      </c>
      <c r="L62" s="12">
        <f>Imperial!L62*$H$1</f>
        <v>342.46223935</v>
      </c>
      <c r="M62">
        <f>Imperial!M62+273.15</f>
        <v>275.64999999999998</v>
      </c>
    </row>
    <row r="63" spans="1:13" x14ac:dyDescent="0.55000000000000004">
      <c r="A63">
        <v>5</v>
      </c>
      <c r="B63" s="11" t="str">
        <f>Imperial!B63</f>
        <v>45:41</v>
      </c>
      <c r="C63" s="11">
        <f t="shared" si="1"/>
        <v>1.0999999999999996</v>
      </c>
      <c r="D63" s="12">
        <f>Imperial!D63*0.3048</f>
        <v>1877.568</v>
      </c>
      <c r="E63" s="12">
        <f>Imperial!E63*0.514444</f>
        <v>88.998812000000001</v>
      </c>
      <c r="F63" t="str">
        <f>Imperial!F63</f>
        <v>4.5</v>
      </c>
      <c r="G63">
        <f>Imperial!G63</f>
        <v>0.4</v>
      </c>
      <c r="H63">
        <f>Imperial!H63</f>
        <v>2.8</v>
      </c>
      <c r="I63">
        <f>Imperial!I63</f>
        <v>26</v>
      </c>
      <c r="J63" s="12">
        <f>Imperial!J63*$H$1</f>
        <v>210.92045205000002</v>
      </c>
      <c r="K63" s="12">
        <f>Imperial!K63*$H$1</f>
        <v>221.80666893</v>
      </c>
      <c r="L63" s="12">
        <f>Imperial!L63*$H$1</f>
        <v>361.96671126000001</v>
      </c>
      <c r="M63">
        <f>Imperial!M63+273.15</f>
        <v>278.14999999999998</v>
      </c>
    </row>
    <row r="64" spans="1:13" x14ac:dyDescent="0.55000000000000004">
      <c r="A64">
        <v>6</v>
      </c>
      <c r="B64" s="11" t="str">
        <f>Imperial!B64</f>
        <v>47:20</v>
      </c>
      <c r="C64" s="11">
        <f t="shared" si="1"/>
        <v>1.1687500000000002</v>
      </c>
      <c r="D64" s="12">
        <f>Imperial!D64*0.3048</f>
        <v>1770.8880000000001</v>
      </c>
      <c r="E64" s="12">
        <f>Imperial!E64*0.514444</f>
        <v>92.085476</v>
      </c>
      <c r="F64" t="str">
        <f>Imperial!F64</f>
        <v>4.1</v>
      </c>
      <c r="G64">
        <f>Imperial!G64</f>
        <v>0.6</v>
      </c>
      <c r="H64">
        <f>Imperial!H64</f>
        <v>2.8</v>
      </c>
      <c r="I64">
        <f>Imperial!I64</f>
        <v>40</v>
      </c>
      <c r="J64" s="12">
        <f>Imperial!J64*$H$1</f>
        <v>214.09559864000002</v>
      </c>
      <c r="K64" s="12">
        <f>Imperial!K64*$H$1</f>
        <v>224.98181552</v>
      </c>
      <c r="L64" s="12">
        <f>Imperial!L64*$H$1</f>
        <v>374.21370525000003</v>
      </c>
      <c r="M64">
        <f>Imperial!M64+273.15</f>
        <v>279.34999999999997</v>
      </c>
    </row>
    <row r="65" spans="1:13" x14ac:dyDescent="0.55000000000000004">
      <c r="A65">
        <v>7</v>
      </c>
      <c r="B65" s="11" t="str">
        <f>Imperial!B65</f>
        <v>48:40</v>
      </c>
      <c r="C65" s="11">
        <f t="shared" ref="C65" si="2">B65-$B$28</f>
        <v>1.2243055555555555</v>
      </c>
      <c r="D65" s="12">
        <f>Imperial!D65*0.3048</f>
        <v>1618.4880000000001</v>
      </c>
      <c r="E65" s="12">
        <f>Imperial!E65*0.514444</f>
        <v>98.773247999999995</v>
      </c>
      <c r="F65" t="str">
        <f>Imperial!F65</f>
        <v>3.4</v>
      </c>
      <c r="G65">
        <f>Imperial!G65</f>
        <v>1</v>
      </c>
      <c r="H65">
        <f>Imperial!H65</f>
        <v>2.8</v>
      </c>
      <c r="I65">
        <f>Imperial!I65</f>
        <v>83</v>
      </c>
      <c r="J65" s="12">
        <f>Imperial!J65*$H$1</f>
        <v>218.63152234</v>
      </c>
      <c r="K65" s="12">
        <f>Imperial!K65*$H$1</f>
        <v>229.06414685000001</v>
      </c>
      <c r="L65" s="12">
        <f>Imperial!L65*$H$1</f>
        <v>383.73914502000002</v>
      </c>
      <c r="M65">
        <f>Imperial!M65+273.15</f>
        <v>281.34999999999997</v>
      </c>
    </row>
    <row r="68" spans="1:13" x14ac:dyDescent="0.55000000000000004">
      <c r="A68" s="9" t="s">
        <v>48</v>
      </c>
    </row>
    <row r="70" spans="1:13" x14ac:dyDescent="0.55000000000000004">
      <c r="A70" t="s">
        <v>49</v>
      </c>
    </row>
    <row r="71" spans="1:13" x14ac:dyDescent="0.55000000000000004">
      <c r="A71" t="s">
        <v>50</v>
      </c>
      <c r="C71">
        <v>288</v>
      </c>
      <c r="E71" t="s">
        <v>51</v>
      </c>
      <c r="H71">
        <v>134</v>
      </c>
    </row>
    <row r="73" spans="1:13" x14ac:dyDescent="0.55000000000000004">
      <c r="A73" t="s">
        <v>21</v>
      </c>
      <c r="B73" t="s">
        <v>22</v>
      </c>
      <c r="C73" t="s">
        <v>117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55000000000000004">
      <c r="B74" t="str">
        <f>Imperial!B74</f>
        <v>[hh:mm]</v>
      </c>
      <c r="C74" t="str">
        <f>Imperial!C74</f>
        <v>[sec]</v>
      </c>
      <c r="D74" t="str">
        <f>Imperial!D74</f>
        <v>[ft]</v>
      </c>
      <c r="E74" t="str">
        <f>Imperial!E74</f>
        <v>[kts]</v>
      </c>
      <c r="F74" t="str">
        <f>Imperial!F74</f>
        <v>[deg]</v>
      </c>
      <c r="G74" t="str">
        <f>Imperial!G74</f>
        <v>[deg]</v>
      </c>
      <c r="H74" t="str">
        <f>Imperial!H74</f>
        <v>[deg]</v>
      </c>
      <c r="I74" t="str">
        <f>Imperial!I74</f>
        <v>[N]</v>
      </c>
      <c r="J74" t="str">
        <f>Imperial!J74</f>
        <v>[lbs/hr]</v>
      </c>
      <c r="K74" t="str">
        <f>Imperial!K74</f>
        <v>[lbs/hr]</v>
      </c>
      <c r="L74" t="str">
        <f>Imperial!L74</f>
        <v>[lbs]</v>
      </c>
      <c r="M74" t="str">
        <f>Imperial!M74</f>
        <v>[°C]</v>
      </c>
    </row>
    <row r="75" spans="1:13" x14ac:dyDescent="0.55000000000000004">
      <c r="A75">
        <v>1</v>
      </c>
      <c r="B75" t="str">
        <f>Imperial!B75</f>
        <v>51:02</v>
      </c>
      <c r="C75">
        <f>Imperial!C75</f>
        <v>0</v>
      </c>
      <c r="D75">
        <f>Imperial!D75*0.3048</f>
        <v>1746.5040000000001</v>
      </c>
      <c r="E75">
        <f>Imperial!E75*0.514444</f>
        <v>82.825484000000003</v>
      </c>
      <c r="F75" t="str">
        <f>Imperial!F75</f>
        <v>5.3</v>
      </c>
      <c r="G75">
        <f>Imperial!G75</f>
        <v>0</v>
      </c>
      <c r="H75" t="str">
        <f>Imperial!H75</f>
        <v>2.8</v>
      </c>
      <c r="I75">
        <f>Imperial!I75</f>
        <v>0</v>
      </c>
      <c r="J75">
        <f>Imperial!J75*$H$1</f>
        <v>213.64200627000002</v>
      </c>
      <c r="K75">
        <f>Imperial!K75*$H$1</f>
        <v>223.62103841000001</v>
      </c>
      <c r="L75">
        <f>Imperial!L75*$H$1</f>
        <v>399.61487797000001</v>
      </c>
      <c r="M75">
        <f>Imperial!M75+273.15</f>
        <v>278.14999999999998</v>
      </c>
    </row>
    <row r="76" spans="1:13" x14ac:dyDescent="0.55000000000000004">
      <c r="A76">
        <v>2</v>
      </c>
      <c r="B76" t="str">
        <f>Imperial!B76</f>
        <v>52:46</v>
      </c>
      <c r="C76">
        <f>Imperial!C76</f>
        <v>0</v>
      </c>
      <c r="D76">
        <f>Imperial!D76*0.3048</f>
        <v>1764.7920000000001</v>
      </c>
      <c r="E76">
        <f>Imperial!E76*0.514444</f>
        <v>82.825484000000003</v>
      </c>
      <c r="F76">
        <f>Imperial!F76</f>
        <v>5.3</v>
      </c>
      <c r="G76">
        <f>Imperial!G76</f>
        <v>-0.5</v>
      </c>
      <c r="H76" t="str">
        <f>Imperial!H76</f>
        <v>2.8</v>
      </c>
      <c r="I76">
        <f>Imperial!I76</f>
        <v>-30</v>
      </c>
      <c r="J76">
        <f>Imperial!J76*$H$1</f>
        <v>212.28122916000001</v>
      </c>
      <c r="K76">
        <f>Imperial!K76*$H$1</f>
        <v>222.26026130000002</v>
      </c>
      <c r="L76">
        <f>Imperial!L76*$H$1</f>
        <v>412.76905670000002</v>
      </c>
      <c r="M76">
        <f>Imperial!M76+273.15</f>
        <v>278.14999999999998</v>
      </c>
    </row>
    <row r="77" spans="1:13" x14ac:dyDescent="0.55000000000000004">
      <c r="C77" t="str">
        <f>Imperial!C77</f>
        <v>* ET = Elapsed Time</v>
      </c>
    </row>
    <row r="79" spans="1:13" x14ac:dyDescent="0.55000000000000004">
      <c r="A79" s="9" t="str">
        <f>Imperial!A79</f>
        <v>Eigenmotions</v>
      </c>
    </row>
    <row r="81" spans="1:10" x14ac:dyDescent="0.55000000000000004">
      <c r="D81" t="str">
        <f>Imperial!D81</f>
        <v>Time</v>
      </c>
      <c r="G81" t="str">
        <f>Imperial!G81</f>
        <v>Time</v>
      </c>
      <c r="I81">
        <f>Imperial!I81</f>
        <v>0</v>
      </c>
      <c r="J81" t="str">
        <f>Imperial!J81</f>
        <v>Time</v>
      </c>
    </row>
    <row r="82" spans="1:10" x14ac:dyDescent="0.55000000000000004">
      <c r="D82" t="str">
        <f>Imperial!D82</f>
        <v>[hh:mm]</v>
      </c>
      <c r="G82" t="str">
        <f>Imperial!G82</f>
        <v>[hh:mm]</v>
      </c>
      <c r="I82">
        <f>Imperial!I82</f>
        <v>0</v>
      </c>
      <c r="J82" t="str">
        <f>Imperial!J82</f>
        <v>[hh:mm]</v>
      </c>
    </row>
    <row r="83" spans="1:10" x14ac:dyDescent="0.55000000000000004">
      <c r="A83" t="str">
        <f>Imperial!A83</f>
        <v>Phugoid</v>
      </c>
      <c r="D83" t="str">
        <f>Imperial!D83</f>
        <v>53:57</v>
      </c>
      <c r="E83" t="str">
        <f>Imperial!E83</f>
        <v>Dutch Roll</v>
      </c>
      <c r="G83" t="str">
        <f>Imperial!G83</f>
        <v>1:01:57</v>
      </c>
      <c r="H83" t="str">
        <f>Imperial!H83</f>
        <v>Aper. Roll</v>
      </c>
      <c r="I83">
        <f>Imperial!I83</f>
        <v>0</v>
      </c>
      <c r="J83" t="str">
        <f>Imperial!J83</f>
        <v>59:10</v>
      </c>
    </row>
    <row r="84" spans="1:10" x14ac:dyDescent="0.55000000000000004">
      <c r="A84" t="str">
        <f>Imperial!A84</f>
        <v>Short period</v>
      </c>
      <c r="D84" t="str">
        <f>Imperial!D84</f>
        <v>1:00:35</v>
      </c>
      <c r="E84" t="str">
        <f>Imperial!E84</f>
        <v>Dutch Roll YD</v>
      </c>
      <c r="G84" t="str">
        <f>Imperial!G84</f>
        <v>1:02:47</v>
      </c>
      <c r="H84" t="str">
        <f>Imperial!H84</f>
        <v>Spiral</v>
      </c>
      <c r="I84">
        <f>Imperial!I84</f>
        <v>0</v>
      </c>
      <c r="J84" t="str">
        <f>Imperial!J84</f>
        <v>1:05:20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7EFCC-8D08-439C-8AD2-0FB953D50BD8}">
  <dimension ref="A1:BS85"/>
  <sheetViews>
    <sheetView tabSelected="1" workbookViewId="0">
      <selection activeCell="V62" sqref="V62"/>
    </sheetView>
  </sheetViews>
  <sheetFormatPr defaultRowHeight="14.4" x14ac:dyDescent="0.55000000000000004"/>
  <cols>
    <col min="3" max="3" width="16.1015625" bestFit="1" customWidth="1"/>
    <col min="12" max="12" width="9.1015625" customWidth="1"/>
    <col min="18" max="18" width="6.5234375" bestFit="1" customWidth="1"/>
    <col min="22" max="22" width="10.578125" bestFit="1" customWidth="1"/>
    <col min="31" max="31" width="3.578125" customWidth="1"/>
    <col min="32" max="32" width="16.20703125" bestFit="1" customWidth="1"/>
    <col min="33" max="33" width="4.89453125" bestFit="1" customWidth="1"/>
    <col min="34" max="34" width="5.83984375" bestFit="1" customWidth="1"/>
    <col min="35" max="35" width="2.9453125" customWidth="1"/>
    <col min="37" max="38" width="6.20703125" customWidth="1"/>
    <col min="39" max="39" width="7.5234375" customWidth="1"/>
  </cols>
  <sheetData>
    <row r="1" spans="1:59" x14ac:dyDescent="0.55000000000000004">
      <c r="A1" s="13" t="s">
        <v>118</v>
      </c>
      <c r="N1" s="14"/>
      <c r="O1" s="14"/>
      <c r="AE1" s="15"/>
      <c r="AF1" s="16" t="s">
        <v>119</v>
      </c>
      <c r="AG1" s="17" t="s">
        <v>115</v>
      </c>
      <c r="AH1" s="17" t="s">
        <v>47</v>
      </c>
      <c r="AI1" s="17"/>
    </row>
    <row r="2" spans="1:59" x14ac:dyDescent="0.55000000000000004">
      <c r="J2" t="s">
        <v>120</v>
      </c>
      <c r="K2">
        <v>0.45359237000000002</v>
      </c>
      <c r="N2" s="14" t="s">
        <v>121</v>
      </c>
      <c r="O2" s="18">
        <v>30</v>
      </c>
      <c r="AE2" s="19"/>
      <c r="AF2" s="20" t="s">
        <v>122</v>
      </c>
      <c r="AG2" s="21">
        <f>9165*$K$2</f>
        <v>4157.1740710499998</v>
      </c>
      <c r="AH2" s="21">
        <f>AG2*9.80665</f>
        <v>40767.951103862477</v>
      </c>
      <c r="AI2" s="21"/>
    </row>
    <row r="3" spans="1:59" x14ac:dyDescent="0.55000000000000004">
      <c r="A3" t="s">
        <v>123</v>
      </c>
      <c r="C3" s="22">
        <v>43895</v>
      </c>
      <c r="G3" t="s">
        <v>2</v>
      </c>
      <c r="N3" s="14" t="s">
        <v>124</v>
      </c>
      <c r="O3" s="18">
        <v>2.0569000000000002</v>
      </c>
      <c r="AE3" s="19"/>
      <c r="AF3" s="20"/>
      <c r="AG3" s="21"/>
      <c r="AH3" s="21"/>
      <c r="AI3" s="21"/>
    </row>
    <row r="4" spans="1:59" x14ac:dyDescent="0.55000000000000004">
      <c r="A4" t="s">
        <v>125</v>
      </c>
      <c r="C4" t="s">
        <v>126</v>
      </c>
      <c r="G4" t="s">
        <v>4</v>
      </c>
      <c r="N4" s="14" t="s">
        <v>127</v>
      </c>
      <c r="O4" s="18">
        <v>15.911</v>
      </c>
      <c r="AE4" s="19"/>
      <c r="AF4" s="20" t="s">
        <v>128</v>
      </c>
      <c r="AG4" s="21">
        <f>4100*$K$2</f>
        <v>1859.7287170000002</v>
      </c>
      <c r="AH4" s="21">
        <f t="shared" ref="AH4:AH33" si="0">AG4*9.80665</f>
        <v>18237.70862256805</v>
      </c>
      <c r="AI4" s="21"/>
    </row>
    <row r="5" spans="1:59" x14ac:dyDescent="0.55000000000000004">
      <c r="N5" s="14" t="s">
        <v>129</v>
      </c>
      <c r="O5" s="18">
        <f>O4^2/O2</f>
        <v>8.4386640333333336</v>
      </c>
      <c r="AE5" s="19"/>
      <c r="AF5" s="20"/>
      <c r="AG5" s="19"/>
      <c r="AH5" s="21"/>
      <c r="AI5" s="21"/>
    </row>
    <row r="6" spans="1:59" x14ac:dyDescent="0.55000000000000004">
      <c r="A6" t="s">
        <v>5</v>
      </c>
      <c r="N6" s="14" t="s">
        <v>130</v>
      </c>
      <c r="O6" s="18">
        <v>6168.9</v>
      </c>
      <c r="AE6" s="19"/>
      <c r="AF6" s="20" t="s">
        <v>131</v>
      </c>
      <c r="AG6" s="19">
        <f t="shared" ref="AG6:AG14" si="1">D8</f>
        <v>95</v>
      </c>
      <c r="AH6" s="21">
        <f t="shared" si="0"/>
        <v>931.6317499999999</v>
      </c>
      <c r="AI6" s="21"/>
    </row>
    <row r="7" spans="1:59" x14ac:dyDescent="0.55000000000000004">
      <c r="C7" t="s">
        <v>6</v>
      </c>
      <c r="N7" s="14" t="s">
        <v>132</v>
      </c>
      <c r="O7" s="18">
        <v>0.68600000000000005</v>
      </c>
      <c r="AE7" s="19"/>
      <c r="AF7" s="20"/>
      <c r="AG7" s="19">
        <f t="shared" si="1"/>
        <v>92</v>
      </c>
      <c r="AH7" s="21">
        <f t="shared" si="0"/>
        <v>902.21179999999993</v>
      </c>
      <c r="AI7" s="21"/>
    </row>
    <row r="8" spans="1:59" x14ac:dyDescent="0.55000000000000004">
      <c r="A8" t="s">
        <v>8</v>
      </c>
      <c r="D8">
        <v>95</v>
      </c>
      <c r="N8" s="14" t="s">
        <v>133</v>
      </c>
      <c r="O8" s="18">
        <v>-1.1641999999999999</v>
      </c>
      <c r="AE8" s="19"/>
      <c r="AF8" s="20"/>
      <c r="AG8" s="19">
        <f t="shared" si="1"/>
        <v>74</v>
      </c>
      <c r="AH8" s="21">
        <f t="shared" si="0"/>
        <v>725.69209999999998</v>
      </c>
      <c r="AI8" s="21"/>
    </row>
    <row r="9" spans="1:59" x14ac:dyDescent="0.55000000000000004">
      <c r="A9" t="s">
        <v>9</v>
      </c>
      <c r="D9">
        <v>92</v>
      </c>
      <c r="N9" s="14" t="s">
        <v>134</v>
      </c>
      <c r="O9" s="18">
        <v>-6.4000000000000003E-3</v>
      </c>
      <c r="AE9" s="19"/>
      <c r="AF9" s="20"/>
      <c r="AG9" s="19">
        <f t="shared" si="1"/>
        <v>66</v>
      </c>
      <c r="AH9" s="21">
        <f t="shared" si="0"/>
        <v>647.23889999999994</v>
      </c>
      <c r="AI9" s="21"/>
    </row>
    <row r="10" spans="1:59" x14ac:dyDescent="0.55000000000000004">
      <c r="A10" t="s">
        <v>104</v>
      </c>
      <c r="D10">
        <v>74</v>
      </c>
      <c r="AE10" s="19"/>
      <c r="AF10" s="20"/>
      <c r="AG10" s="19">
        <f t="shared" si="1"/>
        <v>61</v>
      </c>
      <c r="AH10" s="21">
        <f t="shared" si="0"/>
        <v>598.20564999999999</v>
      </c>
      <c r="AI10" s="21"/>
      <c r="BG10">
        <f>0.0842*180/PI()</f>
        <v>4.8243046350015311</v>
      </c>
    </row>
    <row r="11" spans="1:59" x14ac:dyDescent="0.55000000000000004">
      <c r="A11" t="s">
        <v>11</v>
      </c>
      <c r="D11">
        <v>66</v>
      </c>
      <c r="AE11" s="19"/>
      <c r="AF11" s="20"/>
      <c r="AG11" s="19">
        <f t="shared" si="1"/>
        <v>75</v>
      </c>
      <c r="AH11" s="21">
        <f t="shared" si="0"/>
        <v>735.49874999999997</v>
      </c>
      <c r="AI11" s="21"/>
    </row>
    <row r="12" spans="1:59" x14ac:dyDescent="0.55000000000000004">
      <c r="A12" t="s">
        <v>12</v>
      </c>
      <c r="D12">
        <v>61</v>
      </c>
      <c r="AE12" s="19"/>
      <c r="AF12" s="20"/>
      <c r="AG12" s="19">
        <f t="shared" si="1"/>
        <v>78</v>
      </c>
      <c r="AH12" s="21">
        <f t="shared" si="0"/>
        <v>764.91869999999994</v>
      </c>
      <c r="AI12" s="21"/>
    </row>
    <row r="13" spans="1:59" x14ac:dyDescent="0.55000000000000004">
      <c r="A13" t="s">
        <v>13</v>
      </c>
      <c r="D13">
        <v>75</v>
      </c>
      <c r="AE13" s="19"/>
      <c r="AF13" s="20"/>
      <c r="AG13" s="19">
        <f t="shared" si="1"/>
        <v>86</v>
      </c>
      <c r="AH13" s="21">
        <f t="shared" si="0"/>
        <v>843.37189999999998</v>
      </c>
      <c r="AI13" s="21"/>
    </row>
    <row r="14" spans="1:59" x14ac:dyDescent="0.55000000000000004">
      <c r="A14" t="s">
        <v>14</v>
      </c>
      <c r="D14">
        <v>78</v>
      </c>
      <c r="AE14" s="19"/>
      <c r="AF14" s="20"/>
      <c r="AG14" s="19">
        <f t="shared" si="1"/>
        <v>68</v>
      </c>
      <c r="AH14" s="21">
        <f t="shared" si="0"/>
        <v>666.85219999999993</v>
      </c>
      <c r="AI14" s="21"/>
    </row>
    <row r="15" spans="1:59" x14ac:dyDescent="0.55000000000000004">
      <c r="A15" t="s">
        <v>15</v>
      </c>
      <c r="D15">
        <v>86</v>
      </c>
      <c r="AE15" s="23"/>
      <c r="AF15" s="24"/>
      <c r="AG15" s="23"/>
      <c r="AH15" s="23"/>
      <c r="AI15" s="23"/>
    </row>
    <row r="16" spans="1:59" x14ac:dyDescent="0.55000000000000004">
      <c r="A16" t="s">
        <v>16</v>
      </c>
      <c r="D16">
        <v>68</v>
      </c>
      <c r="AE16" s="19"/>
      <c r="AF16" s="25" t="s">
        <v>135</v>
      </c>
      <c r="AG16" s="26">
        <f>SUM(AG2:AG15)</f>
        <v>6711.9027880499998</v>
      </c>
      <c r="AH16" s="26">
        <f t="shared" si="0"/>
        <v>65821.281476430522</v>
      </c>
      <c r="AI16" s="26"/>
    </row>
    <row r="17" spans="1:71" x14ac:dyDescent="0.55000000000000004">
      <c r="AE17" s="19"/>
      <c r="AF17" s="20"/>
      <c r="AG17" s="19"/>
      <c r="AH17" s="21"/>
      <c r="AI17" s="21"/>
    </row>
    <row r="18" spans="1:71" x14ac:dyDescent="0.55000000000000004">
      <c r="AE18" s="19"/>
      <c r="AF18" s="20"/>
      <c r="AG18" s="19"/>
      <c r="AH18" s="21"/>
      <c r="AI18" s="21"/>
    </row>
    <row r="19" spans="1:71" x14ac:dyDescent="0.55000000000000004">
      <c r="AE19" s="19"/>
      <c r="AF19" s="20"/>
      <c r="AG19" s="19"/>
      <c r="AH19" s="21"/>
      <c r="AI19" s="21"/>
    </row>
    <row r="20" spans="1:71" x14ac:dyDescent="0.55000000000000004">
      <c r="AE20" s="19"/>
      <c r="AF20" s="20"/>
      <c r="AG20" s="19"/>
      <c r="AH20" s="21"/>
      <c r="AI20" s="21"/>
    </row>
    <row r="21" spans="1:71" x14ac:dyDescent="0.55000000000000004">
      <c r="A21" s="13" t="s">
        <v>136</v>
      </c>
      <c r="AE21" s="19"/>
      <c r="AF21" s="20"/>
      <c r="AG21" s="19"/>
      <c r="AH21" s="21"/>
      <c r="AI21" s="21"/>
    </row>
    <row r="22" spans="1:71" x14ac:dyDescent="0.55000000000000004">
      <c r="AE22" s="19"/>
      <c r="AF22" s="20"/>
      <c r="AG22" s="19"/>
      <c r="AH22" s="21"/>
      <c r="AI22" s="21"/>
    </row>
    <row r="23" spans="1:71" x14ac:dyDescent="0.55000000000000004">
      <c r="A23" t="s">
        <v>19</v>
      </c>
      <c r="D23" t="s">
        <v>137</v>
      </c>
      <c r="AE23" s="19"/>
      <c r="AF23" s="20"/>
      <c r="AG23" s="19"/>
      <c r="AH23" s="21"/>
      <c r="AI23" s="21"/>
    </row>
    <row r="24" spans="1:71" x14ac:dyDescent="0.55000000000000004">
      <c r="AE24" s="19"/>
      <c r="AF24" s="20"/>
      <c r="AG24" s="19"/>
      <c r="AH24" s="21"/>
      <c r="AI24" s="21"/>
    </row>
    <row r="25" spans="1:71" x14ac:dyDescent="0.55000000000000004">
      <c r="A25" t="s">
        <v>21</v>
      </c>
      <c r="B25" t="s">
        <v>22</v>
      </c>
      <c r="C25" t="s">
        <v>23</v>
      </c>
      <c r="D25" t="s">
        <v>24</v>
      </c>
      <c r="E25" t="s">
        <v>138</v>
      </c>
      <c r="F25" t="s">
        <v>178</v>
      </c>
      <c r="G25" t="s">
        <v>25</v>
      </c>
      <c r="H25" t="s">
        <v>139</v>
      </c>
      <c r="I25" t="s">
        <v>26</v>
      </c>
      <c r="M25" t="s">
        <v>27</v>
      </c>
      <c r="N25" t="s">
        <v>28</v>
      </c>
      <c r="O25" t="s">
        <v>29</v>
      </c>
      <c r="P25" t="s">
        <v>30</v>
      </c>
      <c r="Q25" t="s">
        <v>140</v>
      </c>
      <c r="R25" t="s">
        <v>141</v>
      </c>
      <c r="S25" t="s">
        <v>142</v>
      </c>
      <c r="T25" t="s">
        <v>143</v>
      </c>
      <c r="U25" t="s">
        <v>144</v>
      </c>
      <c r="V25" t="s">
        <v>145</v>
      </c>
      <c r="W25" t="s">
        <v>146</v>
      </c>
      <c r="AE25" s="19"/>
      <c r="AF25" s="20"/>
      <c r="AG25" s="19"/>
      <c r="AH25" s="21"/>
      <c r="AI25" s="21"/>
    </row>
    <row r="26" spans="1:71" x14ac:dyDescent="0.55000000000000004">
      <c r="B26" t="s">
        <v>42</v>
      </c>
      <c r="C26" t="s">
        <v>32</v>
      </c>
      <c r="D26" t="s">
        <v>112</v>
      </c>
      <c r="E26" t="s">
        <v>147</v>
      </c>
      <c r="F26" t="s">
        <v>179</v>
      </c>
      <c r="G26" t="s">
        <v>113</v>
      </c>
      <c r="H26" t="s">
        <v>113</v>
      </c>
      <c r="I26" t="s">
        <v>35</v>
      </c>
      <c r="M26" t="s">
        <v>114</v>
      </c>
      <c r="N26" t="s">
        <v>114</v>
      </c>
      <c r="O26" t="s">
        <v>115</v>
      </c>
      <c r="P26" t="s">
        <v>148</v>
      </c>
      <c r="Q26" t="s">
        <v>148</v>
      </c>
      <c r="S26" t="s">
        <v>113</v>
      </c>
      <c r="T26" t="s">
        <v>113</v>
      </c>
      <c r="U26" t="s">
        <v>148</v>
      </c>
      <c r="V26" t="s">
        <v>148</v>
      </c>
      <c r="W26" t="s">
        <v>47</v>
      </c>
      <c r="AE26" s="19"/>
      <c r="AF26" s="20"/>
      <c r="AG26" s="19"/>
      <c r="AH26" s="21"/>
      <c r="AI26" s="21"/>
    </row>
    <row r="27" spans="1:71" ht="17.7" x14ac:dyDescent="0.75">
      <c r="AE27" s="19"/>
      <c r="AF27" s="20"/>
      <c r="AG27" s="19"/>
      <c r="AH27" s="21"/>
      <c r="AI27" s="21"/>
      <c r="AJ27" s="27" t="s">
        <v>149</v>
      </c>
      <c r="AK27" s="27" t="s">
        <v>150</v>
      </c>
      <c r="AL27" s="28" t="s">
        <v>151</v>
      </c>
      <c r="AM27" s="27" t="s">
        <v>152</v>
      </c>
      <c r="AN27" s="27" t="s">
        <v>180</v>
      </c>
    </row>
    <row r="28" spans="1:71" x14ac:dyDescent="0.55000000000000004">
      <c r="A28">
        <v>1</v>
      </c>
      <c r="B28" s="11" t="str">
        <f>Imperial!B28</f>
        <v>19:17</v>
      </c>
      <c r="C28" s="11">
        <f>B28-$B$28</f>
        <v>0</v>
      </c>
      <c r="D28" s="29">
        <f>Imperial!D28*0.3048</f>
        <v>1527.048</v>
      </c>
      <c r="E28" s="29">
        <f>101325*(1+((-0.00649*D28)/288.15))^(-9.80665/(-0.00649*287))</f>
        <v>84273.281739349419</v>
      </c>
      <c r="F28" s="29">
        <f>1.225*(1+((-0.00649*D28)/288.15))^(-9.80665/(-0.00649*287))</f>
        <v>1.018847965760701</v>
      </c>
      <c r="G28" s="29">
        <v>128.09655599999999</v>
      </c>
      <c r="H28" s="29">
        <f t="shared" ref="H28:H33" si="2">G28-2*0.514444</f>
        <v>127.067668</v>
      </c>
      <c r="I28" s="30">
        <v>1.7</v>
      </c>
      <c r="J28" s="31"/>
      <c r="K28" s="31"/>
      <c r="L28" s="31"/>
      <c r="M28" s="29">
        <v>361.96671126000001</v>
      </c>
      <c r="N28" s="29">
        <v>368.77059681000003</v>
      </c>
      <c r="O28" s="29">
        <v>163.29325320000001</v>
      </c>
      <c r="P28" s="29">
        <f>12.5+273.15</f>
        <v>285.64999999999998</v>
      </c>
      <c r="Q28" s="29">
        <f t="shared" ref="Q28:Q33" si="3">P28/(1+(0.4/2)*R28^2)</f>
        <v>276.44326009905416</v>
      </c>
      <c r="R28" s="54">
        <f>SQRT(2/0.4*((1+101325/E28*((1+0.4/2.8*1.225/101325*H28^2)^(1.4/0.4)-1))^(0.4/1.4)-1))</f>
        <v>0.4080702520295213</v>
      </c>
      <c r="S28" s="29">
        <f>R28*SQRT(1.4*287*Q28)</f>
        <v>136.00125168909364</v>
      </c>
      <c r="T28" s="29">
        <f>S28*SQRT(E28/287/Q28/1.225)</f>
        <v>126.64144665062862</v>
      </c>
      <c r="U28" s="29">
        <f t="shared" ref="U28:U33" si="4">288.15-0.00649*D28</f>
        <v>278.23945848</v>
      </c>
      <c r="V28" s="33">
        <f t="shared" ref="V28:V33" si="5">Q28-U28</f>
        <v>-1.7961983809458388</v>
      </c>
      <c r="W28">
        <f>thrust!O1</f>
        <v>7463.19</v>
      </c>
      <c r="AE28" s="19"/>
      <c r="AF28" s="20" t="s">
        <v>154</v>
      </c>
      <c r="AG28" s="21">
        <f>$AG$16-O28</f>
        <v>6548.6095348499994</v>
      </c>
      <c r="AH28" s="21">
        <f t="shared" si="0"/>
        <v>64219.92169493674</v>
      </c>
      <c r="AI28" s="21"/>
      <c r="AJ28" s="34">
        <f>2*AH28/(1.225*$T28^2*$O$2)</f>
        <v>0.2179167925817676</v>
      </c>
      <c r="AK28" s="34">
        <f t="shared" ref="AK28:AK33" si="6">2*W28/(1.225*$T28^2*$O$2)</f>
        <v>2.5324765030919492E-2</v>
      </c>
      <c r="AL28" s="35">
        <f t="shared" ref="AL28:AL33" si="7">I28</f>
        <v>1.7</v>
      </c>
      <c r="AM28" s="36">
        <f>AJ28^2</f>
        <v>4.7487728489125122E-2</v>
      </c>
      <c r="AN28" s="34">
        <f>AM28/(AK28-$AK$35)/(PI()*$O$5)</f>
        <v>0.39826369530686034</v>
      </c>
      <c r="AO28" s="37"/>
      <c r="BR28">
        <v>1</v>
      </c>
      <c r="BS28">
        <f>19.512*BR28-0.4065</f>
        <v>19.105499999999999</v>
      </c>
    </row>
    <row r="29" spans="1:71" x14ac:dyDescent="0.55000000000000004">
      <c r="A29">
        <v>2</v>
      </c>
      <c r="B29" s="11" t="str">
        <f>Imperial!B29</f>
        <v>21:37</v>
      </c>
      <c r="C29" s="11">
        <f t="shared" ref="C29:C33" si="8">B29-$B$28</f>
        <v>9.722222222222221E-2</v>
      </c>
      <c r="D29" s="12">
        <f>Imperial!D29*0.3048</f>
        <v>1530.096</v>
      </c>
      <c r="E29" s="29">
        <f t="shared" ref="E29:E33" si="9">101325*(1+((-0.0065*D29)/288.15))^(-9.81/(-0.0065*287))</f>
        <v>84236.003208777372</v>
      </c>
      <c r="F29" s="29">
        <f t="shared" ref="F29:F33" si="10">1.225*(1+((-0.00649*D29)/288.15))^(-9.80665/(-0.00649*287))</f>
        <v>1.0184666554384738</v>
      </c>
      <c r="G29" s="29">
        <v>113.69212400000001</v>
      </c>
      <c r="H29" s="29">
        <f t="shared" si="2"/>
        <v>112.66323600000001</v>
      </c>
      <c r="I29" s="30">
        <v>2.4</v>
      </c>
      <c r="J29" s="31"/>
      <c r="K29" s="31"/>
      <c r="L29" s="31"/>
      <c r="M29" s="29">
        <v>305.26766501000003</v>
      </c>
      <c r="N29" s="29">
        <v>309.34999634000002</v>
      </c>
      <c r="O29" s="29">
        <v>186.88005644</v>
      </c>
      <c r="P29" s="29">
        <f>10.5+273.15</f>
        <v>283.64999999999998</v>
      </c>
      <c r="Q29" s="29">
        <f t="shared" si="3"/>
        <v>276.40030821235558</v>
      </c>
      <c r="R29" s="54">
        <f t="shared" ref="R29:R33" si="11">SQRT(2/0.4*((1+101325/E29*((1+0.4/2.8*1.225/101325*H29^2)^(1.4/0.4)-1))^(0.4/1.4)-1))</f>
        <v>0.36213917876500906</v>
      </c>
      <c r="S29" s="29">
        <f t="shared" ref="S29:S33" si="12">R29*SQRT(1.4*287*Q29)</f>
        <v>120.68401220284973</v>
      </c>
      <c r="T29" s="29">
        <f t="shared" ref="T29:T33" si="13">S29*SQRT(E29/287/Q29/1.225)</f>
        <v>112.362233171829</v>
      </c>
      <c r="U29" s="29">
        <f t="shared" si="4"/>
        <v>278.21967695999996</v>
      </c>
      <c r="V29" s="33">
        <f t="shared" si="5"/>
        <v>-1.8193687476443756</v>
      </c>
      <c r="W29">
        <f>thrust!O2</f>
        <v>6077.65</v>
      </c>
      <c r="AE29" s="19"/>
      <c r="AF29" s="20" t="s">
        <v>154</v>
      </c>
      <c r="AG29" s="21">
        <f t="shared" ref="AG29:AG33" si="14">$AG$16-O29</f>
        <v>6525.0227316099999</v>
      </c>
      <c r="AH29" s="21">
        <f t="shared" si="0"/>
        <v>63988.614170943205</v>
      </c>
      <c r="AI29" s="21"/>
      <c r="AJ29" s="34">
        <f t="shared" ref="AJ29:AJ33" si="15">2*AH29/(1.225*$T29^2*$O$2)</f>
        <v>0.27582563875525951</v>
      </c>
      <c r="AK29" s="34">
        <f t="shared" si="6"/>
        <v>2.6197968421421636E-2</v>
      </c>
      <c r="AL29" s="35">
        <f t="shared" si="7"/>
        <v>2.4</v>
      </c>
      <c r="AM29" s="36">
        <f>AJ29^2</f>
        <v>7.6079782994746908E-2</v>
      </c>
      <c r="AN29" s="34">
        <f t="shared" ref="AN29:AN33" si="16">AM29/(AK29-$AK$35)/(PI()*$O$5)</f>
        <v>0.53431969531619705</v>
      </c>
      <c r="AO29" s="37"/>
    </row>
    <row r="30" spans="1:71" x14ac:dyDescent="0.55000000000000004">
      <c r="A30">
        <v>3</v>
      </c>
      <c r="B30" s="11" t="str">
        <f>Imperial!B30</f>
        <v>23:46</v>
      </c>
      <c r="C30" s="11">
        <f t="shared" si="8"/>
        <v>0.18680555555555545</v>
      </c>
      <c r="D30" s="12">
        <f>Imperial!D30*0.3048</f>
        <v>1530.096</v>
      </c>
      <c r="E30" s="29">
        <f t="shared" si="9"/>
        <v>84236.003208777372</v>
      </c>
      <c r="F30" s="29">
        <f t="shared" si="10"/>
        <v>1.0184666554384738</v>
      </c>
      <c r="G30" s="29">
        <v>98.773247999999995</v>
      </c>
      <c r="H30" s="29">
        <f t="shared" si="2"/>
        <v>97.74436</v>
      </c>
      <c r="I30" s="30">
        <v>3.6</v>
      </c>
      <c r="J30" s="31"/>
      <c r="K30" s="31"/>
      <c r="L30" s="31"/>
      <c r="M30" s="29">
        <v>254.46531957000002</v>
      </c>
      <c r="N30" s="29">
        <v>262.62998223</v>
      </c>
      <c r="O30" s="29">
        <v>202.75578939000002</v>
      </c>
      <c r="P30" s="29">
        <f>273.15+8.8</f>
        <v>281.95</v>
      </c>
      <c r="Q30" s="29">
        <f t="shared" si="3"/>
        <v>276.48451034767658</v>
      </c>
      <c r="R30" s="54">
        <f t="shared" si="11"/>
        <v>0.31438668006839776</v>
      </c>
      <c r="S30" s="29">
        <f t="shared" si="12"/>
        <v>104.78630020912925</v>
      </c>
      <c r="T30" s="29">
        <f t="shared" si="13"/>
        <v>97.545892638379556</v>
      </c>
      <c r="U30" s="29">
        <f t="shared" si="4"/>
        <v>278.21967695999996</v>
      </c>
      <c r="V30" s="33">
        <f t="shared" si="5"/>
        <v>-1.7351666123233827</v>
      </c>
      <c r="W30">
        <f>thrust!O3</f>
        <v>4948.68</v>
      </c>
      <c r="AE30" s="19"/>
      <c r="AF30" s="20" t="s">
        <v>154</v>
      </c>
      <c r="AG30" s="21">
        <f t="shared" si="14"/>
        <v>6509.1469986599996</v>
      </c>
      <c r="AH30" s="21">
        <f t="shared" si="0"/>
        <v>63832.926414409078</v>
      </c>
      <c r="AI30" s="21"/>
      <c r="AJ30" s="34">
        <f t="shared" si="15"/>
        <v>0.36508957561230709</v>
      </c>
      <c r="AK30" s="34">
        <f t="shared" si="6"/>
        <v>2.8303754543725274E-2</v>
      </c>
      <c r="AL30" s="35">
        <f t="shared" si="7"/>
        <v>3.6</v>
      </c>
      <c r="AM30" s="36">
        <f>AJ30^2</f>
        <v>0.13329039822077449</v>
      </c>
      <c r="AN30" s="34">
        <f t="shared" si="16"/>
        <v>0.67246236141640048</v>
      </c>
      <c r="AO30" s="37"/>
    </row>
    <row r="31" spans="1:71" x14ac:dyDescent="0.55000000000000004">
      <c r="A31">
        <v>4</v>
      </c>
      <c r="B31" s="11" t="str">
        <f>Imperial!B31</f>
        <v>26:04</v>
      </c>
      <c r="C31" s="11">
        <f t="shared" si="8"/>
        <v>0.28263888888888877</v>
      </c>
      <c r="D31" s="12">
        <f>Imperial!D31*0.3048</f>
        <v>1533.144</v>
      </c>
      <c r="E31" s="29">
        <f t="shared" si="9"/>
        <v>84204.462604197033</v>
      </c>
      <c r="F31" s="29">
        <f t="shared" si="10"/>
        <v>1.0180854607270098</v>
      </c>
      <c r="G31" s="29">
        <v>83.854371999999998</v>
      </c>
      <c r="H31" s="29">
        <f t="shared" si="2"/>
        <v>82.825484000000003</v>
      </c>
      <c r="I31" s="30">
        <v>5.4</v>
      </c>
      <c r="J31" s="31"/>
      <c r="K31" s="31"/>
      <c r="L31" s="31"/>
      <c r="M31" s="29">
        <v>210.01326731</v>
      </c>
      <c r="N31" s="29">
        <v>219.53870708000002</v>
      </c>
      <c r="O31" s="29">
        <v>216.81715286000002</v>
      </c>
      <c r="P31" s="29">
        <f>273.15+7.2</f>
        <v>280.34999999999997</v>
      </c>
      <c r="Q31" s="29">
        <f t="shared" si="3"/>
        <v>276.4206506728699</v>
      </c>
      <c r="R31" s="54">
        <f t="shared" si="11"/>
        <v>0.2665999599254415</v>
      </c>
      <c r="S31" s="29">
        <f t="shared" si="12"/>
        <v>88.848538525990051</v>
      </c>
      <c r="T31" s="29">
        <f t="shared" si="13"/>
        <v>82.70344635992042</v>
      </c>
      <c r="U31" s="29">
        <f t="shared" si="4"/>
        <v>278.19989543999998</v>
      </c>
      <c r="V31" s="33">
        <f t="shared" si="5"/>
        <v>-1.7792447671300806</v>
      </c>
      <c r="W31">
        <f>thrust!O4</f>
        <v>3900.24</v>
      </c>
      <c r="AE31" s="19"/>
      <c r="AF31" s="20" t="s">
        <v>154</v>
      </c>
      <c r="AG31" s="21">
        <f t="shared" si="14"/>
        <v>6495.0856351900002</v>
      </c>
      <c r="AH31" s="21">
        <f t="shared" si="0"/>
        <v>63695.031544336009</v>
      </c>
      <c r="AI31" s="21"/>
      <c r="AJ31" s="34">
        <f t="shared" si="15"/>
        <v>0.50679345108629925</v>
      </c>
      <c r="AK31" s="34">
        <f t="shared" si="6"/>
        <v>3.1032500365259577E-2</v>
      </c>
      <c r="AL31" s="35">
        <f t="shared" si="7"/>
        <v>5.4</v>
      </c>
      <c r="AM31" s="36">
        <f t="shared" ref="AM31:AM33" si="17">AJ31^2</f>
        <v>0.25683960206396117</v>
      </c>
      <c r="AN31" s="34">
        <f t="shared" si="16"/>
        <v>0.94931069095314036</v>
      </c>
      <c r="AO31" s="37"/>
    </row>
    <row r="32" spans="1:71" x14ac:dyDescent="0.55000000000000004">
      <c r="A32">
        <v>5</v>
      </c>
      <c r="B32" s="11" t="str">
        <f>Imperial!B32</f>
        <v>29:47</v>
      </c>
      <c r="C32" s="11">
        <f t="shared" si="8"/>
        <v>0.43750000000000011</v>
      </c>
      <c r="D32" s="12">
        <f>Imperial!D32*0.3048</f>
        <v>1530.096</v>
      </c>
      <c r="E32" s="29">
        <f t="shared" si="9"/>
        <v>84236.003208777372</v>
      </c>
      <c r="F32" s="29">
        <f t="shared" si="10"/>
        <v>1.0184666554384738</v>
      </c>
      <c r="G32" s="29">
        <v>66.877719999999997</v>
      </c>
      <c r="H32" s="29">
        <f t="shared" si="2"/>
        <v>65.848832000000002</v>
      </c>
      <c r="I32" s="30">
        <v>8.6999999999999993</v>
      </c>
      <c r="J32" s="31"/>
      <c r="K32" s="31"/>
      <c r="L32" s="31"/>
      <c r="M32" s="29">
        <v>200.94141991000001</v>
      </c>
      <c r="N32" s="29">
        <v>211.82763679000001</v>
      </c>
      <c r="O32" s="29">
        <v>241.31114084000001</v>
      </c>
      <c r="P32" s="29">
        <f>6+273.15</f>
        <v>279.14999999999998</v>
      </c>
      <c r="Q32" s="29">
        <f t="shared" si="3"/>
        <v>276.66244474691808</v>
      </c>
      <c r="R32" s="54">
        <f t="shared" si="11"/>
        <v>0.21202948818695572</v>
      </c>
      <c r="S32" s="29">
        <f t="shared" si="12"/>
        <v>70.692987653949729</v>
      </c>
      <c r="T32" s="29">
        <f t="shared" si="13"/>
        <v>65.787156397197379</v>
      </c>
      <c r="U32" s="29">
        <f t="shared" si="4"/>
        <v>278.21967695999996</v>
      </c>
      <c r="V32" s="33">
        <f t="shared" si="5"/>
        <v>-1.5572322130818748</v>
      </c>
      <c r="W32">
        <f>thrust!O5</f>
        <v>3990.5</v>
      </c>
      <c r="AE32" s="19"/>
      <c r="AF32" s="20" t="s">
        <v>154</v>
      </c>
      <c r="AG32" s="21">
        <f t="shared" si="14"/>
        <v>6470.5916472099998</v>
      </c>
      <c r="AH32" s="21">
        <f t="shared" si="0"/>
        <v>63454.827577111944</v>
      </c>
      <c r="AI32" s="21"/>
      <c r="AJ32" s="34">
        <f t="shared" si="15"/>
        <v>0.79791217370818568</v>
      </c>
      <c r="AK32" s="34">
        <f t="shared" si="6"/>
        <v>5.0178507306054103E-2</v>
      </c>
      <c r="AL32" s="35">
        <f t="shared" si="7"/>
        <v>8.6999999999999993</v>
      </c>
      <c r="AM32" s="36">
        <f t="shared" si="17"/>
        <v>0.63666383695172191</v>
      </c>
      <c r="AN32" s="34">
        <f t="shared" si="16"/>
        <v>0.81819662493921452</v>
      </c>
      <c r="AO32" s="37"/>
    </row>
    <row r="33" spans="1:70" x14ac:dyDescent="0.55000000000000004">
      <c r="A33">
        <v>6</v>
      </c>
      <c r="B33" s="11" t="str">
        <f>Imperial!B33</f>
        <v>32:00</v>
      </c>
      <c r="C33" s="11">
        <f t="shared" si="8"/>
        <v>0.52986111111111101</v>
      </c>
      <c r="D33" s="12">
        <f>Imperial!D33*0.3048</f>
        <v>1557.528</v>
      </c>
      <c r="E33" s="29">
        <f t="shared" si="9"/>
        <v>83952.481909887749</v>
      </c>
      <c r="F33" s="29">
        <f t="shared" si="10"/>
        <v>1.015040061803409</v>
      </c>
      <c r="G33" s="29">
        <v>60.704391999999999</v>
      </c>
      <c r="H33" s="29">
        <f t="shared" si="2"/>
        <v>59.675503999999997</v>
      </c>
      <c r="I33" s="30">
        <v>10.6</v>
      </c>
      <c r="J33" s="31"/>
      <c r="K33" s="31"/>
      <c r="L33" s="31"/>
      <c r="M33" s="29">
        <v>215.00278338000001</v>
      </c>
      <c r="N33" s="29">
        <v>226.34259263000001</v>
      </c>
      <c r="O33" s="29">
        <v>258.54765090000001</v>
      </c>
      <c r="P33" s="29">
        <f>273.15+5.2</f>
        <v>278.34999999999997</v>
      </c>
      <c r="Q33" s="29">
        <f t="shared" si="3"/>
        <v>276.30215286410174</v>
      </c>
      <c r="R33" s="54">
        <f t="shared" si="11"/>
        <v>0.19250483209916044</v>
      </c>
      <c r="S33" s="29">
        <f t="shared" si="12"/>
        <v>64.141444449119945</v>
      </c>
      <c r="T33" s="29">
        <f t="shared" si="13"/>
        <v>59.628567855346276</v>
      </c>
      <c r="U33" s="29">
        <f t="shared" si="4"/>
        <v>278.04164327999996</v>
      </c>
      <c r="V33" s="33">
        <f t="shared" si="5"/>
        <v>-1.7394904158982172</v>
      </c>
      <c r="W33">
        <f>thrust!O6</f>
        <v>4639.28</v>
      </c>
      <c r="AE33" s="19"/>
      <c r="AF33" s="20" t="s">
        <v>154</v>
      </c>
      <c r="AG33" s="21">
        <f t="shared" si="14"/>
        <v>6453.3551371499998</v>
      </c>
      <c r="AH33" s="21">
        <f t="shared" si="0"/>
        <v>63285.795155732041</v>
      </c>
      <c r="AI33" s="21"/>
      <c r="AJ33" s="34">
        <f t="shared" si="15"/>
        <v>0.96865725604009023</v>
      </c>
      <c r="AK33" s="34">
        <f t="shared" si="6"/>
        <v>7.100917707904697E-2</v>
      </c>
      <c r="AL33" s="35">
        <f t="shared" si="7"/>
        <v>10.6</v>
      </c>
      <c r="AM33" s="36">
        <f t="shared" si="17"/>
        <v>0.9382968796791169</v>
      </c>
      <c r="AN33" s="34">
        <f t="shared" si="16"/>
        <v>0.70529055741227087</v>
      </c>
      <c r="AO33" s="37"/>
    </row>
    <row r="34" spans="1:70" x14ac:dyDescent="0.55000000000000004">
      <c r="A34">
        <v>7</v>
      </c>
      <c r="B34" s="11"/>
      <c r="H34" s="29"/>
      <c r="R34" s="55"/>
      <c r="AE34" s="19"/>
      <c r="AF34" s="20"/>
      <c r="AG34" s="19"/>
      <c r="AH34" s="19"/>
      <c r="AI34" s="19"/>
      <c r="AL34" s="39"/>
      <c r="AN34" s="33">
        <v>0.73599999999999999</v>
      </c>
    </row>
    <row r="35" spans="1:70" ht="16.8" x14ac:dyDescent="0.75">
      <c r="C35" t="s">
        <v>39</v>
      </c>
      <c r="H35" s="29"/>
      <c r="R35" s="55"/>
      <c r="AE35" s="19"/>
      <c r="AF35" s="20"/>
      <c r="AG35" s="19"/>
      <c r="AH35" s="19"/>
      <c r="AI35" s="19"/>
      <c r="AJ35" s="40" t="s">
        <v>155</v>
      </c>
      <c r="AK35" s="14">
        <f>0.0208271</f>
        <v>2.0827100000000001E-2</v>
      </c>
      <c r="AL35" s="39" t="s">
        <v>156</v>
      </c>
    </row>
    <row r="36" spans="1:70" x14ac:dyDescent="0.55000000000000004">
      <c r="R36" s="55"/>
      <c r="AE36" s="19"/>
      <c r="AF36" s="20"/>
      <c r="AG36" s="19"/>
      <c r="AH36" s="19"/>
      <c r="AI36" s="19"/>
      <c r="AL36" s="39"/>
      <c r="BR36">
        <f>0.4065/19.512</f>
        <v>2.0833333333333332E-2</v>
      </c>
    </row>
    <row r="37" spans="1:70" x14ac:dyDescent="0.55000000000000004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56"/>
      <c r="AE37" s="19"/>
      <c r="AF37" s="20"/>
      <c r="AG37" s="19"/>
      <c r="AH37" s="19"/>
      <c r="AI37" s="19"/>
      <c r="AJ37" t="s">
        <v>183</v>
      </c>
      <c r="AK37" t="s">
        <v>184</v>
      </c>
    </row>
    <row r="38" spans="1:70" x14ac:dyDescent="0.55000000000000004">
      <c r="A38" s="13" t="s">
        <v>43</v>
      </c>
      <c r="R38" s="55"/>
      <c r="AE38" s="19"/>
      <c r="AF38" s="20"/>
      <c r="AG38" s="19"/>
      <c r="AH38" s="19"/>
      <c r="AI38" s="19"/>
      <c r="AJ38">
        <v>1</v>
      </c>
      <c r="AK38">
        <f>AJ38*19.512-0.4065</f>
        <v>19.105499999999999</v>
      </c>
      <c r="AL38">
        <f>AJ38-AK35</f>
        <v>0.97917290000000001</v>
      </c>
    </row>
    <row r="39" spans="1:70" x14ac:dyDescent="0.55000000000000004">
      <c r="R39" s="55"/>
      <c r="AE39" s="19"/>
      <c r="AF39" s="20"/>
      <c r="AG39" s="19"/>
      <c r="AH39" s="19"/>
      <c r="AI39" s="19"/>
      <c r="AL39">
        <f>AK38/AL38/PI()/O5</f>
        <v>0.73599599851946251</v>
      </c>
    </row>
    <row r="40" spans="1:70" x14ac:dyDescent="0.55000000000000004">
      <c r="A40" t="s">
        <v>19</v>
      </c>
      <c r="D40" t="s">
        <v>137</v>
      </c>
      <c r="R40" s="55"/>
      <c r="AE40" s="19"/>
      <c r="AF40" s="20"/>
      <c r="AG40" s="19"/>
      <c r="AH40" s="19"/>
      <c r="AI40" s="19"/>
      <c r="AL40" s="39"/>
    </row>
    <row r="41" spans="1:70" x14ac:dyDescent="0.55000000000000004">
      <c r="R41" s="55"/>
      <c r="AE41" s="19"/>
      <c r="AF41" s="20"/>
      <c r="AG41" s="19"/>
      <c r="AH41" s="19"/>
      <c r="AI41" s="19"/>
      <c r="AL41" s="39"/>
    </row>
    <row r="42" spans="1:70" x14ac:dyDescent="0.55000000000000004">
      <c r="A42" t="s">
        <v>21</v>
      </c>
      <c r="B42" t="s">
        <v>22</v>
      </c>
      <c r="C42" t="s">
        <v>23</v>
      </c>
      <c r="D42" t="s">
        <v>24</v>
      </c>
      <c r="E42" t="s">
        <v>138</v>
      </c>
      <c r="G42" t="s">
        <v>25</v>
      </c>
      <c r="H42" t="s">
        <v>139</v>
      </c>
      <c r="I42" t="s">
        <v>26</v>
      </c>
      <c r="J42" t="s">
        <v>44</v>
      </c>
      <c r="K42" t="s">
        <v>45</v>
      </c>
      <c r="L42" t="s">
        <v>46</v>
      </c>
      <c r="M42" t="s">
        <v>27</v>
      </c>
      <c r="N42" t="s">
        <v>28</v>
      </c>
      <c r="O42" t="s">
        <v>29</v>
      </c>
      <c r="P42" t="s">
        <v>30</v>
      </c>
      <c r="Q42" t="s">
        <v>140</v>
      </c>
      <c r="R42" s="55" t="s">
        <v>141</v>
      </c>
      <c r="S42" t="s">
        <v>142</v>
      </c>
      <c r="T42" t="s">
        <v>143</v>
      </c>
      <c r="U42" t="s">
        <v>144</v>
      </c>
      <c r="V42" t="s">
        <v>157</v>
      </c>
      <c r="W42" t="s">
        <v>158</v>
      </c>
      <c r="X42" t="s">
        <v>159</v>
      </c>
      <c r="Y42" t="s">
        <v>160</v>
      </c>
      <c r="Z42" t="s">
        <v>161</v>
      </c>
      <c r="AA42" t="s">
        <v>162</v>
      </c>
      <c r="AB42" t="s">
        <v>163</v>
      </c>
      <c r="AE42" s="19"/>
      <c r="AF42" s="20"/>
      <c r="AG42" s="19"/>
      <c r="AH42" s="19"/>
      <c r="AI42" s="19"/>
      <c r="AL42" s="39"/>
    </row>
    <row r="43" spans="1:70" x14ac:dyDescent="0.55000000000000004">
      <c r="B43" t="s">
        <v>42</v>
      </c>
      <c r="C43" t="s">
        <v>32</v>
      </c>
      <c r="D43" t="s">
        <v>112</v>
      </c>
      <c r="E43" t="s">
        <v>147</v>
      </c>
      <c r="G43" t="s">
        <v>113</v>
      </c>
      <c r="H43" t="s">
        <v>113</v>
      </c>
      <c r="I43" t="s">
        <v>35</v>
      </c>
      <c r="J43" t="s">
        <v>35</v>
      </c>
      <c r="K43" t="s">
        <v>35</v>
      </c>
      <c r="L43" t="s">
        <v>47</v>
      </c>
      <c r="M43" t="s">
        <v>114</v>
      </c>
      <c r="N43" t="s">
        <v>114</v>
      </c>
      <c r="O43" t="s">
        <v>115</v>
      </c>
      <c r="P43" t="s">
        <v>38</v>
      </c>
      <c r="Q43" t="s">
        <v>148</v>
      </c>
      <c r="R43" s="55" t="s">
        <v>113</v>
      </c>
      <c r="S43" t="s">
        <v>113</v>
      </c>
      <c r="T43" t="s">
        <v>113</v>
      </c>
      <c r="U43" t="s">
        <v>148</v>
      </c>
      <c r="V43" t="s">
        <v>148</v>
      </c>
      <c r="W43" t="s">
        <v>47</v>
      </c>
      <c r="X43" t="s">
        <v>113</v>
      </c>
      <c r="Y43" t="s">
        <v>164</v>
      </c>
      <c r="Z43" t="s">
        <v>164</v>
      </c>
      <c r="AA43" t="s">
        <v>164</v>
      </c>
      <c r="AB43" t="s">
        <v>164</v>
      </c>
      <c r="AE43" s="19"/>
      <c r="AF43" s="20"/>
      <c r="AG43" s="19"/>
      <c r="AH43" s="19"/>
      <c r="AI43" s="19"/>
      <c r="AL43" s="39"/>
    </row>
    <row r="44" spans="1:70" ht="16.8" x14ac:dyDescent="0.75">
      <c r="R44" s="55"/>
      <c r="AE44" s="19"/>
      <c r="AF44" s="20"/>
      <c r="AG44" s="19"/>
      <c r="AH44" s="19"/>
      <c r="AI44" s="19"/>
      <c r="AJ44" s="27" t="s">
        <v>149</v>
      </c>
      <c r="AK44" s="27" t="s">
        <v>150</v>
      </c>
      <c r="AL44" s="28" t="s">
        <v>151</v>
      </c>
      <c r="AM44" s="27"/>
    </row>
    <row r="45" spans="1:70" x14ac:dyDescent="0.55000000000000004">
      <c r="A45">
        <v>1</v>
      </c>
      <c r="B45" s="38" t="s">
        <v>69</v>
      </c>
      <c r="C45" s="11">
        <f>B45-$B$28</f>
        <v>0.75138888888888899</v>
      </c>
      <c r="D45" s="12">
        <v>1847.0880000000002</v>
      </c>
      <c r="E45" s="29">
        <f>101325*(1+((-0.00649*D45)/288.15))^(-9.80665/(-0.00649*287))</f>
        <v>81013.399326628263</v>
      </c>
      <c r="F45" s="29">
        <f t="shared" ref="F45:F51" si="18">1.225*(1+((-0.00649*D45)/288.15))^(-9.80665/(-0.00649*287))</f>
        <v>0.97943660671225874</v>
      </c>
      <c r="G45" s="12">
        <v>82.825484000000003</v>
      </c>
      <c r="H45" s="29">
        <f>G45-2*0.514444</f>
        <v>81.796596000000008</v>
      </c>
      <c r="I45" s="39">
        <v>5.3</v>
      </c>
      <c r="J45" s="39">
        <v>0</v>
      </c>
      <c r="K45" s="39">
        <v>2.8</v>
      </c>
      <c r="L45" s="12">
        <v>0</v>
      </c>
      <c r="M45" s="12">
        <v>209.55967494000001</v>
      </c>
      <c r="N45" s="12">
        <v>220.44589182000001</v>
      </c>
      <c r="O45" s="12">
        <v>301.18533368000004</v>
      </c>
      <c r="P45" s="39">
        <v>278.64999999999998</v>
      </c>
      <c r="Q45" s="29">
        <f t="shared" ref="Q45:Q51" si="19">P45/(1+(0.4/2)*R45^2)</f>
        <v>274.6939590338938</v>
      </c>
      <c r="R45" s="54">
        <f t="shared" ref="R45:R51" si="20">SQRT(2/0.4*((1+101325/E45*((1+0.4/2.8*1.225/101325*H45^2)^(1.4/0.4)-1))^(0.4/1.4)-1))</f>
        <v>0.26834335044671087</v>
      </c>
      <c r="S45" s="29">
        <f t="shared" ref="S45:S51" si="21">R45*SQRT(1.4*287*Q45)</f>
        <v>89.149796976254251</v>
      </c>
      <c r="T45" s="29">
        <f t="shared" ref="T45:T51" si="22">S45*SQRT(E45/287/Q45/1.225)</f>
        <v>81.651701497925103</v>
      </c>
      <c r="U45" s="29">
        <f t="shared" ref="U45:U51" si="23">288.15-0.00649*D45</f>
        <v>276.16239887999996</v>
      </c>
      <c r="V45" s="33">
        <f t="shared" ref="V45:V51" si="24">Q45-U45</f>
        <v>-1.4684398461061505</v>
      </c>
      <c r="W45">
        <f>thrust!O7</f>
        <v>4031.1499999999901</v>
      </c>
      <c r="X45" s="29">
        <f>T45*SQRT($O$6/AG45)</f>
        <v>80.096914450360671</v>
      </c>
      <c r="Y45" s="33">
        <f t="shared" ref="Y45:Y51" si="25">W45/(0.5*F45*T45^2*$O$7^2)</f>
        <v>2.6236380009416598</v>
      </c>
      <c r="Z45" s="33">
        <f t="shared" ref="Z45:Z51" si="26">W45/(0.5*F45*X45^2*$O$7^2)</f>
        <v>2.7264831536554515</v>
      </c>
      <c r="AA45" s="33">
        <f>RADIANS(J45)-$O$9/$O$8*(Z45-Y45)</f>
        <v>-5.6537448665887899E-4</v>
      </c>
      <c r="AB45" s="33">
        <f>L45*$O$6/AG45</f>
        <v>0</v>
      </c>
      <c r="AC45" s="33"/>
      <c r="AD45" s="33"/>
      <c r="AE45" s="42"/>
      <c r="AF45" s="20" t="s">
        <v>154</v>
      </c>
      <c r="AG45" s="21">
        <f t="shared" ref="AG45:AG51" si="27">$AG$16-O45</f>
        <v>6410.7174543699994</v>
      </c>
      <c r="AH45" s="21">
        <f t="shared" ref="AH45:AH51" si="28">AG45*9.80665</f>
        <v>62867.662323897552</v>
      </c>
      <c r="AI45" s="21"/>
      <c r="AJ45" s="34">
        <f t="shared" ref="AJ45:AJ51" si="29">2*AH45/(1.225*$T45^2*$O$2)</f>
        <v>0.51317972021993852</v>
      </c>
      <c r="AK45" s="34">
        <f t="shared" ref="AK45:AK51" si="30">2*W45/(1.225*$T45^2*$O$2)</f>
        <v>3.2905699889181891E-2</v>
      </c>
      <c r="AL45" s="35">
        <f>I45</f>
        <v>5.3</v>
      </c>
      <c r="AM45" s="43"/>
    </row>
    <row r="46" spans="1:70" x14ac:dyDescent="0.55000000000000004">
      <c r="A46">
        <v>2</v>
      </c>
      <c r="B46" s="38" t="s">
        <v>70</v>
      </c>
      <c r="C46" s="11">
        <f t="shared" ref="C46:C51" si="31">B46-$B$28</f>
        <v>0.8291666666666665</v>
      </c>
      <c r="D46" s="12">
        <v>1935.48</v>
      </c>
      <c r="E46" s="29">
        <f t="shared" ref="E46:E51" si="32">101325*(1+((-0.00649*D46)/288.15))^(-9.80665/(-0.00649*287))</f>
        <v>80131.294227173581</v>
      </c>
      <c r="F46" s="29">
        <f t="shared" si="18"/>
        <v>0.96877212364458565</v>
      </c>
      <c r="G46" s="12">
        <v>77.166600000000003</v>
      </c>
      <c r="H46" s="29">
        <f t="shared" ref="H46:H51" si="33">G46-2*0.514444</f>
        <v>76.137712000000008</v>
      </c>
      <c r="I46" s="39">
        <v>6.3</v>
      </c>
      <c r="J46" s="39">
        <v>-0.4</v>
      </c>
      <c r="K46" s="39">
        <v>2.8</v>
      </c>
      <c r="L46" s="12">
        <v>-23</v>
      </c>
      <c r="M46" s="12">
        <v>207.74530546</v>
      </c>
      <c r="N46" s="12">
        <v>218.63152234</v>
      </c>
      <c r="O46" s="12">
        <v>314.79310478000002</v>
      </c>
      <c r="P46" s="39">
        <v>277.64999999999998</v>
      </c>
      <c r="Q46" s="29">
        <f t="shared" si="19"/>
        <v>274.19000134283226</v>
      </c>
      <c r="R46" s="54">
        <f t="shared" si="20"/>
        <v>0.25118700080512407</v>
      </c>
      <c r="S46" s="29">
        <f t="shared" si="21"/>
        <v>83.373480809247312</v>
      </c>
      <c r="T46" s="29">
        <f t="shared" si="22"/>
        <v>76.014109571786733</v>
      </c>
      <c r="U46" s="29">
        <f t="shared" si="23"/>
        <v>275.5887348</v>
      </c>
      <c r="V46" s="33">
        <f t="shared" si="24"/>
        <v>-1.3987334571677366</v>
      </c>
      <c r="W46">
        <f>thrust!O8</f>
        <v>4125.3</v>
      </c>
      <c r="X46" s="29">
        <f t="shared" ref="X46:X51" si="34">T46*SQRT($O$6/AG46)</f>
        <v>74.645937892849673</v>
      </c>
      <c r="Y46" s="33">
        <f t="shared" si="25"/>
        <v>3.1320395855193568</v>
      </c>
      <c r="Z46" s="33">
        <f t="shared" si="26"/>
        <v>3.2479049361978372</v>
      </c>
      <c r="AA46" s="33">
        <f t="shared" ref="AA46:AA51" si="35">RADIANS(J46)-$O$9/$O$8*(Z46-Y46)</f>
        <v>-7.6182679136140427E-3</v>
      </c>
      <c r="AB46" s="33">
        <f t="shared" ref="AB46:AB51" si="36">L46*$O$6/AG46</f>
        <v>-22.17950090351945</v>
      </c>
      <c r="AC46" s="33"/>
      <c r="AD46" s="33"/>
      <c r="AE46" s="42"/>
      <c r="AF46" s="20" t="s">
        <v>154</v>
      </c>
      <c r="AG46" s="21">
        <f t="shared" si="27"/>
        <v>6397.1096832699996</v>
      </c>
      <c r="AH46" s="21">
        <f t="shared" si="28"/>
        <v>62734.215675439737</v>
      </c>
      <c r="AI46" s="21"/>
      <c r="AJ46" s="34">
        <f t="shared" si="29"/>
        <v>0.59086559125904159</v>
      </c>
      <c r="AK46" s="34">
        <f t="shared" si="30"/>
        <v>3.8854360373795152E-2</v>
      </c>
      <c r="AL46" s="35">
        <f t="shared" ref="AL46:AL51" si="37">I46</f>
        <v>6.3</v>
      </c>
      <c r="AM46" s="43"/>
    </row>
    <row r="47" spans="1:70" x14ac:dyDescent="0.55000000000000004">
      <c r="A47">
        <v>3</v>
      </c>
      <c r="B47" s="38" t="s">
        <v>73</v>
      </c>
      <c r="C47" s="11">
        <f t="shared" si="31"/>
        <v>0.92152777777777761</v>
      </c>
      <c r="D47" s="12">
        <v>1996.44</v>
      </c>
      <c r="E47" s="29">
        <f t="shared" si="32"/>
        <v>79527.491664598201</v>
      </c>
      <c r="F47" s="29">
        <f t="shared" si="18"/>
        <v>0.96147226537510777</v>
      </c>
      <c r="G47" s="12">
        <v>72.02216</v>
      </c>
      <c r="H47" s="29">
        <f t="shared" si="33"/>
        <v>70.993272000000005</v>
      </c>
      <c r="I47" s="39">
        <v>7.3</v>
      </c>
      <c r="J47" s="39">
        <v>-0.9</v>
      </c>
      <c r="K47" s="39">
        <v>2.8</v>
      </c>
      <c r="L47" s="12">
        <v>-29</v>
      </c>
      <c r="M47" s="12">
        <v>205.93093598000002</v>
      </c>
      <c r="N47" s="12">
        <v>216.36356049</v>
      </c>
      <c r="O47" s="12">
        <v>331.12243010000003</v>
      </c>
      <c r="P47" s="39">
        <v>276.64999999999998</v>
      </c>
      <c r="Q47" s="29">
        <f t="shared" si="19"/>
        <v>273.62423417925822</v>
      </c>
      <c r="R47" s="54">
        <f t="shared" si="20"/>
        <v>0.23513938555653388</v>
      </c>
      <c r="S47" s="29">
        <f t="shared" si="21"/>
        <v>77.96642568356026</v>
      </c>
      <c r="T47" s="29">
        <f t="shared" si="22"/>
        <v>70.88918688122591</v>
      </c>
      <c r="U47" s="29">
        <f t="shared" si="23"/>
        <v>275.19310439999998</v>
      </c>
      <c r="V47" s="33">
        <f t="shared" si="24"/>
        <v>-1.5688702207417577</v>
      </c>
      <c r="W47">
        <f>thrust!O9</f>
        <v>4196.1899999999996</v>
      </c>
      <c r="X47" s="29">
        <f t="shared" si="34"/>
        <v>69.702276465379043</v>
      </c>
      <c r="Y47" s="33">
        <f t="shared" si="25"/>
        <v>3.6909669618668399</v>
      </c>
      <c r="Z47" s="33">
        <f t="shared" si="26"/>
        <v>3.8177388986889587</v>
      </c>
      <c r="AA47" s="33">
        <f t="shared" si="35"/>
        <v>-1.6404871355615656E-2</v>
      </c>
      <c r="AB47" s="33">
        <f t="shared" si="36"/>
        <v>-28.037025248346879</v>
      </c>
      <c r="AC47" s="33"/>
      <c r="AD47" s="33"/>
      <c r="AE47" s="42"/>
      <c r="AF47" s="20" t="s">
        <v>154</v>
      </c>
      <c r="AG47" s="21">
        <f t="shared" si="27"/>
        <v>6380.7803579499996</v>
      </c>
      <c r="AH47" s="21">
        <f t="shared" si="28"/>
        <v>62574.079697290363</v>
      </c>
      <c r="AI47" s="21"/>
      <c r="AJ47" s="34">
        <f t="shared" si="29"/>
        <v>0.67765263817216348</v>
      </c>
      <c r="AK47" s="34">
        <f t="shared" si="30"/>
        <v>4.544308502063011E-2</v>
      </c>
      <c r="AL47" s="35">
        <f t="shared" si="37"/>
        <v>7.3</v>
      </c>
      <c r="AM47" s="43"/>
    </row>
    <row r="48" spans="1:70" x14ac:dyDescent="0.55000000000000004">
      <c r="A48">
        <v>4</v>
      </c>
      <c r="B48" s="38" t="s">
        <v>76</v>
      </c>
      <c r="C48" s="11">
        <f t="shared" si="31"/>
        <v>0.9854166666666665</v>
      </c>
      <c r="D48" s="12">
        <v>2097.0239999999999</v>
      </c>
      <c r="E48" s="29">
        <f t="shared" si="32"/>
        <v>78539.27842640446</v>
      </c>
      <c r="F48" s="29">
        <f t="shared" si="18"/>
        <v>0.9495249550687932</v>
      </c>
      <c r="G48" s="12">
        <v>66.877719999999997</v>
      </c>
      <c r="H48" s="29">
        <f t="shared" si="33"/>
        <v>65.848832000000002</v>
      </c>
      <c r="I48" s="39">
        <v>8.5</v>
      </c>
      <c r="J48" s="39">
        <v>-1.5</v>
      </c>
      <c r="K48" s="39">
        <v>2.8</v>
      </c>
      <c r="L48" s="12">
        <v>-46</v>
      </c>
      <c r="M48" s="12">
        <v>203.66297413000001</v>
      </c>
      <c r="N48" s="12">
        <v>214.54919101000002</v>
      </c>
      <c r="O48" s="12">
        <v>342.46223935</v>
      </c>
      <c r="P48" s="39">
        <v>275.64999999999998</v>
      </c>
      <c r="Q48" s="29">
        <f t="shared" si="19"/>
        <v>273.01926174182262</v>
      </c>
      <c r="R48" s="54">
        <f t="shared" si="20"/>
        <v>0.21949628720770484</v>
      </c>
      <c r="S48" s="29">
        <f t="shared" si="21"/>
        <v>72.699058870650433</v>
      </c>
      <c r="T48" s="29">
        <f t="shared" si="22"/>
        <v>65.760726951788428</v>
      </c>
      <c r="U48" s="29">
        <f t="shared" si="23"/>
        <v>274.54031423999999</v>
      </c>
      <c r="V48" s="33">
        <f t="shared" si="24"/>
        <v>-1.5210524981773688</v>
      </c>
      <c r="W48">
        <f>thrust!O10</f>
        <v>4279.87</v>
      </c>
      <c r="X48" s="29">
        <f t="shared" si="34"/>
        <v>64.71721597855985</v>
      </c>
      <c r="Y48" s="33">
        <f t="shared" si="25"/>
        <v>4.4296840168629386</v>
      </c>
      <c r="Z48" s="33">
        <f t="shared" si="26"/>
        <v>4.573685583318758</v>
      </c>
      <c r="AA48" s="33">
        <f t="shared" si="35"/>
        <v>-2.6971563951979232E-2</v>
      </c>
      <c r="AB48" s="33">
        <f t="shared" si="36"/>
        <v>-44.551699294519231</v>
      </c>
      <c r="AC48" s="33"/>
      <c r="AD48" s="33"/>
      <c r="AE48" s="42"/>
      <c r="AF48" s="20" t="s">
        <v>154</v>
      </c>
      <c r="AG48" s="21">
        <f t="shared" si="27"/>
        <v>6369.4405486999995</v>
      </c>
      <c r="AH48" s="21">
        <f t="shared" si="28"/>
        <v>62462.874156908845</v>
      </c>
      <c r="AI48" s="21"/>
      <c r="AJ48" s="34">
        <f t="shared" si="29"/>
        <v>0.78607033173851326</v>
      </c>
      <c r="AK48" s="34">
        <f t="shared" si="30"/>
        <v>5.3860455128057809E-2</v>
      </c>
      <c r="AL48" s="35">
        <f t="shared" si="37"/>
        <v>8.5</v>
      </c>
      <c r="AM48" s="43"/>
    </row>
    <row r="49" spans="1:41" x14ac:dyDescent="0.55000000000000004">
      <c r="A49">
        <v>5</v>
      </c>
      <c r="B49" s="38" t="s">
        <v>79</v>
      </c>
      <c r="C49" s="11">
        <f t="shared" si="31"/>
        <v>1.0999999999999996</v>
      </c>
      <c r="D49" s="12">
        <v>1877.568</v>
      </c>
      <c r="E49" s="29">
        <f t="shared" si="32"/>
        <v>80708.341143121463</v>
      </c>
      <c r="F49" s="29">
        <f t="shared" si="18"/>
        <v>0.97574851122944783</v>
      </c>
      <c r="G49" s="12">
        <v>88.998812000000001</v>
      </c>
      <c r="H49" s="29">
        <f t="shared" si="33"/>
        <v>87.969924000000006</v>
      </c>
      <c r="I49" s="39">
        <v>4.5</v>
      </c>
      <c r="J49" s="39">
        <v>0.4</v>
      </c>
      <c r="K49" s="39">
        <v>2.8</v>
      </c>
      <c r="L49" s="12">
        <v>26</v>
      </c>
      <c r="M49" s="12">
        <v>210.92045205000002</v>
      </c>
      <c r="N49" s="12">
        <v>221.80666893</v>
      </c>
      <c r="O49" s="12">
        <v>361.96671126000001</v>
      </c>
      <c r="P49" s="39">
        <v>278.14999999999998</v>
      </c>
      <c r="Q49" s="29">
        <f t="shared" si="19"/>
        <v>273.57847336776848</v>
      </c>
      <c r="R49" s="54">
        <f t="shared" si="20"/>
        <v>0.28905112790633636</v>
      </c>
      <c r="S49" s="29">
        <f t="shared" si="21"/>
        <v>95.834216249485223</v>
      </c>
      <c r="T49" s="29">
        <f t="shared" si="22"/>
        <v>87.786928143923532</v>
      </c>
      <c r="U49" s="29">
        <f t="shared" si="23"/>
        <v>275.96458367999998</v>
      </c>
      <c r="V49" s="33">
        <f t="shared" si="24"/>
        <v>-2.3861103122314944</v>
      </c>
      <c r="W49">
        <f>thrust!O11</f>
        <v>3963.7</v>
      </c>
      <c r="X49" s="29">
        <f t="shared" si="34"/>
        <v>86.526480866531131</v>
      </c>
      <c r="Y49" s="33">
        <f t="shared" si="25"/>
        <v>2.240190436353557</v>
      </c>
      <c r="Z49" s="33">
        <f t="shared" si="26"/>
        <v>2.3059323494758193</v>
      </c>
      <c r="AA49" s="33">
        <f t="shared" si="35"/>
        <v>6.6199115415776629E-3</v>
      </c>
      <c r="AB49" s="33">
        <f t="shared" si="36"/>
        <v>25.25874245982655</v>
      </c>
      <c r="AC49" s="33"/>
      <c r="AD49" s="33"/>
      <c r="AE49" s="42"/>
      <c r="AF49" s="20" t="s">
        <v>154</v>
      </c>
      <c r="AG49" s="21">
        <f t="shared" si="27"/>
        <v>6349.9360767899998</v>
      </c>
      <c r="AH49" s="21">
        <f t="shared" si="28"/>
        <v>62271.600627452644</v>
      </c>
      <c r="AI49" s="21"/>
      <c r="AJ49" s="34">
        <f t="shared" si="29"/>
        <v>0.43974709224861286</v>
      </c>
      <c r="AK49" s="34">
        <f t="shared" si="30"/>
        <v>2.7990697717466539E-2</v>
      </c>
      <c r="AL49" s="35">
        <f t="shared" si="37"/>
        <v>4.5</v>
      </c>
      <c r="AM49" s="43"/>
    </row>
    <row r="50" spans="1:41" x14ac:dyDescent="0.55000000000000004">
      <c r="A50">
        <v>6</v>
      </c>
      <c r="B50" s="38" t="s">
        <v>81</v>
      </c>
      <c r="C50" s="11">
        <f t="shared" si="31"/>
        <v>1.1687500000000002</v>
      </c>
      <c r="D50" s="12">
        <v>1770.8880000000001</v>
      </c>
      <c r="E50" s="29">
        <f t="shared" si="32"/>
        <v>81780.13307026698</v>
      </c>
      <c r="F50" s="29">
        <f t="shared" si="18"/>
        <v>0.98870627200668193</v>
      </c>
      <c r="G50" s="12">
        <v>92.085476</v>
      </c>
      <c r="H50" s="29">
        <f t="shared" si="33"/>
        <v>91.056588000000005</v>
      </c>
      <c r="I50" s="39">
        <v>4.0999999999999996</v>
      </c>
      <c r="J50" s="39">
        <v>0.6</v>
      </c>
      <c r="K50" s="39">
        <v>2.8</v>
      </c>
      <c r="L50" s="12">
        <v>40</v>
      </c>
      <c r="M50" s="12">
        <v>214.09559864000002</v>
      </c>
      <c r="N50" s="12">
        <v>224.98181552</v>
      </c>
      <c r="O50" s="12">
        <v>374.21370525000003</v>
      </c>
      <c r="P50" s="39">
        <v>279.34999999999997</v>
      </c>
      <c r="Q50" s="29">
        <f t="shared" si="19"/>
        <v>274.49996617528274</v>
      </c>
      <c r="R50" s="54">
        <f t="shared" si="20"/>
        <v>0.29722561767523403</v>
      </c>
      <c r="S50" s="29">
        <f t="shared" si="21"/>
        <v>98.710272787876221</v>
      </c>
      <c r="T50" s="29">
        <f t="shared" si="22"/>
        <v>90.866984988060651</v>
      </c>
      <c r="U50" s="29">
        <f t="shared" si="23"/>
        <v>276.65693687999999</v>
      </c>
      <c r="V50" s="33">
        <f t="shared" si="24"/>
        <v>-2.1569707047172528</v>
      </c>
      <c r="W50">
        <f>thrust!O12</f>
        <v>3961.72999999999</v>
      </c>
      <c r="X50" s="29">
        <f t="shared" si="34"/>
        <v>89.648807815569668</v>
      </c>
      <c r="Y50" s="33">
        <f t="shared" si="25"/>
        <v>2.0624674958210947</v>
      </c>
      <c r="Z50" s="33">
        <f t="shared" si="26"/>
        <v>2.1188992740837436</v>
      </c>
      <c r="AA50" s="33">
        <f t="shared" si="35"/>
        <v>1.0161750996521076E-2</v>
      </c>
      <c r="AB50" s="33">
        <f t="shared" si="36"/>
        <v>38.934696350074475</v>
      </c>
      <c r="AC50" s="33"/>
      <c r="AD50" s="33"/>
      <c r="AE50" s="42"/>
      <c r="AF50" s="20" t="s">
        <v>154</v>
      </c>
      <c r="AG50" s="21">
        <f t="shared" si="27"/>
        <v>6337.6890827999996</v>
      </c>
      <c r="AH50" s="21">
        <f t="shared" si="28"/>
        <v>62151.498643840612</v>
      </c>
      <c r="AI50" s="21"/>
      <c r="AJ50" s="34">
        <f t="shared" si="29"/>
        <v>0.40964911505987472</v>
      </c>
      <c r="AK50" s="34">
        <f t="shared" si="30"/>
        <v>2.6112309823875652E-2</v>
      </c>
      <c r="AL50" s="35">
        <f t="shared" si="37"/>
        <v>4.0999999999999996</v>
      </c>
      <c r="AM50" s="43"/>
    </row>
    <row r="51" spans="1:41" x14ac:dyDescent="0.55000000000000004">
      <c r="A51">
        <v>7</v>
      </c>
      <c r="B51" s="38" t="s">
        <v>84</v>
      </c>
      <c r="C51" s="11">
        <f t="shared" si="31"/>
        <v>1.2243055555555555</v>
      </c>
      <c r="D51" s="12">
        <v>1618.4880000000001</v>
      </c>
      <c r="E51" s="29">
        <f t="shared" si="32"/>
        <v>83331.238166893847</v>
      </c>
      <c r="F51" s="29">
        <f t="shared" si="18"/>
        <v>1.007458837941722</v>
      </c>
      <c r="G51" s="12">
        <v>98.773247999999995</v>
      </c>
      <c r="H51" s="29">
        <f t="shared" si="33"/>
        <v>97.74436</v>
      </c>
      <c r="I51" s="39">
        <v>3.4</v>
      </c>
      <c r="J51" s="39">
        <v>1</v>
      </c>
      <c r="K51" s="39">
        <v>2.8</v>
      </c>
      <c r="L51" s="12">
        <v>83</v>
      </c>
      <c r="M51" s="12">
        <v>218.63152234</v>
      </c>
      <c r="N51" s="12">
        <v>229.06414685000001</v>
      </c>
      <c r="O51" s="12">
        <v>383.73914502000002</v>
      </c>
      <c r="P51" s="39">
        <v>281.34999999999997</v>
      </c>
      <c r="Q51" s="29">
        <f t="shared" si="19"/>
        <v>275.83949353867945</v>
      </c>
      <c r="R51" s="54">
        <f t="shared" si="20"/>
        <v>0.31604762913660517</v>
      </c>
      <c r="S51" s="29">
        <f t="shared" si="21"/>
        <v>105.21695434098488</v>
      </c>
      <c r="T51" s="29">
        <f t="shared" si="22"/>
        <v>97.533189733994604</v>
      </c>
      <c r="U51" s="29">
        <f t="shared" si="23"/>
        <v>277.64601288</v>
      </c>
      <c r="V51" s="33">
        <f t="shared" si="24"/>
        <v>-1.806519341320552</v>
      </c>
      <c r="W51">
        <f>thrust!O13</f>
        <v>3902.97999999999</v>
      </c>
      <c r="X51" s="29">
        <f t="shared" si="34"/>
        <v>96.298038742252388</v>
      </c>
      <c r="Y51" s="33">
        <f t="shared" si="25"/>
        <v>1.7307961628759161</v>
      </c>
      <c r="Z51" s="33">
        <f t="shared" si="26"/>
        <v>1.775480450551508</v>
      </c>
      <c r="AA51" s="33">
        <f t="shared" si="35"/>
        <v>1.7207647921829751E-2</v>
      </c>
      <c r="AB51" s="33">
        <f t="shared" si="36"/>
        <v>80.911102949107573</v>
      </c>
      <c r="AC51" s="33"/>
      <c r="AD51" s="33"/>
      <c r="AE51" s="42"/>
      <c r="AF51" s="20" t="s">
        <v>154</v>
      </c>
      <c r="AG51" s="21">
        <f t="shared" si="27"/>
        <v>6328.1636430299995</v>
      </c>
      <c r="AH51" s="21">
        <f t="shared" si="28"/>
        <v>62058.085989920139</v>
      </c>
      <c r="AI51" s="21"/>
      <c r="AJ51" s="34">
        <f t="shared" si="29"/>
        <v>0.35503091667658349</v>
      </c>
      <c r="AK51" s="34">
        <f t="shared" si="30"/>
        <v>2.2328735169103324E-2</v>
      </c>
      <c r="AL51" s="35">
        <f t="shared" si="37"/>
        <v>3.4</v>
      </c>
      <c r="AM51" s="43"/>
    </row>
    <row r="52" spans="1:41" x14ac:dyDescent="0.55000000000000004">
      <c r="B52" s="38"/>
      <c r="C52" s="12"/>
      <c r="D52" s="12"/>
      <c r="E52" s="29"/>
      <c r="F52" s="29"/>
      <c r="G52" s="12"/>
      <c r="H52" s="29"/>
      <c r="I52" s="39"/>
      <c r="J52" s="39"/>
      <c r="K52" s="39"/>
      <c r="L52" s="12"/>
      <c r="M52" s="12"/>
      <c r="N52" s="12"/>
      <c r="O52" s="12"/>
      <c r="P52" s="39"/>
      <c r="Q52" s="29"/>
      <c r="R52" s="32"/>
      <c r="S52" s="29"/>
      <c r="T52" s="29"/>
      <c r="U52" s="29"/>
      <c r="V52" s="33"/>
      <c r="X52" s="29"/>
      <c r="Y52" s="33"/>
      <c r="Z52" s="33"/>
      <c r="AA52" s="33"/>
      <c r="AB52" s="33"/>
      <c r="AC52" s="29"/>
      <c r="AD52" s="29"/>
      <c r="AE52" s="42"/>
      <c r="AF52" s="20"/>
      <c r="AG52" s="19"/>
      <c r="AH52" s="19"/>
      <c r="AI52" s="19"/>
      <c r="AL52" s="39"/>
      <c r="AM52" s="29"/>
    </row>
    <row r="53" spans="1:41" x14ac:dyDescent="0.55000000000000004">
      <c r="B53" s="38"/>
      <c r="C53" s="12"/>
      <c r="D53" s="12"/>
      <c r="E53" s="29"/>
      <c r="F53" s="29"/>
      <c r="G53" s="12"/>
      <c r="H53" s="29"/>
      <c r="I53" s="39"/>
      <c r="J53" s="39"/>
      <c r="K53" s="39"/>
      <c r="L53" s="12"/>
      <c r="M53" s="12"/>
      <c r="N53" s="12"/>
      <c r="O53" s="12"/>
      <c r="P53" s="39"/>
      <c r="Q53" s="29"/>
      <c r="R53" s="32"/>
      <c r="S53" s="29"/>
      <c r="T53" s="29"/>
      <c r="U53" s="29"/>
      <c r="V53" s="33"/>
      <c r="X53" s="29"/>
      <c r="Y53" s="33"/>
      <c r="Z53" s="33"/>
      <c r="AA53" s="33"/>
      <c r="AB53" s="33"/>
      <c r="AC53" s="29"/>
      <c r="AD53" s="29"/>
      <c r="AE53" s="42"/>
      <c r="AF53" s="20"/>
      <c r="AG53" s="19"/>
      <c r="AH53" s="19"/>
      <c r="AI53" s="19"/>
      <c r="AJ53" s="29"/>
      <c r="AK53" s="29"/>
      <c r="AL53" s="39"/>
      <c r="AM53" s="29"/>
    </row>
    <row r="54" spans="1:41" ht="17.7" x14ac:dyDescent="0.75">
      <c r="B54" s="38"/>
      <c r="C54" s="12"/>
      <c r="D54" s="44" t="s">
        <v>165</v>
      </c>
      <c r="E54" s="44" t="s">
        <v>166</v>
      </c>
      <c r="F54" s="44" t="s">
        <v>167</v>
      </c>
      <c r="G54" s="44" t="s">
        <v>152</v>
      </c>
      <c r="H54" s="44" t="s">
        <v>153</v>
      </c>
      <c r="I54" s="45" t="s">
        <v>162</v>
      </c>
      <c r="J54" s="44"/>
      <c r="K54" s="45" t="s">
        <v>159</v>
      </c>
      <c r="L54" s="44"/>
      <c r="M54" s="45" t="s">
        <v>163</v>
      </c>
      <c r="N54" s="44"/>
      <c r="P54" s="45" t="s">
        <v>181</v>
      </c>
      <c r="R54" s="44" t="s">
        <v>162</v>
      </c>
      <c r="S54" s="44"/>
      <c r="T54" s="44"/>
      <c r="U54" s="44"/>
      <c r="V54" s="44"/>
      <c r="X54" s="29"/>
      <c r="Y54" s="33"/>
      <c r="Z54" s="33"/>
      <c r="AA54" s="33"/>
      <c r="AB54" s="33"/>
      <c r="AC54" s="29"/>
      <c r="AD54" s="29"/>
      <c r="AE54" s="42"/>
      <c r="AF54" s="20"/>
      <c r="AG54" s="19"/>
      <c r="AH54" s="19"/>
      <c r="AI54" s="19"/>
      <c r="AN54" s="29"/>
    </row>
    <row r="55" spans="1:41" x14ac:dyDescent="0.55000000000000004">
      <c r="B55" s="38"/>
      <c r="C55" s="12"/>
      <c r="D55" s="46">
        <f>AJ51</f>
        <v>0.35503091667658349</v>
      </c>
      <c r="E55" s="46">
        <f>AK51</f>
        <v>2.2328735169103324E-2</v>
      </c>
      <c r="F55" s="46">
        <f>AL51</f>
        <v>3.4</v>
      </c>
      <c r="G55" s="46">
        <f>D55^2</f>
        <v>0.12604695179621517</v>
      </c>
      <c r="H55" s="46">
        <f t="shared" ref="H55:H61" si="38">1/((E55-$AK$52)/G55)/($O$5*PI())</f>
        <v>0.21293382489912596</v>
      </c>
      <c r="I55" s="47">
        <f>AA45</f>
        <v>-5.6537448665887899E-4</v>
      </c>
      <c r="J55" s="46">
        <f>I58</f>
        <v>-2.6971563951979232E-2</v>
      </c>
      <c r="K55" s="47">
        <f>X45</f>
        <v>80.096914450360671</v>
      </c>
      <c r="L55" s="46">
        <f>K58</f>
        <v>64.71721597855985</v>
      </c>
      <c r="M55" s="47">
        <f>AB45</f>
        <v>0</v>
      </c>
      <c r="N55" s="46">
        <f>M58</f>
        <v>-44.551699294519231</v>
      </c>
      <c r="P55" s="47">
        <f t="shared" ref="P55:P61" si="39">I45</f>
        <v>5.3</v>
      </c>
      <c r="Q55" s="46">
        <f>P58</f>
        <v>8.5</v>
      </c>
      <c r="R55" s="46">
        <f t="shared" ref="R55:R61" si="40">J55*180/PI()</f>
        <v>-1.5453567813156015</v>
      </c>
      <c r="S55" s="46"/>
      <c r="T55" s="46"/>
      <c r="U55" s="46"/>
      <c r="V55" s="46"/>
      <c r="X55" s="29"/>
      <c r="Y55" s="33"/>
      <c r="Z55" s="33"/>
      <c r="AA55" s="33"/>
      <c r="AB55" s="33"/>
      <c r="AC55" s="29"/>
      <c r="AD55" s="29"/>
      <c r="AE55" s="42"/>
      <c r="AF55" s="20"/>
      <c r="AG55" s="19"/>
      <c r="AH55" s="19"/>
      <c r="AI55" s="19"/>
      <c r="AM55" s="29"/>
      <c r="AN55" s="29"/>
    </row>
    <row r="56" spans="1:41" x14ac:dyDescent="0.55000000000000004">
      <c r="B56" s="38"/>
      <c r="C56" s="12"/>
      <c r="D56" s="46">
        <f>AJ50</f>
        <v>0.40964911505987472</v>
      </c>
      <c r="E56" s="46">
        <f>AK50</f>
        <v>2.6112309823875652E-2</v>
      </c>
      <c r="F56" s="46">
        <f>AL50</f>
        <v>4.0999999999999996</v>
      </c>
      <c r="G56" s="46">
        <f t="shared" ref="G56:G61" si="41">D56^2</f>
        <v>0.16781239746933849</v>
      </c>
      <c r="H56" s="46">
        <f t="shared" si="38"/>
        <v>0.24241259605306606</v>
      </c>
      <c r="I56" s="47">
        <f t="shared" ref="I56:I61" si="42">AA46</f>
        <v>-7.6182679136140427E-3</v>
      </c>
      <c r="J56" s="46">
        <f>I57</f>
        <v>-1.6404871355615656E-2</v>
      </c>
      <c r="K56" s="47">
        <f t="shared" ref="K56:K61" si="43">X46</f>
        <v>74.645937892849673</v>
      </c>
      <c r="L56" s="46">
        <f>K57</f>
        <v>69.702276465379043</v>
      </c>
      <c r="M56" s="47">
        <f t="shared" ref="M56:M61" si="44">AB46</f>
        <v>-22.17950090351945</v>
      </c>
      <c r="N56" s="46">
        <f>M57</f>
        <v>-28.037025248346879</v>
      </c>
      <c r="P56" s="47">
        <f t="shared" si="39"/>
        <v>6.3</v>
      </c>
      <c r="Q56" s="46">
        <f>P57</f>
        <v>7.3</v>
      </c>
      <c r="R56" s="46">
        <f t="shared" si="40"/>
        <v>-0.93992989213183453</v>
      </c>
      <c r="S56" s="46"/>
      <c r="T56" s="46"/>
      <c r="U56" s="46"/>
      <c r="V56" s="46"/>
      <c r="X56" s="29"/>
      <c r="Y56" s="33"/>
      <c r="Z56" s="33"/>
      <c r="AA56" s="33"/>
      <c r="AB56" s="33"/>
      <c r="AC56" s="29"/>
      <c r="AD56" s="29"/>
      <c r="AE56" s="42"/>
      <c r="AF56" s="20"/>
      <c r="AG56" s="19"/>
      <c r="AH56" s="19"/>
      <c r="AI56" s="19"/>
      <c r="AJ56" s="29"/>
      <c r="AK56" s="29"/>
      <c r="AL56" s="39"/>
      <c r="AM56" s="29"/>
      <c r="AN56" s="29"/>
    </row>
    <row r="57" spans="1:41" x14ac:dyDescent="0.55000000000000004">
      <c r="B57" s="38"/>
      <c r="C57" s="12"/>
      <c r="D57" s="46">
        <f>AJ49</f>
        <v>0.43974709224861286</v>
      </c>
      <c r="E57" s="46">
        <f>AK49</f>
        <v>2.7990697717466539E-2</v>
      </c>
      <c r="F57" s="46">
        <f>AL49</f>
        <v>4.5</v>
      </c>
      <c r="G57" s="46">
        <f t="shared" si="41"/>
        <v>0.19337750514111002</v>
      </c>
      <c r="H57" s="46">
        <f t="shared" si="38"/>
        <v>0.26059654845304758</v>
      </c>
      <c r="I57" s="47">
        <f t="shared" si="42"/>
        <v>-1.6404871355615656E-2</v>
      </c>
      <c r="J57" s="46">
        <f>I56</f>
        <v>-7.6182679136140427E-3</v>
      </c>
      <c r="K57" s="47">
        <f t="shared" si="43"/>
        <v>69.702276465379043</v>
      </c>
      <c r="L57" s="46">
        <f>K56</f>
        <v>74.645937892849673</v>
      </c>
      <c r="M57" s="47">
        <f t="shared" si="44"/>
        <v>-28.037025248346879</v>
      </c>
      <c r="N57" s="46">
        <f>M56</f>
        <v>-22.17950090351945</v>
      </c>
      <c r="P57" s="47">
        <f t="shared" si="39"/>
        <v>7.3</v>
      </c>
      <c r="Q57" s="46">
        <f>P56</f>
        <v>6.3</v>
      </c>
      <c r="R57" s="46">
        <f t="shared" si="40"/>
        <v>-0.43649459865001994</v>
      </c>
      <c r="S57" s="46"/>
      <c r="T57" s="46"/>
      <c r="U57" s="46"/>
      <c r="V57" s="46"/>
      <c r="X57" s="29"/>
      <c r="Y57" s="33"/>
      <c r="Z57" s="33"/>
      <c r="AA57" s="33"/>
      <c r="AB57" s="33"/>
      <c r="AC57" s="29"/>
      <c r="AD57" s="29"/>
      <c r="AE57" s="42"/>
      <c r="AF57" s="20"/>
      <c r="AG57" s="19"/>
      <c r="AH57" s="19"/>
      <c r="AI57" s="19"/>
      <c r="AJ57" s="29"/>
      <c r="AK57" s="29"/>
      <c r="AL57" s="39"/>
      <c r="AM57" s="29"/>
      <c r="AN57" s="29"/>
      <c r="AO57" s="29"/>
    </row>
    <row r="58" spans="1:41" x14ac:dyDescent="0.55000000000000004">
      <c r="B58" s="38"/>
      <c r="C58" s="12"/>
      <c r="D58" s="46">
        <f t="shared" ref="D58:F61" si="45">AJ45</f>
        <v>0.51317972021993852</v>
      </c>
      <c r="E58" s="46">
        <f t="shared" si="45"/>
        <v>3.2905699889181891E-2</v>
      </c>
      <c r="F58" s="46">
        <f t="shared" si="45"/>
        <v>5.3</v>
      </c>
      <c r="G58" s="46">
        <f t="shared" si="41"/>
        <v>0.26335342524501437</v>
      </c>
      <c r="H58" s="46">
        <f t="shared" si="38"/>
        <v>0.30188690109528232</v>
      </c>
      <c r="I58" s="47">
        <f t="shared" si="42"/>
        <v>-2.6971563951979232E-2</v>
      </c>
      <c r="J58" s="46">
        <f>I55</f>
        <v>-5.6537448665887899E-4</v>
      </c>
      <c r="K58" s="47">
        <f t="shared" si="43"/>
        <v>64.71721597855985</v>
      </c>
      <c r="L58" s="46">
        <f>K55</f>
        <v>80.096914450360671</v>
      </c>
      <c r="M58" s="47">
        <f t="shared" si="44"/>
        <v>-44.551699294519231</v>
      </c>
      <c r="N58" s="46">
        <f>M55</f>
        <v>0</v>
      </c>
      <c r="P58" s="47">
        <f t="shared" si="39"/>
        <v>8.5</v>
      </c>
      <c r="Q58" s="46">
        <f>P55</f>
        <v>5.3</v>
      </c>
      <c r="R58" s="46">
        <f t="shared" si="40"/>
        <v>-3.2393571929929234E-2</v>
      </c>
      <c r="S58" s="46"/>
      <c r="T58" s="46"/>
      <c r="U58" s="46"/>
      <c r="V58" s="46"/>
      <c r="X58" s="29"/>
      <c r="Y58" s="33"/>
      <c r="Z58" s="33"/>
      <c r="AA58" s="33"/>
      <c r="AB58" s="33"/>
      <c r="AC58" s="29"/>
      <c r="AD58" s="29"/>
      <c r="AE58" s="42"/>
      <c r="AF58" s="20"/>
      <c r="AG58" s="19"/>
      <c r="AH58" s="19"/>
      <c r="AI58" s="19"/>
      <c r="AJ58" s="29"/>
      <c r="AK58" s="29"/>
      <c r="AL58" s="39"/>
      <c r="AM58" s="29"/>
      <c r="AN58" s="29"/>
      <c r="AO58" s="29"/>
    </row>
    <row r="59" spans="1:41" x14ac:dyDescent="0.55000000000000004">
      <c r="B59" s="38"/>
      <c r="C59" s="12"/>
      <c r="D59" s="46">
        <f t="shared" si="45"/>
        <v>0.59086559125904159</v>
      </c>
      <c r="E59" s="46">
        <f t="shared" si="45"/>
        <v>3.8854360373795152E-2</v>
      </c>
      <c r="F59" s="46">
        <f t="shared" si="45"/>
        <v>6.3</v>
      </c>
      <c r="G59" s="46">
        <f t="shared" si="41"/>
        <v>0.34912214693389682</v>
      </c>
      <c r="H59" s="46">
        <f t="shared" si="38"/>
        <v>0.33893316429760684</v>
      </c>
      <c r="I59" s="47">
        <f t="shared" si="42"/>
        <v>6.6199115415776629E-3</v>
      </c>
      <c r="J59" s="46">
        <f>I59</f>
        <v>6.6199115415776629E-3</v>
      </c>
      <c r="K59" s="47">
        <f t="shared" si="43"/>
        <v>86.526480866531131</v>
      </c>
      <c r="L59" s="46">
        <f>K59</f>
        <v>86.526480866531131</v>
      </c>
      <c r="M59" s="47">
        <f t="shared" si="44"/>
        <v>25.25874245982655</v>
      </c>
      <c r="N59" s="46">
        <f>M59</f>
        <v>25.25874245982655</v>
      </c>
      <c r="P59" s="47">
        <f t="shared" si="39"/>
        <v>4.5</v>
      </c>
      <c r="Q59" s="46">
        <f>P59</f>
        <v>4.5</v>
      </c>
      <c r="R59" s="46">
        <f t="shared" si="40"/>
        <v>0.37929299208234274</v>
      </c>
      <c r="S59" s="46"/>
      <c r="T59" s="46"/>
      <c r="U59" s="46"/>
      <c r="V59" s="46"/>
      <c r="X59" s="29"/>
      <c r="Y59" s="33"/>
      <c r="Z59" s="33"/>
      <c r="AA59" s="33"/>
      <c r="AB59" s="33"/>
      <c r="AC59" s="29"/>
      <c r="AD59" s="29"/>
      <c r="AE59" s="42"/>
      <c r="AF59" s="20"/>
      <c r="AG59" s="19"/>
      <c r="AH59" s="19"/>
      <c r="AI59" s="19"/>
      <c r="AJ59" s="29"/>
      <c r="AK59" s="29"/>
      <c r="AL59" s="39"/>
      <c r="AM59" s="29"/>
      <c r="AN59" s="29"/>
      <c r="AO59" s="29"/>
    </row>
    <row r="60" spans="1:41" x14ac:dyDescent="0.55000000000000004">
      <c r="B60" s="38"/>
      <c r="C60" s="12"/>
      <c r="D60" s="46">
        <f t="shared" si="45"/>
        <v>0.67765263817216348</v>
      </c>
      <c r="E60" s="46">
        <f t="shared" si="45"/>
        <v>4.544308502063011E-2</v>
      </c>
      <c r="F60" s="46">
        <f t="shared" si="45"/>
        <v>7.3</v>
      </c>
      <c r="G60" s="46">
        <f t="shared" si="41"/>
        <v>0.45921309802169313</v>
      </c>
      <c r="H60" s="46">
        <f t="shared" si="38"/>
        <v>0.38117366724786839</v>
      </c>
      <c r="I60" s="47">
        <f t="shared" si="42"/>
        <v>1.0161750996521076E-2</v>
      </c>
      <c r="J60" s="46">
        <f t="shared" ref="J60:L61" si="46">I60</f>
        <v>1.0161750996521076E-2</v>
      </c>
      <c r="K60" s="47">
        <f t="shared" si="43"/>
        <v>89.648807815569668</v>
      </c>
      <c r="L60" s="46">
        <f t="shared" si="46"/>
        <v>89.648807815569668</v>
      </c>
      <c r="M60" s="47">
        <f t="shared" si="44"/>
        <v>38.934696350074475</v>
      </c>
      <c r="N60" s="46">
        <f t="shared" ref="N60:N61" si="47">M60</f>
        <v>38.934696350074475</v>
      </c>
      <c r="P60" s="47">
        <f t="shared" si="39"/>
        <v>4.0999999999999996</v>
      </c>
      <c r="Q60" s="46">
        <f>P60</f>
        <v>4.0999999999999996</v>
      </c>
      <c r="R60" s="46">
        <f t="shared" si="40"/>
        <v>0.5822254445635161</v>
      </c>
      <c r="S60" s="46"/>
      <c r="T60" s="46"/>
      <c r="U60" s="46"/>
      <c r="V60" s="46"/>
      <c r="X60" s="29"/>
      <c r="Y60" s="33"/>
      <c r="Z60" s="33"/>
      <c r="AA60" s="33"/>
      <c r="AB60" s="33"/>
      <c r="AC60" s="29"/>
      <c r="AD60" s="29"/>
      <c r="AE60" s="42"/>
      <c r="AF60" s="20"/>
      <c r="AG60" s="19"/>
      <c r="AH60" s="19"/>
      <c r="AI60" s="19"/>
      <c r="AJ60" s="29"/>
      <c r="AK60" s="29"/>
      <c r="AL60" s="39"/>
      <c r="AM60" s="29"/>
      <c r="AN60" s="29"/>
      <c r="AO60" s="29"/>
    </row>
    <row r="61" spans="1:41" x14ac:dyDescent="0.55000000000000004">
      <c r="D61" s="46">
        <f t="shared" si="45"/>
        <v>0.78607033173851326</v>
      </c>
      <c r="E61" s="46">
        <f t="shared" si="45"/>
        <v>5.3860455128057809E-2</v>
      </c>
      <c r="F61" s="46">
        <f t="shared" si="45"/>
        <v>8.5</v>
      </c>
      <c r="G61" s="46">
        <f t="shared" si="41"/>
        <v>0.61790656643949626</v>
      </c>
      <c r="H61" s="46">
        <f t="shared" si="38"/>
        <v>0.43274217351471889</v>
      </c>
      <c r="I61" s="47">
        <f t="shared" si="42"/>
        <v>1.7207647921829751E-2</v>
      </c>
      <c r="J61" s="46">
        <f t="shared" si="46"/>
        <v>1.7207647921829751E-2</v>
      </c>
      <c r="K61" s="47">
        <f t="shared" si="43"/>
        <v>96.298038742252388</v>
      </c>
      <c r="L61" s="46">
        <f t="shared" si="46"/>
        <v>96.298038742252388</v>
      </c>
      <c r="M61" s="47">
        <f t="shared" si="44"/>
        <v>80.911102949107573</v>
      </c>
      <c r="N61" s="46">
        <f t="shared" si="47"/>
        <v>80.911102949107573</v>
      </c>
      <c r="P61" s="47">
        <f t="shared" si="39"/>
        <v>3.4</v>
      </c>
      <c r="Q61" s="46">
        <f t="shared" ref="Q61" si="48">P61</f>
        <v>3.4</v>
      </c>
      <c r="R61" s="46">
        <f t="shared" si="40"/>
        <v>0.98592560126790663</v>
      </c>
      <c r="S61" s="46"/>
      <c r="T61" s="46"/>
      <c r="U61" s="46"/>
      <c r="V61" s="46"/>
      <c r="Z61" s="29"/>
      <c r="AA61" s="29"/>
      <c r="AB61" s="29"/>
      <c r="AC61" s="29"/>
      <c r="AD61" s="29"/>
      <c r="AE61" s="42"/>
      <c r="AF61" s="20"/>
      <c r="AG61" s="19"/>
      <c r="AH61" s="19"/>
      <c r="AI61" s="19"/>
      <c r="AJ61" s="29"/>
      <c r="AK61" s="29"/>
      <c r="AL61" s="39"/>
      <c r="AM61" s="29"/>
      <c r="AN61" s="29"/>
      <c r="AO61" s="29"/>
    </row>
    <row r="62" spans="1:41" x14ac:dyDescent="0.55000000000000004">
      <c r="T62" s="29"/>
      <c r="U62" s="29"/>
      <c r="V62" s="29"/>
      <c r="Z62" s="29"/>
      <c r="AA62" s="29"/>
      <c r="AB62" s="29"/>
      <c r="AC62" s="29"/>
      <c r="AD62" s="29"/>
      <c r="AE62" s="42"/>
      <c r="AF62" s="20"/>
      <c r="AG62" s="19"/>
      <c r="AH62" s="19"/>
      <c r="AI62" s="19"/>
    </row>
    <row r="63" spans="1:41" x14ac:dyDescent="0.55000000000000004">
      <c r="T63" s="29"/>
      <c r="U63" s="29"/>
      <c r="V63" s="29"/>
      <c r="Z63" s="29"/>
      <c r="AA63" s="29"/>
      <c r="AB63" s="29"/>
      <c r="AE63" s="42"/>
      <c r="AF63" s="20"/>
      <c r="AG63" s="19"/>
      <c r="AH63" s="19"/>
      <c r="AI63" s="19"/>
      <c r="AN63" s="37"/>
      <c r="AO63" s="37"/>
    </row>
    <row r="64" spans="1:41" x14ac:dyDescent="0.55000000000000004">
      <c r="A64" s="13" t="s">
        <v>48</v>
      </c>
      <c r="T64" s="29"/>
      <c r="U64" s="29"/>
      <c r="V64" s="29"/>
      <c r="W64" s="29"/>
      <c r="X64" s="29"/>
      <c r="Y64" s="29"/>
      <c r="Z64" s="29"/>
      <c r="AA64" s="29"/>
      <c r="AB64" s="29"/>
      <c r="AE64" s="42"/>
      <c r="AF64" s="20"/>
      <c r="AG64" s="19"/>
      <c r="AH64" s="19"/>
      <c r="AI64" s="19"/>
      <c r="AN64" s="37"/>
      <c r="AO64" s="37"/>
    </row>
    <row r="65" spans="1:39" x14ac:dyDescent="0.55000000000000004">
      <c r="T65" s="29"/>
      <c r="U65" s="29"/>
      <c r="V65" s="29"/>
      <c r="W65" s="29"/>
      <c r="X65" s="29"/>
      <c r="Y65" s="29"/>
      <c r="Z65" s="29"/>
      <c r="AA65" s="29"/>
      <c r="AB65" s="29"/>
      <c r="AE65" s="42"/>
      <c r="AF65" s="20"/>
      <c r="AG65" s="19"/>
      <c r="AH65" s="19"/>
      <c r="AI65" s="19"/>
    </row>
    <row r="66" spans="1:39" x14ac:dyDescent="0.55000000000000004">
      <c r="A66" t="s">
        <v>49</v>
      </c>
      <c r="C66" t="s">
        <v>168</v>
      </c>
      <c r="T66" s="29"/>
      <c r="U66" s="29"/>
      <c r="V66" s="29"/>
      <c r="W66" s="29"/>
      <c r="X66" s="29"/>
      <c r="Y66" s="29"/>
      <c r="Z66" s="29"/>
      <c r="AA66" s="29"/>
      <c r="AB66" s="29"/>
      <c r="AE66" s="42"/>
      <c r="AF66" s="20"/>
      <c r="AG66" s="19"/>
      <c r="AH66" s="19"/>
      <c r="AI66" s="19"/>
    </row>
    <row r="67" spans="1:39" x14ac:dyDescent="0.55000000000000004">
      <c r="A67" t="s">
        <v>169</v>
      </c>
      <c r="C67" t="s">
        <v>170</v>
      </c>
      <c r="G67" t="s">
        <v>51</v>
      </c>
      <c r="J67" t="s">
        <v>171</v>
      </c>
      <c r="T67" s="29"/>
      <c r="U67" s="29"/>
      <c r="V67" s="29"/>
      <c r="W67" s="29"/>
      <c r="X67" s="29"/>
      <c r="Y67" s="29"/>
      <c r="Z67" s="29"/>
      <c r="AA67" s="29"/>
      <c r="AB67" s="29"/>
      <c r="AE67" s="42"/>
      <c r="AF67" s="20"/>
      <c r="AG67" s="19"/>
      <c r="AH67" s="19"/>
      <c r="AI67" s="19"/>
    </row>
    <row r="68" spans="1:39" x14ac:dyDescent="0.55000000000000004">
      <c r="T68" s="29"/>
      <c r="U68" s="29"/>
      <c r="V68" s="29"/>
      <c r="W68" s="29"/>
      <c r="X68" s="29"/>
      <c r="Y68" s="29"/>
      <c r="Z68" s="29"/>
      <c r="AA68" s="29"/>
      <c r="AB68" s="29"/>
      <c r="AE68" s="42"/>
      <c r="AF68" s="20"/>
      <c r="AG68" s="19"/>
      <c r="AH68" s="19"/>
      <c r="AI68" s="19"/>
    </row>
    <row r="69" spans="1:39" x14ac:dyDescent="0.55000000000000004">
      <c r="A69" t="s">
        <v>21</v>
      </c>
      <c r="B69" t="s">
        <v>22</v>
      </c>
      <c r="C69" t="s">
        <v>23</v>
      </c>
      <c r="D69" t="s">
        <v>24</v>
      </c>
      <c r="E69" t="s">
        <v>138</v>
      </c>
      <c r="G69" t="s">
        <v>25</v>
      </c>
      <c r="H69" t="s">
        <v>139</v>
      </c>
      <c r="I69" t="s">
        <v>26</v>
      </c>
      <c r="J69" t="s">
        <v>44</v>
      </c>
      <c r="K69" t="s">
        <v>45</v>
      </c>
      <c r="L69" t="s">
        <v>46</v>
      </c>
      <c r="M69" t="s">
        <v>27</v>
      </c>
      <c r="N69" t="s">
        <v>28</v>
      </c>
      <c r="O69" t="s">
        <v>29</v>
      </c>
      <c r="P69" t="s">
        <v>30</v>
      </c>
      <c r="Q69" t="s">
        <v>140</v>
      </c>
      <c r="R69" t="s">
        <v>141</v>
      </c>
      <c r="S69" t="s">
        <v>142</v>
      </c>
      <c r="T69" t="s">
        <v>143</v>
      </c>
      <c r="U69" t="s">
        <v>144</v>
      </c>
      <c r="V69" t="s">
        <v>157</v>
      </c>
      <c r="W69" t="s">
        <v>158</v>
      </c>
      <c r="X69" t="s">
        <v>172</v>
      </c>
      <c r="Z69" s="29"/>
      <c r="AA69" s="29"/>
      <c r="AB69" s="29"/>
      <c r="AE69" s="42"/>
      <c r="AF69" s="20"/>
      <c r="AG69" s="19"/>
      <c r="AH69" s="19"/>
      <c r="AI69" s="19"/>
    </row>
    <row r="70" spans="1:39" x14ac:dyDescent="0.55000000000000004">
      <c r="B70" t="s">
        <v>42</v>
      </c>
      <c r="C70" t="s">
        <v>32</v>
      </c>
      <c r="D70" t="s">
        <v>112</v>
      </c>
      <c r="E70" t="s">
        <v>147</v>
      </c>
      <c r="G70" t="s">
        <v>113</v>
      </c>
      <c r="H70" t="s">
        <v>113</v>
      </c>
      <c r="I70" t="s">
        <v>35</v>
      </c>
      <c r="J70" t="s">
        <v>35</v>
      </c>
      <c r="K70" t="s">
        <v>35</v>
      </c>
      <c r="L70" t="s">
        <v>47</v>
      </c>
      <c r="M70" t="s">
        <v>114</v>
      </c>
      <c r="N70" t="s">
        <v>114</v>
      </c>
      <c r="O70" t="s">
        <v>115</v>
      </c>
      <c r="P70" t="s">
        <v>38</v>
      </c>
      <c r="Q70" t="s">
        <v>148</v>
      </c>
      <c r="R70" t="s">
        <v>113</v>
      </c>
      <c r="S70" t="s">
        <v>113</v>
      </c>
      <c r="T70" t="s">
        <v>113</v>
      </c>
      <c r="U70" t="s">
        <v>148</v>
      </c>
      <c r="V70" t="s">
        <v>148</v>
      </c>
      <c r="W70" t="s">
        <v>47</v>
      </c>
      <c r="X70" t="s">
        <v>112</v>
      </c>
      <c r="Z70" s="29"/>
      <c r="AA70" s="29"/>
      <c r="AB70" s="29"/>
      <c r="AE70" s="42"/>
      <c r="AF70" s="20"/>
      <c r="AG70" s="19"/>
      <c r="AH70" s="19"/>
      <c r="AI70" s="19"/>
    </row>
    <row r="71" spans="1:39" ht="17.7" x14ac:dyDescent="0.75">
      <c r="Z71" s="29"/>
      <c r="AA71" s="29"/>
      <c r="AB71" s="29"/>
      <c r="AE71" s="42"/>
      <c r="AF71" s="20"/>
      <c r="AG71" s="19"/>
      <c r="AH71" s="19"/>
      <c r="AI71" s="19"/>
      <c r="AJ71" s="40" t="s">
        <v>173</v>
      </c>
      <c r="AK71" s="40" t="s">
        <v>150</v>
      </c>
      <c r="AL71" s="48" t="s">
        <v>151</v>
      </c>
      <c r="AM71" s="40" t="s">
        <v>152</v>
      </c>
    </row>
    <row r="72" spans="1:39" x14ac:dyDescent="0.55000000000000004">
      <c r="A72">
        <v>1</v>
      </c>
      <c r="B72" s="38" t="s">
        <v>87</v>
      </c>
      <c r="C72" s="12">
        <v>0</v>
      </c>
      <c r="D72" s="2">
        <v>1746.5040000000001</v>
      </c>
      <c r="E72" s="29">
        <f>101325*(1+((-0.00649*D72)/288.15))^(-9.80665/(-0.00649*287))</f>
        <v>82026.72550020284</v>
      </c>
      <c r="F72" s="29">
        <f t="shared" ref="F72:F73" si="49">1.225*(1+((-0.00649*D72)/288.15))^(-9.80665/(-0.00649*287))</f>
        <v>0.99168752763630375</v>
      </c>
      <c r="G72" s="12">
        <v>82.825484000000003</v>
      </c>
      <c r="H72" s="29">
        <f t="shared" ref="H72:H73" si="50">G72-2*0.514444</f>
        <v>81.796596000000008</v>
      </c>
      <c r="I72" s="39">
        <v>5.3</v>
      </c>
      <c r="J72" s="39">
        <f>'[1]Imperial Units'!G75</f>
        <v>0</v>
      </c>
      <c r="K72" s="39">
        <v>2.8</v>
      </c>
      <c r="L72" s="12">
        <f>'[1]Imperial Units'!I75</f>
        <v>0</v>
      </c>
      <c r="M72" s="12">
        <v>213.64200627000002</v>
      </c>
      <c r="N72" s="12">
        <v>223.62103841000001</v>
      </c>
      <c r="O72" s="12">
        <v>399.61487797000001</v>
      </c>
      <c r="P72" s="39">
        <v>278.14999999999998</v>
      </c>
      <c r="Q72" s="29">
        <f>P72/(1+(0.4/2)*R72^2)</f>
        <v>274.24831964553334</v>
      </c>
      <c r="R72" s="32">
        <f>SQRT(2/0.4*((1+101325/E72*((1+0.4/2.8*1.225/101325*H72^2)^(1.4/0.4)-1))^(0.4/1.4)-1))</f>
        <v>0.26670972891840994</v>
      </c>
      <c r="S72" s="29">
        <f>R72*SQRT(1.4*287*Q72)</f>
        <v>88.535167205599606</v>
      </c>
      <c r="T72" s="29">
        <f t="shared" ref="T72:T73" si="51">S72*SQRT(E72/287/Q72/1.225)</f>
        <v>81.660591039700762</v>
      </c>
      <c r="U72" s="29">
        <f>288.15-0.00649*D72</f>
        <v>276.81518903999995</v>
      </c>
      <c r="V72" s="33">
        <f>Q72-U72</f>
        <v>-2.5668693944666074</v>
      </c>
      <c r="W72">
        <f>thrust!O14</f>
        <v>4128.41</v>
      </c>
      <c r="X72">
        <v>0.50429999999999997</v>
      </c>
      <c r="AE72" s="42"/>
      <c r="AF72" s="20" t="s">
        <v>154</v>
      </c>
      <c r="AG72" s="21">
        <f>$AG$16-O72</f>
        <v>6312.2879100800001</v>
      </c>
      <c r="AH72" s="21">
        <f t="shared" ref="AH72:AH73" si="52">AG72*9.80665</f>
        <v>61902.398233386026</v>
      </c>
      <c r="AI72" s="21"/>
      <c r="AJ72" s="34">
        <f>2*AH72/(1.225*$T72^2*$O$2)</f>
        <v>0.50519040010333593</v>
      </c>
      <c r="AK72" s="34">
        <f>2*W72/(1.225*$T72^2*$O$2)</f>
        <v>3.3692282677438526E-2</v>
      </c>
      <c r="AL72" s="35">
        <f>I72</f>
        <v>5.3</v>
      </c>
      <c r="AM72" s="18">
        <f>AJ72^2</f>
        <v>0.25521734035656862</v>
      </c>
    </row>
    <row r="73" spans="1:39" x14ac:dyDescent="0.55000000000000004">
      <c r="A73">
        <v>2</v>
      </c>
      <c r="B73" s="38" t="s">
        <v>88</v>
      </c>
      <c r="C73" s="12">
        <v>0</v>
      </c>
      <c r="D73" s="2">
        <v>1764.7920000000001</v>
      </c>
      <c r="E73" s="29">
        <f>101325*(1+((-0.00649*D73)/288.15))^(-9.80665/(-0.00649*287))</f>
        <v>81841.724803470875</v>
      </c>
      <c r="F73" s="29">
        <f t="shared" si="49"/>
        <v>0.98945090435975158</v>
      </c>
      <c r="G73" s="12">
        <v>82.825484000000003</v>
      </c>
      <c r="H73" s="29">
        <f t="shared" si="50"/>
        <v>81.796596000000008</v>
      </c>
      <c r="I73" s="39">
        <v>5.3</v>
      </c>
      <c r="J73" s="39">
        <v>-0.5</v>
      </c>
      <c r="K73" s="39">
        <v>2.8</v>
      </c>
      <c r="L73" s="12">
        <v>-30</v>
      </c>
      <c r="M73" s="12">
        <v>212.28122916000001</v>
      </c>
      <c r="N73" s="12">
        <v>222.26026130000002</v>
      </c>
      <c r="O73" s="12">
        <v>412.76905670000002</v>
      </c>
      <c r="P73" s="39">
        <v>278.14999999999998</v>
      </c>
      <c r="Q73" s="29">
        <f>P73/(1+(0.4/2)*R73^2)</f>
        <v>274.2397757386077</v>
      </c>
      <c r="R73" s="32">
        <f>SQRT(2/0.4*((1+101325/E73*((1+0.4/2.8*1.225/101325*H73^2)^(1.4/0.4)-1))^(0.4/1.4)-1))</f>
        <v>0.26700574912619163</v>
      </c>
      <c r="S73" s="29">
        <f>R73*SQRT(1.4*287*Q73)</f>
        <v>88.632051432520953</v>
      </c>
      <c r="T73" s="29">
        <f t="shared" si="51"/>
        <v>81.658984137323841</v>
      </c>
      <c r="U73" s="29">
        <f>288.15-0.00649*D73</f>
        <v>276.69649991999995</v>
      </c>
      <c r="V73" s="33">
        <f>Q73-U73</f>
        <v>-2.4567241813922465</v>
      </c>
      <c r="W73">
        <f>thrust!O15</f>
        <v>4088.98</v>
      </c>
      <c r="X73">
        <v>0.46089999999999998</v>
      </c>
      <c r="AE73" s="42"/>
      <c r="AF73" s="20" t="s">
        <v>154</v>
      </c>
      <c r="AG73" s="21">
        <f>$AG$16-O73</f>
        <v>6299.1337313499998</v>
      </c>
      <c r="AH73" s="21">
        <f t="shared" si="52"/>
        <v>61773.399806543472</v>
      </c>
      <c r="AI73" s="21"/>
      <c r="AJ73" s="34">
        <f>2*AH73/(1.225*$T73^2*$O$2)</f>
        <v>0.50415747491660179</v>
      </c>
      <c r="AK73" s="34">
        <f>2*W73/(1.225*$T73^2*$O$2)</f>
        <v>3.3371804664151232E-2</v>
      </c>
      <c r="AL73" s="35">
        <f>I73</f>
        <v>5.3</v>
      </c>
      <c r="AM73" s="18">
        <f>AJ73^2</f>
        <v>0.25417475951428398</v>
      </c>
    </row>
    <row r="75" spans="1:39" ht="18.3" x14ac:dyDescent="0.7">
      <c r="R75" s="50"/>
      <c r="S75" s="49" t="s">
        <v>174</v>
      </c>
      <c r="T75" s="50"/>
      <c r="U75" s="50"/>
      <c r="V75" s="50"/>
      <c r="W75" s="50"/>
      <c r="X75" s="50"/>
      <c r="Y75" s="50"/>
    </row>
    <row r="76" spans="1:39" x14ac:dyDescent="0.55000000000000004">
      <c r="A76" s="13" t="s">
        <v>52</v>
      </c>
      <c r="R76" s="51"/>
      <c r="S76" s="51"/>
      <c r="T76" s="51"/>
      <c r="U76" s="51"/>
      <c r="V76" s="51"/>
      <c r="W76" s="51"/>
      <c r="X76" s="51"/>
      <c r="Y76" s="51"/>
    </row>
    <row r="77" spans="1:39" x14ac:dyDescent="0.55000000000000004">
      <c r="R77" s="51"/>
      <c r="S77" s="51" t="s">
        <v>175</v>
      </c>
      <c r="T77" s="51">
        <f>X72</f>
        <v>0.50429999999999997</v>
      </c>
      <c r="U77" s="51"/>
      <c r="V77" s="51"/>
      <c r="W77" s="51"/>
      <c r="X77" s="51"/>
      <c r="Y77" s="51"/>
    </row>
    <row r="78" spans="1:39" x14ac:dyDescent="0.55000000000000004">
      <c r="D78" t="s">
        <v>53</v>
      </c>
      <c r="J78" t="s">
        <v>53</v>
      </c>
      <c r="M78" t="s">
        <v>53</v>
      </c>
      <c r="R78" s="51"/>
      <c r="S78" s="51" t="s">
        <v>176</v>
      </c>
      <c r="T78" s="51">
        <f>X73</f>
        <v>0.46089999999999998</v>
      </c>
      <c r="U78" s="51"/>
      <c r="V78" s="51"/>
      <c r="W78" s="51"/>
      <c r="X78" s="51"/>
      <c r="Y78" s="51"/>
    </row>
    <row r="79" spans="1:39" x14ac:dyDescent="0.55000000000000004">
      <c r="D79" t="s">
        <v>42</v>
      </c>
      <c r="J79" t="s">
        <v>42</v>
      </c>
      <c r="M79" t="s">
        <v>42</v>
      </c>
      <c r="R79" s="51"/>
      <c r="S79" s="51" t="s">
        <v>177</v>
      </c>
      <c r="T79" s="51">
        <f>T78-T77</f>
        <v>-4.3399999999999994E-2</v>
      </c>
      <c r="U79" s="51"/>
      <c r="V79" s="51"/>
      <c r="W79" s="51"/>
      <c r="X79" s="51"/>
      <c r="Y79" s="51"/>
    </row>
    <row r="80" spans="1:39" x14ac:dyDescent="0.55000000000000004">
      <c r="A80" t="s">
        <v>54</v>
      </c>
      <c r="D80" s="11">
        <f>'[1]Imperial Units'!D83</f>
        <v>2.9166666666666664E-2</v>
      </c>
      <c r="E80" s="11"/>
      <c r="F80" s="11"/>
      <c r="G80" s="11" t="str">
        <f>'[1]Imperial Units'!E83</f>
        <v>Dutch Roll</v>
      </c>
      <c r="H80" s="11"/>
      <c r="I80" s="11"/>
      <c r="J80" s="11">
        <f>'[1]Imperial Units'!G83</f>
        <v>3.1944444444444449E-2</v>
      </c>
      <c r="K80" s="11" t="str">
        <f>'[1]Imperial Units'!H83</f>
        <v>Aper. Roll</v>
      </c>
      <c r="L80" s="11"/>
      <c r="M80" s="11">
        <f>'[1]Imperial Units'!J83</f>
        <v>3.3333333333333333E-2</v>
      </c>
      <c r="N80" s="11"/>
      <c r="R80" s="51"/>
      <c r="S80" s="51"/>
      <c r="T80" s="51"/>
      <c r="U80" s="51"/>
      <c r="V80" s="51"/>
      <c r="W80" s="51"/>
      <c r="X80" s="51"/>
      <c r="Y80" s="51"/>
    </row>
    <row r="81" spans="1:25" x14ac:dyDescent="0.55000000000000004">
      <c r="A81" t="s">
        <v>57</v>
      </c>
      <c r="D81" s="11">
        <f>'[1]Imperial Units'!D84</f>
        <v>3.125E-2</v>
      </c>
      <c r="E81" s="11"/>
      <c r="F81" s="11"/>
      <c r="G81" s="11" t="str">
        <f>'[1]Imperial Units'!E84</f>
        <v>Dutch Roll YD</v>
      </c>
      <c r="H81" s="11"/>
      <c r="I81" s="11"/>
      <c r="J81" s="11">
        <f>'[1]Imperial Units'!G84</f>
        <v>3.2638888888888891E-2</v>
      </c>
      <c r="K81" s="11" t="str">
        <f>'[1]Imperial Units'!H84</f>
        <v xml:space="preserve">Spiral </v>
      </c>
      <c r="L81" s="11"/>
      <c r="M81" s="11">
        <f>'[1]Imperial Units'!J84</f>
        <v>3.6111111111111115E-2</v>
      </c>
      <c r="N81" s="11"/>
      <c r="R81" s="51"/>
      <c r="S81" s="51"/>
      <c r="T81" s="53"/>
      <c r="U81" s="51"/>
      <c r="V81" s="51"/>
      <c r="W81" s="51"/>
      <c r="X81" s="51"/>
      <c r="Y81" s="51"/>
    </row>
    <row r="82" spans="1:25" x14ac:dyDescent="0.55000000000000004">
      <c r="R82" s="51"/>
      <c r="S82" s="51" t="s">
        <v>133</v>
      </c>
      <c r="T82" s="52">
        <f>-1/RADIANS(J73-J72)*AVERAGE(AJ72:AJ73)*(T79)/O3</f>
        <v>-1.2202253882943743</v>
      </c>
      <c r="U82" s="51"/>
      <c r="V82" s="51"/>
      <c r="W82" s="51"/>
      <c r="X82" s="51"/>
      <c r="Y82" s="51"/>
    </row>
    <row r="83" spans="1:25" x14ac:dyDescent="0.55000000000000004">
      <c r="R83" s="51"/>
      <c r="S83" s="51" t="s">
        <v>182</v>
      </c>
      <c r="T83" s="51">
        <f>T82*0.4861</f>
        <v>-0.59315156124989532</v>
      </c>
      <c r="U83" s="51"/>
      <c r="V83" s="51"/>
      <c r="W83" s="51"/>
      <c r="X83" s="51"/>
      <c r="Y83" s="51"/>
    </row>
    <row r="84" spans="1:25" x14ac:dyDescent="0.55000000000000004">
      <c r="R84" s="51"/>
      <c r="S84" s="51"/>
      <c r="T84" s="51"/>
      <c r="U84" s="51"/>
      <c r="V84" s="51"/>
      <c r="W84" s="51"/>
      <c r="X84" s="51"/>
      <c r="Y84" s="51"/>
    </row>
    <row r="85" spans="1:25" x14ac:dyDescent="0.55000000000000004">
      <c r="R85" s="51"/>
      <c r="S85" s="51"/>
      <c r="T85" s="51"/>
      <c r="U85" s="51"/>
      <c r="V85" s="51"/>
      <c r="W85" s="51"/>
      <c r="X85" s="51"/>
      <c r="Y85" s="51"/>
    </row>
  </sheetData>
  <phoneticPr fontId="5" type="noConversion"/>
  <conditionalFormatting sqref="D72:D73">
    <cfRule type="expression" priority="1">
      <formula>LEN(TRIM(D72))=0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D761E-983A-4C9F-8D37-B635CEA23338}">
  <dimension ref="A1:O15"/>
  <sheetViews>
    <sheetView workbookViewId="0">
      <selection activeCell="O1" sqref="O1:O15"/>
    </sheetView>
  </sheetViews>
  <sheetFormatPr defaultRowHeight="14.4" x14ac:dyDescent="0.55000000000000004"/>
  <cols>
    <col min="1" max="1" width="13.20703125" style="32" customWidth="1"/>
    <col min="4" max="5" width="13.20703125" style="32" customWidth="1"/>
    <col min="10" max="11" width="13.20703125" style="57" customWidth="1"/>
  </cols>
  <sheetData>
    <row r="1" spans="1:15" x14ac:dyDescent="0.55000000000000004">
      <c r="A1" s="32">
        <f>Sheet1!D28</f>
        <v>1527.048</v>
      </c>
      <c r="B1" s="32">
        <f>Sheet1!R28</f>
        <v>0.4080702520295213</v>
      </c>
      <c r="C1" s="32">
        <f>Sheet1!V28</f>
        <v>-1.7961983809458388</v>
      </c>
      <c r="D1">
        <f t="shared" ref="D1:D15" si="0">J1/3600</f>
        <v>0.10054630868333334</v>
      </c>
      <c r="E1">
        <f t="shared" ref="E1:E15" si="1">K1/3600</f>
        <v>0.10243627689166668</v>
      </c>
      <c r="J1" s="57">
        <f>Sheet1!M28</f>
        <v>361.96671126000001</v>
      </c>
      <c r="K1" s="57">
        <f>Sheet1!N28</f>
        <v>368.77059681000003</v>
      </c>
      <c r="O1">
        <v>7463.19</v>
      </c>
    </row>
    <row r="2" spans="1:15" x14ac:dyDescent="0.55000000000000004">
      <c r="A2" s="32">
        <f>Sheet1!D29</f>
        <v>1530.096</v>
      </c>
      <c r="B2" s="32">
        <f>Sheet1!R29</f>
        <v>0.36213917876500906</v>
      </c>
      <c r="C2" s="32">
        <f>Sheet1!V29</f>
        <v>-1.8193687476443756</v>
      </c>
      <c r="D2">
        <f t="shared" si="0"/>
        <v>8.4796573613888898E-2</v>
      </c>
      <c r="E2">
        <f t="shared" si="1"/>
        <v>8.5930554538888898E-2</v>
      </c>
      <c r="J2" s="57">
        <f>Sheet1!M29</f>
        <v>305.26766501000003</v>
      </c>
      <c r="K2" s="57">
        <f>Sheet1!N29</f>
        <v>309.34999634000002</v>
      </c>
      <c r="O2">
        <v>6077.65</v>
      </c>
    </row>
    <row r="3" spans="1:15" x14ac:dyDescent="0.55000000000000004">
      <c r="A3" s="32">
        <f>Sheet1!D30</f>
        <v>1530.096</v>
      </c>
      <c r="B3" s="32">
        <f>Sheet1!R30</f>
        <v>0.31438668006839776</v>
      </c>
      <c r="C3" s="32">
        <f>Sheet1!V30</f>
        <v>-1.7351666123233827</v>
      </c>
      <c r="D3">
        <f t="shared" si="0"/>
        <v>7.0684810991666666E-2</v>
      </c>
      <c r="E3">
        <f t="shared" si="1"/>
        <v>7.2952772841666666E-2</v>
      </c>
      <c r="J3" s="57">
        <f>Sheet1!M30</f>
        <v>254.46531957000002</v>
      </c>
      <c r="K3" s="57">
        <f>Sheet1!N30</f>
        <v>262.62998223</v>
      </c>
      <c r="O3">
        <v>4948.68</v>
      </c>
    </row>
    <row r="4" spans="1:15" x14ac:dyDescent="0.55000000000000004">
      <c r="A4" s="32">
        <f>Sheet1!D31</f>
        <v>1533.144</v>
      </c>
      <c r="B4" s="32">
        <f>Sheet1!R31</f>
        <v>0.2665999599254415</v>
      </c>
      <c r="C4" s="32">
        <f>Sheet1!V31</f>
        <v>-1.7792447671300806</v>
      </c>
      <c r="D4">
        <f t="shared" si="0"/>
        <v>5.8337018697222222E-2</v>
      </c>
      <c r="E4">
        <f t="shared" si="1"/>
        <v>6.0982974188888893E-2</v>
      </c>
      <c r="J4" s="57">
        <f>Sheet1!M31</f>
        <v>210.01326731</v>
      </c>
      <c r="K4" s="57">
        <f>Sheet1!N31</f>
        <v>219.53870708000002</v>
      </c>
      <c r="O4">
        <v>3900.24</v>
      </c>
    </row>
    <row r="5" spans="1:15" x14ac:dyDescent="0.55000000000000004">
      <c r="A5" s="32">
        <f>Sheet1!D32</f>
        <v>1530.096</v>
      </c>
      <c r="B5" s="32">
        <f>Sheet1!R32</f>
        <v>0.21202948818695572</v>
      </c>
      <c r="C5" s="32">
        <f>Sheet1!V32</f>
        <v>-1.5572322130818748</v>
      </c>
      <c r="D5">
        <f t="shared" si="0"/>
        <v>5.5817061086111112E-2</v>
      </c>
      <c r="E5">
        <f t="shared" si="1"/>
        <v>5.8841010219444448E-2</v>
      </c>
      <c r="J5" s="57">
        <f>Sheet1!M32</f>
        <v>200.94141991000001</v>
      </c>
      <c r="K5" s="57">
        <f>Sheet1!N32</f>
        <v>211.82763679000001</v>
      </c>
      <c r="O5">
        <v>3990.5</v>
      </c>
    </row>
    <row r="6" spans="1:15" x14ac:dyDescent="0.55000000000000004">
      <c r="A6" s="32">
        <f>Sheet1!D33</f>
        <v>1557.528</v>
      </c>
      <c r="B6" s="32">
        <f>Sheet1!R33</f>
        <v>0.19250483209916044</v>
      </c>
      <c r="C6" s="32">
        <f>Sheet1!V33</f>
        <v>-1.7394904158982172</v>
      </c>
      <c r="D6">
        <f t="shared" si="0"/>
        <v>5.9722995383333338E-2</v>
      </c>
      <c r="E6">
        <f t="shared" si="1"/>
        <v>6.2872942397222228E-2</v>
      </c>
      <c r="J6" s="57">
        <f>Sheet1!M33</f>
        <v>215.00278338000001</v>
      </c>
      <c r="K6" s="57">
        <f>Sheet1!N33</f>
        <v>226.34259263000001</v>
      </c>
      <c r="O6">
        <v>4639.28</v>
      </c>
    </row>
    <row r="7" spans="1:15" x14ac:dyDescent="0.55000000000000004">
      <c r="A7" s="32">
        <f>Sheet1!D45</f>
        <v>1847.0880000000002</v>
      </c>
      <c r="B7" s="32">
        <f>Sheet1!R45</f>
        <v>0.26834335044671087</v>
      </c>
      <c r="C7" s="32">
        <f>Sheet1!V45</f>
        <v>-1.4684398461061505</v>
      </c>
      <c r="D7">
        <f t="shared" si="0"/>
        <v>5.8211020816666667E-2</v>
      </c>
      <c r="E7">
        <f t="shared" si="1"/>
        <v>6.1234969950000002E-2</v>
      </c>
      <c r="J7" s="57">
        <f>Sheet1!M45</f>
        <v>209.55967494000001</v>
      </c>
      <c r="K7" s="57">
        <f>Sheet1!N45</f>
        <v>220.44589182000001</v>
      </c>
      <c r="O7">
        <v>4031.1499999999901</v>
      </c>
    </row>
    <row r="8" spans="1:15" x14ac:dyDescent="0.55000000000000004">
      <c r="A8" s="32">
        <f>Sheet1!D46</f>
        <v>1935.48</v>
      </c>
      <c r="B8" s="32">
        <f>Sheet1!R46</f>
        <v>0.25118700080512407</v>
      </c>
      <c r="C8" s="32">
        <f>Sheet1!V46</f>
        <v>-1.3987334571677366</v>
      </c>
      <c r="D8">
        <f t="shared" si="0"/>
        <v>5.7707029294444441E-2</v>
      </c>
      <c r="E8">
        <f t="shared" si="1"/>
        <v>6.0730978427777776E-2</v>
      </c>
      <c r="J8" s="57">
        <f>Sheet1!M46</f>
        <v>207.74530546</v>
      </c>
      <c r="K8" s="57">
        <f>Sheet1!N46</f>
        <v>218.63152234</v>
      </c>
      <c r="O8">
        <v>4125.3</v>
      </c>
    </row>
    <row r="9" spans="1:15" x14ac:dyDescent="0.55000000000000004">
      <c r="A9" s="32">
        <f>Sheet1!D47</f>
        <v>1996.44</v>
      </c>
      <c r="B9" s="32">
        <f>Sheet1!R47</f>
        <v>0.23513938555653388</v>
      </c>
      <c r="C9" s="32">
        <f>Sheet1!V47</f>
        <v>-1.5688702207417577</v>
      </c>
      <c r="D9">
        <f t="shared" si="0"/>
        <v>5.7203037772222229E-2</v>
      </c>
      <c r="E9">
        <f t="shared" si="1"/>
        <v>6.0100989025000003E-2</v>
      </c>
      <c r="J9" s="57">
        <f>Sheet1!M47</f>
        <v>205.93093598000002</v>
      </c>
      <c r="K9" s="57">
        <f>Sheet1!N47</f>
        <v>216.36356049</v>
      </c>
      <c r="O9">
        <v>4196.1899999999996</v>
      </c>
    </row>
    <row r="10" spans="1:15" x14ac:dyDescent="0.55000000000000004">
      <c r="A10" s="32">
        <f>Sheet1!D48</f>
        <v>2097.0239999999999</v>
      </c>
      <c r="B10" s="32">
        <f>Sheet1!R48</f>
        <v>0.21949628720770484</v>
      </c>
      <c r="C10" s="32">
        <f>Sheet1!V48</f>
        <v>-1.5210524981773688</v>
      </c>
      <c r="D10">
        <f t="shared" si="0"/>
        <v>5.6573048369444448E-2</v>
      </c>
      <c r="E10">
        <f t="shared" si="1"/>
        <v>5.9596997502777783E-2</v>
      </c>
      <c r="J10" s="57">
        <f>Sheet1!M48</f>
        <v>203.66297413000001</v>
      </c>
      <c r="K10" s="57">
        <f>Sheet1!N48</f>
        <v>214.54919101000002</v>
      </c>
      <c r="O10">
        <v>4279.87</v>
      </c>
    </row>
    <row r="11" spans="1:15" x14ac:dyDescent="0.55000000000000004">
      <c r="A11" s="32">
        <f>Sheet1!D49</f>
        <v>1877.568</v>
      </c>
      <c r="B11" s="32">
        <f>Sheet1!R49</f>
        <v>0.28905112790633636</v>
      </c>
      <c r="C11" s="32">
        <f>Sheet1!V49</f>
        <v>-2.3861103122314944</v>
      </c>
      <c r="D11">
        <f t="shared" si="0"/>
        <v>5.8589014458333338E-2</v>
      </c>
      <c r="E11">
        <f t="shared" si="1"/>
        <v>6.1612963591666667E-2</v>
      </c>
      <c r="J11" s="57">
        <f>Sheet1!M49</f>
        <v>210.92045205000002</v>
      </c>
      <c r="K11" s="57">
        <f>Sheet1!N49</f>
        <v>221.80666893</v>
      </c>
      <c r="O11">
        <v>3963.7</v>
      </c>
    </row>
    <row r="12" spans="1:15" x14ac:dyDescent="0.55000000000000004">
      <c r="A12" s="32">
        <f>Sheet1!D50</f>
        <v>1770.8880000000001</v>
      </c>
      <c r="B12" s="32">
        <f>Sheet1!R50</f>
        <v>0.29722561767523403</v>
      </c>
      <c r="C12" s="32">
        <f>Sheet1!V50</f>
        <v>-2.1569707047172528</v>
      </c>
      <c r="D12">
        <f t="shared" si="0"/>
        <v>5.9470999622222229E-2</v>
      </c>
      <c r="E12">
        <f t="shared" si="1"/>
        <v>6.2494948755555557E-2</v>
      </c>
      <c r="J12" s="57">
        <f>Sheet1!M50</f>
        <v>214.09559864000002</v>
      </c>
      <c r="K12" s="57">
        <f>Sheet1!N50</f>
        <v>224.98181552</v>
      </c>
      <c r="O12">
        <v>3961.72999999999</v>
      </c>
    </row>
    <row r="13" spans="1:15" x14ac:dyDescent="0.55000000000000004">
      <c r="A13" s="32">
        <f>Sheet1!D51</f>
        <v>1618.4880000000001</v>
      </c>
      <c r="B13" s="32">
        <f>Sheet1!R51</f>
        <v>0.31604762913660517</v>
      </c>
      <c r="C13" s="32">
        <f>Sheet1!V51</f>
        <v>-1.806519341320552</v>
      </c>
      <c r="D13">
        <f t="shared" si="0"/>
        <v>6.0730978427777776E-2</v>
      </c>
      <c r="E13">
        <f t="shared" si="1"/>
        <v>6.3628929680555557E-2</v>
      </c>
      <c r="J13" s="57">
        <f>Sheet1!M51</f>
        <v>218.63152234</v>
      </c>
      <c r="K13" s="57">
        <f>Sheet1!N51</f>
        <v>229.06414685000001</v>
      </c>
      <c r="O13">
        <v>3902.97999999999</v>
      </c>
    </row>
    <row r="14" spans="1:15" x14ac:dyDescent="0.55000000000000004">
      <c r="A14" s="32">
        <f>Sheet1!D72</f>
        <v>1746.5040000000001</v>
      </c>
      <c r="B14" s="32">
        <f>Sheet1!R72</f>
        <v>0.26670972891840994</v>
      </c>
      <c r="C14" s="32">
        <f>Sheet1!V72</f>
        <v>-2.5668693944666074</v>
      </c>
      <c r="D14">
        <f t="shared" si="0"/>
        <v>5.9345001741666674E-2</v>
      </c>
      <c r="E14">
        <f t="shared" si="1"/>
        <v>6.2116955113888893E-2</v>
      </c>
      <c r="J14" s="57">
        <f>Sheet1!M72</f>
        <v>213.64200627000002</v>
      </c>
      <c r="K14" s="57">
        <f>Sheet1!N72</f>
        <v>223.62103841000001</v>
      </c>
      <c r="O14">
        <v>4128.41</v>
      </c>
    </row>
    <row r="15" spans="1:15" x14ac:dyDescent="0.55000000000000004">
      <c r="A15" s="32">
        <f>Sheet1!D73</f>
        <v>1764.7920000000001</v>
      </c>
      <c r="B15" s="32">
        <f>Sheet1!R73</f>
        <v>0.26700574912619163</v>
      </c>
      <c r="C15" s="32">
        <f>Sheet1!V73</f>
        <v>-2.4567241813922465</v>
      </c>
      <c r="D15">
        <f t="shared" si="0"/>
        <v>5.8967008100000003E-2</v>
      </c>
      <c r="E15">
        <f t="shared" si="1"/>
        <v>6.1738961472222229E-2</v>
      </c>
      <c r="J15" s="57">
        <f>Sheet1!M73</f>
        <v>212.28122916000001</v>
      </c>
      <c r="K15" s="57">
        <f>Sheet1!N73</f>
        <v>222.26026130000002</v>
      </c>
      <c r="O15">
        <v>4088.98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Imperial</vt:lpstr>
      <vt:lpstr>Metric</vt:lpstr>
      <vt:lpstr>Sheet1</vt:lpstr>
      <vt:lpstr>thrust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Mitchell Lubout</cp:lastModifiedBy>
  <cp:revision>0</cp:revision>
  <cp:lastPrinted>2013-02-27T10:55:04Z</cp:lastPrinted>
  <dcterms:created xsi:type="dcterms:W3CDTF">2013-02-25T15:54:42Z</dcterms:created>
  <dcterms:modified xsi:type="dcterms:W3CDTF">2020-03-26T01:24:33Z</dcterms:modified>
  <dc:language>en-GB</dc:language>
</cp:coreProperties>
</file>