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tch\Documents\TU Delft\BSc-3\AE3212-II Simulation, Verification &amp; Validation\Aerodynamics\31\B31\Testflightdata\"/>
    </mc:Choice>
  </mc:AlternateContent>
  <xr:revisionPtr revIDLastSave="0" documentId="13_ncr:1_{0E6F7719-342E-4728-9E18-B62D9F19E529}" xr6:coauthVersionLast="45" xr6:coauthVersionMax="45" xr10:uidLastSave="{00000000-0000-0000-0000-000000000000}"/>
  <bookViews>
    <workbookView xWindow="38290" yWindow="-5600" windowWidth="38620" windowHeight="21360" activeTab="1" xr2:uid="{00000000-000D-0000-FFFF-FFFF00000000}"/>
  </bookViews>
  <sheets>
    <sheet name="Imperial Units" sheetId="1" r:id="rId1"/>
    <sheet name="Metric Units" sheetId="2" r:id="rId2"/>
  </sheets>
  <externalReferences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82" i="2" l="1"/>
  <c r="V77" i="2"/>
  <c r="T82" i="2"/>
  <c r="T78" i="2"/>
  <c r="T77" i="2"/>
  <c r="T79" i="2" l="1"/>
  <c r="P72" i="2" l="1"/>
  <c r="P73" i="2"/>
  <c r="P46" i="2"/>
  <c r="P47" i="2"/>
  <c r="P48" i="2"/>
  <c r="P49" i="2"/>
  <c r="P50" i="2"/>
  <c r="P51" i="2"/>
  <c r="P45" i="2"/>
  <c r="P29" i="2"/>
  <c r="P30" i="2"/>
  <c r="P31" i="2"/>
  <c r="P32" i="2"/>
  <c r="P33" i="2"/>
  <c r="P28" i="2"/>
  <c r="AG4" i="2" l="1"/>
  <c r="AH4" i="2" s="1"/>
  <c r="G73" i="2"/>
  <c r="H73" i="2" s="1"/>
  <c r="G72" i="2"/>
  <c r="H72" i="2" s="1"/>
  <c r="G46" i="2"/>
  <c r="H46" i="2" s="1"/>
  <c r="G47" i="2"/>
  <c r="H47" i="2" s="1"/>
  <c r="G48" i="2"/>
  <c r="H48" i="2" s="1"/>
  <c r="G49" i="2"/>
  <c r="H49" i="2" s="1"/>
  <c r="G50" i="2"/>
  <c r="H50" i="2" s="1"/>
  <c r="G51" i="2"/>
  <c r="H51" i="2" s="1"/>
  <c r="G45" i="2"/>
  <c r="H45" i="2" s="1"/>
  <c r="G29" i="2"/>
  <c r="H29" i="2" s="1"/>
  <c r="G30" i="2"/>
  <c r="H30" i="2" s="1"/>
  <c r="G31" i="2"/>
  <c r="H31" i="2" s="1"/>
  <c r="G32" i="2"/>
  <c r="H32" i="2" s="1"/>
  <c r="G33" i="2"/>
  <c r="H33" i="2" s="1"/>
  <c r="G28" i="2"/>
  <c r="H28" i="2" s="1"/>
  <c r="C29" i="1"/>
  <c r="C30" i="1"/>
  <c r="C31" i="1"/>
  <c r="C32" i="1"/>
  <c r="C33" i="1"/>
  <c r="C28" i="1"/>
  <c r="AG2" i="2"/>
  <c r="AH2" i="2" s="1"/>
  <c r="O5" i="2" l="1"/>
  <c r="M81" i="2"/>
  <c r="K81" i="2"/>
  <c r="J81" i="2"/>
  <c r="G81" i="2"/>
  <c r="D81" i="2"/>
  <c r="M80" i="2"/>
  <c r="K80" i="2"/>
  <c r="J80" i="2"/>
  <c r="G80" i="2"/>
  <c r="D80" i="2"/>
  <c r="O73" i="2"/>
  <c r="N73" i="2"/>
  <c r="M73" i="2"/>
  <c r="L73" i="2"/>
  <c r="K73" i="2"/>
  <c r="J73" i="2"/>
  <c r="I73" i="2"/>
  <c r="AL73" i="2" s="1"/>
  <c r="D73" i="2"/>
  <c r="C73" i="2"/>
  <c r="B73" i="2"/>
  <c r="O72" i="2"/>
  <c r="N72" i="2"/>
  <c r="M72" i="2"/>
  <c r="L72" i="2"/>
  <c r="K72" i="2"/>
  <c r="J72" i="2"/>
  <c r="I72" i="2"/>
  <c r="AL72" i="2" s="1"/>
  <c r="D72" i="2"/>
  <c r="C72" i="2"/>
  <c r="B72" i="2"/>
  <c r="O51" i="2"/>
  <c r="N51" i="2"/>
  <c r="M51" i="2"/>
  <c r="L51" i="2"/>
  <c r="K51" i="2"/>
  <c r="J51" i="2"/>
  <c r="I51" i="2"/>
  <c r="AL51" i="2" s="1"/>
  <c r="F55" i="2" s="1"/>
  <c r="D51" i="2"/>
  <c r="F51" i="2" s="1"/>
  <c r="C51" i="2"/>
  <c r="B51" i="2"/>
  <c r="O50" i="2"/>
  <c r="N50" i="2"/>
  <c r="M50" i="2"/>
  <c r="L50" i="2"/>
  <c r="K50" i="2"/>
  <c r="J50" i="2"/>
  <c r="I50" i="2"/>
  <c r="AL50" i="2" s="1"/>
  <c r="F56" i="2" s="1"/>
  <c r="D50" i="2"/>
  <c r="F50" i="2" s="1"/>
  <c r="C50" i="2"/>
  <c r="B50" i="2"/>
  <c r="O49" i="2"/>
  <c r="N49" i="2"/>
  <c r="M49" i="2"/>
  <c r="L49" i="2"/>
  <c r="K49" i="2"/>
  <c r="J49" i="2"/>
  <c r="I49" i="2"/>
  <c r="AL49" i="2" s="1"/>
  <c r="F57" i="2" s="1"/>
  <c r="D49" i="2"/>
  <c r="F49" i="2" s="1"/>
  <c r="C49" i="2"/>
  <c r="B49" i="2"/>
  <c r="O48" i="2"/>
  <c r="N48" i="2"/>
  <c r="M48" i="2"/>
  <c r="L48" i="2"/>
  <c r="K48" i="2"/>
  <c r="J48" i="2"/>
  <c r="I48" i="2"/>
  <c r="AL48" i="2" s="1"/>
  <c r="F61" i="2" s="1"/>
  <c r="D48" i="2"/>
  <c r="F48" i="2" s="1"/>
  <c r="C48" i="2"/>
  <c r="B48" i="2"/>
  <c r="O47" i="2"/>
  <c r="N47" i="2"/>
  <c r="M47" i="2"/>
  <c r="L47" i="2"/>
  <c r="K47" i="2"/>
  <c r="J47" i="2"/>
  <c r="I47" i="2"/>
  <c r="AL47" i="2" s="1"/>
  <c r="F60" i="2" s="1"/>
  <c r="D47" i="2"/>
  <c r="F47" i="2" s="1"/>
  <c r="C47" i="2"/>
  <c r="B47" i="2"/>
  <c r="O46" i="2"/>
  <c r="N46" i="2"/>
  <c r="M46" i="2"/>
  <c r="L46" i="2"/>
  <c r="K46" i="2"/>
  <c r="J46" i="2"/>
  <c r="I46" i="2"/>
  <c r="AL46" i="2" s="1"/>
  <c r="F59" i="2" s="1"/>
  <c r="D46" i="2"/>
  <c r="F46" i="2" s="1"/>
  <c r="C46" i="2"/>
  <c r="B46" i="2"/>
  <c r="O45" i="2"/>
  <c r="N45" i="2"/>
  <c r="M45" i="2"/>
  <c r="L45" i="2"/>
  <c r="K45" i="2"/>
  <c r="J45" i="2"/>
  <c r="I45" i="2"/>
  <c r="AL45" i="2" s="1"/>
  <c r="F58" i="2" s="1"/>
  <c r="D45" i="2"/>
  <c r="F45" i="2" s="1"/>
  <c r="C45" i="2"/>
  <c r="B45" i="2"/>
  <c r="O33" i="2"/>
  <c r="N33" i="2"/>
  <c r="M33" i="2"/>
  <c r="I33" i="2"/>
  <c r="AL33" i="2" s="1"/>
  <c r="D33" i="2"/>
  <c r="F33" i="2" s="1"/>
  <c r="O32" i="2"/>
  <c r="N32" i="2"/>
  <c r="M32" i="2"/>
  <c r="I32" i="2"/>
  <c r="AL32" i="2" s="1"/>
  <c r="D32" i="2"/>
  <c r="F32" i="2" s="1"/>
  <c r="B32" i="2"/>
  <c r="O31" i="2"/>
  <c r="N31" i="2"/>
  <c r="M31" i="2"/>
  <c r="I31" i="2"/>
  <c r="AL31" i="2" s="1"/>
  <c r="D31" i="2"/>
  <c r="F31" i="2" s="1"/>
  <c r="B31" i="2"/>
  <c r="O30" i="2"/>
  <c r="N30" i="2"/>
  <c r="M30" i="2"/>
  <c r="I30" i="2"/>
  <c r="AL30" i="2" s="1"/>
  <c r="D30" i="2"/>
  <c r="F30" i="2" s="1"/>
  <c r="B30" i="2"/>
  <c r="O29" i="2"/>
  <c r="N29" i="2"/>
  <c r="M29" i="2"/>
  <c r="I29" i="2"/>
  <c r="AL29" i="2" s="1"/>
  <c r="D29" i="2"/>
  <c r="F29" i="2" s="1"/>
  <c r="B29" i="2"/>
  <c r="O28" i="2"/>
  <c r="N28" i="2"/>
  <c r="M28" i="2"/>
  <c r="I28" i="2"/>
  <c r="AL28" i="2" s="1"/>
  <c r="D28" i="2"/>
  <c r="B28" i="2"/>
  <c r="D16" i="2"/>
  <c r="AG14" i="2" s="1"/>
  <c r="AH14" i="2" s="1"/>
  <c r="C16" i="2"/>
  <c r="D15" i="2"/>
  <c r="AG13" i="2" s="1"/>
  <c r="AH13" i="2" s="1"/>
  <c r="C15" i="2"/>
  <c r="D14" i="2"/>
  <c r="AG12" i="2" s="1"/>
  <c r="AH12" i="2" s="1"/>
  <c r="C14" i="2"/>
  <c r="D13" i="2"/>
  <c r="AG11" i="2" s="1"/>
  <c r="AH11" i="2" s="1"/>
  <c r="C13" i="2"/>
  <c r="D12" i="2"/>
  <c r="AG10" i="2" s="1"/>
  <c r="AH10" i="2" s="1"/>
  <c r="C12" i="2"/>
  <c r="D11" i="2"/>
  <c r="AG9" i="2" s="1"/>
  <c r="AH9" i="2" s="1"/>
  <c r="C11" i="2"/>
  <c r="D10" i="2"/>
  <c r="AG8" i="2" s="1"/>
  <c r="AH8" i="2" s="1"/>
  <c r="C10" i="2"/>
  <c r="D9" i="2"/>
  <c r="AG7" i="2" s="1"/>
  <c r="AH7" i="2" s="1"/>
  <c r="C9" i="2"/>
  <c r="D8" i="2"/>
  <c r="AG6" i="2" s="1"/>
  <c r="AH6" i="2" s="1"/>
  <c r="C8" i="2"/>
  <c r="F28" i="2" l="1"/>
  <c r="E28" i="2"/>
  <c r="R28" i="2" s="1"/>
  <c r="Q28" i="2" s="1"/>
  <c r="E46" i="2"/>
  <c r="R46" i="2" s="1"/>
  <c r="U46" i="2"/>
  <c r="E48" i="2"/>
  <c r="R48" i="2" s="1"/>
  <c r="U48" i="2"/>
  <c r="E50" i="2"/>
  <c r="R50" i="2" s="1"/>
  <c r="U50" i="2"/>
  <c r="E72" i="2"/>
  <c r="R72" i="2" s="1"/>
  <c r="U72" i="2"/>
  <c r="E45" i="2"/>
  <c r="R45" i="2" s="1"/>
  <c r="U45" i="2"/>
  <c r="E47" i="2"/>
  <c r="R47" i="2" s="1"/>
  <c r="U47" i="2"/>
  <c r="E49" i="2"/>
  <c r="R49" i="2" s="1"/>
  <c r="U49" i="2"/>
  <c r="E51" i="2"/>
  <c r="R51" i="2" s="1"/>
  <c r="U51" i="2"/>
  <c r="E73" i="2"/>
  <c r="R73" i="2" s="1"/>
  <c r="U73" i="2"/>
  <c r="U28" i="2"/>
  <c r="E30" i="2"/>
  <c r="R30" i="2" s="1"/>
  <c r="Q30" i="2" s="1"/>
  <c r="U30" i="2"/>
  <c r="E32" i="2"/>
  <c r="R32" i="2" s="1"/>
  <c r="Q32" i="2" s="1"/>
  <c r="U32" i="2"/>
  <c r="E33" i="2"/>
  <c r="R33" i="2" s="1"/>
  <c r="Q33" i="2" s="1"/>
  <c r="U33" i="2"/>
  <c r="E29" i="2"/>
  <c r="R29" i="2" s="1"/>
  <c r="Q29" i="2" s="1"/>
  <c r="U29" i="2"/>
  <c r="E31" i="2"/>
  <c r="R31" i="2" s="1"/>
  <c r="Q31" i="2" s="1"/>
  <c r="U31" i="2"/>
  <c r="C30" i="2"/>
  <c r="C32" i="2"/>
  <c r="C28" i="2"/>
  <c r="C29" i="2"/>
  <c r="C31" i="2"/>
  <c r="AG16" i="2"/>
  <c r="C33" i="2"/>
  <c r="V30" i="2" l="1"/>
  <c r="V28" i="2"/>
  <c r="Q51" i="2"/>
  <c r="V51" i="2" s="1"/>
  <c r="S51" i="2"/>
  <c r="T51" i="2" s="1"/>
  <c r="Y51" i="2" s="1"/>
  <c r="Q72" i="2"/>
  <c r="V72" i="2" s="1"/>
  <c r="Q48" i="2"/>
  <c r="V48" i="2" s="1"/>
  <c r="Q47" i="2"/>
  <c r="V47" i="2" s="1"/>
  <c r="S28" i="2"/>
  <c r="T28" i="2" s="1"/>
  <c r="AK28" i="2" s="1"/>
  <c r="Q73" i="2"/>
  <c r="V73" i="2" s="1"/>
  <c r="Q49" i="2"/>
  <c r="V49" i="2" s="1"/>
  <c r="Q45" i="2"/>
  <c r="V45" i="2" s="1"/>
  <c r="Q50" i="2"/>
  <c r="V50" i="2" s="1"/>
  <c r="Q46" i="2"/>
  <c r="V46" i="2" s="1"/>
  <c r="V32" i="2"/>
  <c r="S33" i="2"/>
  <c r="T33" i="2" s="1"/>
  <c r="AK33" i="2" s="1"/>
  <c r="V31" i="2"/>
  <c r="S31" i="2"/>
  <c r="T31" i="2" s="1"/>
  <c r="AK31" i="2" s="1"/>
  <c r="V29" i="2"/>
  <c r="S29" i="2"/>
  <c r="T29" i="2" s="1"/>
  <c r="AK29" i="2" s="1"/>
  <c r="V33" i="2"/>
  <c r="S30" i="2"/>
  <c r="T30" i="2" s="1"/>
  <c r="AK30" i="2" s="1"/>
  <c r="S32" i="2"/>
  <c r="T32" i="2" s="1"/>
  <c r="AK32" i="2" s="1"/>
  <c r="AG72" i="2"/>
  <c r="AH72" i="2" s="1"/>
  <c r="AG46" i="2"/>
  <c r="AG50" i="2"/>
  <c r="AG29" i="2"/>
  <c r="AH29" i="2" s="1"/>
  <c r="AG33" i="2"/>
  <c r="AH16" i="2"/>
  <c r="AG48" i="2"/>
  <c r="AG32" i="2"/>
  <c r="AG47" i="2"/>
  <c r="AG51" i="2"/>
  <c r="AG30" i="2"/>
  <c r="AH30" i="2" s="1"/>
  <c r="AJ30" i="2" s="1"/>
  <c r="AG28" i="2"/>
  <c r="AH28" i="2" s="1"/>
  <c r="AG45" i="2"/>
  <c r="AG31" i="2"/>
  <c r="AG73" i="2"/>
  <c r="AH73" i="2" s="1"/>
  <c r="AG49" i="2"/>
  <c r="AH51" i="2" l="1"/>
  <c r="AB51" i="2"/>
  <c r="M61" i="2" s="1"/>
  <c r="N61" i="2" s="1"/>
  <c r="AH46" i="2"/>
  <c r="AB46" i="2"/>
  <c r="M56" i="2" s="1"/>
  <c r="N57" i="2" s="1"/>
  <c r="AH45" i="2"/>
  <c r="AB45" i="2"/>
  <c r="M55" i="2" s="1"/>
  <c r="N58" i="2" s="1"/>
  <c r="AH47" i="2"/>
  <c r="AB47" i="2"/>
  <c r="M57" i="2" s="1"/>
  <c r="N56" i="2" s="1"/>
  <c r="AH49" i="2"/>
  <c r="AB49" i="2"/>
  <c r="M59" i="2" s="1"/>
  <c r="N59" i="2" s="1"/>
  <c r="AH48" i="2"/>
  <c r="AB48" i="2"/>
  <c r="M58" i="2" s="1"/>
  <c r="N55" i="2" s="1"/>
  <c r="AH50" i="2"/>
  <c r="AB50" i="2"/>
  <c r="M60" i="2" s="1"/>
  <c r="N60" i="2" s="1"/>
  <c r="S48" i="2"/>
  <c r="T48" i="2" s="1"/>
  <c r="X48" i="2" s="1"/>
  <c r="AK51" i="2"/>
  <c r="E55" i="2" s="1"/>
  <c r="X51" i="2"/>
  <c r="S49" i="2"/>
  <c r="T49" i="2" s="1"/>
  <c r="Y49" i="2" s="1"/>
  <c r="AJ51" i="2"/>
  <c r="D55" i="2" s="1"/>
  <c r="G55" i="2" s="1"/>
  <c r="AJ28" i="2"/>
  <c r="AJ29" i="2"/>
  <c r="S47" i="2"/>
  <c r="T47" i="2" s="1"/>
  <c r="Y47" i="2" s="1"/>
  <c r="S72" i="2"/>
  <c r="T72" i="2" s="1"/>
  <c r="AK72" i="2" s="1"/>
  <c r="S46" i="2"/>
  <c r="T46" i="2" s="1"/>
  <c r="Y46" i="2" s="1"/>
  <c r="S45" i="2"/>
  <c r="T45" i="2" s="1"/>
  <c r="Y45" i="2" s="1"/>
  <c r="S73" i="2"/>
  <c r="T73" i="2" s="1"/>
  <c r="AK73" i="2" s="1"/>
  <c r="S50" i="2"/>
  <c r="T50" i="2" s="1"/>
  <c r="Y50" i="2" s="1"/>
  <c r="AH31" i="2"/>
  <c r="AJ31" i="2" s="1"/>
  <c r="AM30" i="2"/>
  <c r="AN30" i="2" s="1"/>
  <c r="Z48" i="2" l="1"/>
  <c r="K58" i="2"/>
  <c r="L55" i="2" s="1"/>
  <c r="Z51" i="2"/>
  <c r="AA51" i="2" s="1"/>
  <c r="I61" i="2" s="1"/>
  <c r="J61" i="2" s="1"/>
  <c r="K61" i="2"/>
  <c r="L61" i="2" s="1"/>
  <c r="H55" i="2"/>
  <c r="AJ48" i="2"/>
  <c r="D61" i="2" s="1"/>
  <c r="G61" i="2" s="1"/>
  <c r="AK48" i="2"/>
  <c r="E61" i="2" s="1"/>
  <c r="Y48" i="2"/>
  <c r="AA48" i="2" s="1"/>
  <c r="I58" i="2" s="1"/>
  <c r="J55" i="2" s="1"/>
  <c r="AK46" i="2"/>
  <c r="E59" i="2" s="1"/>
  <c r="X46" i="2"/>
  <c r="AK47" i="2"/>
  <c r="E60" i="2" s="1"/>
  <c r="X47" i="2"/>
  <c r="AK49" i="2"/>
  <c r="E57" i="2" s="1"/>
  <c r="X49" i="2"/>
  <c r="AK50" i="2"/>
  <c r="E56" i="2" s="1"/>
  <c r="X50" i="2"/>
  <c r="AK45" i="2"/>
  <c r="E58" i="2" s="1"/>
  <c r="X45" i="2"/>
  <c r="AJ49" i="2"/>
  <c r="D57" i="2" s="1"/>
  <c r="G57" i="2" s="1"/>
  <c r="AM28" i="2"/>
  <c r="AN28" i="2" s="1"/>
  <c r="AJ72" i="2"/>
  <c r="AJ47" i="2"/>
  <c r="D60" i="2" s="1"/>
  <c r="G60" i="2" s="1"/>
  <c r="AJ45" i="2"/>
  <c r="D58" i="2" s="1"/>
  <c r="G58" i="2" s="1"/>
  <c r="AJ46" i="2"/>
  <c r="D59" i="2" s="1"/>
  <c r="G59" i="2" s="1"/>
  <c r="AJ50" i="2"/>
  <c r="D56" i="2" s="1"/>
  <c r="G56" i="2" s="1"/>
  <c r="AJ73" i="2"/>
  <c r="AM29" i="2"/>
  <c r="AN29" i="2" s="1"/>
  <c r="AH33" i="2"/>
  <c r="AJ33" i="2" s="1"/>
  <c r="AH32" i="2"/>
  <c r="AJ32" i="2" s="1"/>
  <c r="AM31" i="2"/>
  <c r="AN31" i="2" s="1"/>
  <c r="Z47" i="2" l="1"/>
  <c r="AA47" i="2" s="1"/>
  <c r="I57" i="2" s="1"/>
  <c r="J56" i="2" s="1"/>
  <c r="K57" i="2"/>
  <c r="L56" i="2" s="1"/>
  <c r="Z50" i="2"/>
  <c r="AA50" i="2" s="1"/>
  <c r="I60" i="2" s="1"/>
  <c r="J60" i="2" s="1"/>
  <c r="K60" i="2"/>
  <c r="L60" i="2" s="1"/>
  <c r="Z45" i="2"/>
  <c r="AA45" i="2" s="1"/>
  <c r="I55" i="2" s="1"/>
  <c r="J58" i="2" s="1"/>
  <c r="K55" i="2"/>
  <c r="L58" i="2" s="1"/>
  <c r="Z49" i="2"/>
  <c r="AA49" i="2" s="1"/>
  <c r="I59" i="2" s="1"/>
  <c r="J59" i="2" s="1"/>
  <c r="K59" i="2"/>
  <c r="L59" i="2" s="1"/>
  <c r="Z46" i="2"/>
  <c r="AA46" i="2" s="1"/>
  <c r="I56" i="2" s="1"/>
  <c r="J57" i="2" s="1"/>
  <c r="K56" i="2"/>
  <c r="L57" i="2" s="1"/>
  <c r="H61" i="2"/>
  <c r="H59" i="2"/>
  <c r="H57" i="2"/>
  <c r="H58" i="2"/>
  <c r="H60" i="2"/>
  <c r="H56" i="2"/>
  <c r="AM73" i="2"/>
  <c r="AM72" i="2"/>
  <c r="AM33" i="2"/>
  <c r="AN33" i="2" s="1"/>
  <c r="AM32" i="2"/>
  <c r="AN32" i="2" s="1"/>
  <c r="AN34" i="2" l="1"/>
</calcChain>
</file>

<file path=xl/sharedStrings.xml><?xml version="1.0" encoding="utf-8"?>
<sst xmlns="http://schemas.openxmlformats.org/spreadsheetml/2006/main" count="381" uniqueCount="134">
  <si>
    <t>Post-Flight Data Sheet AE3202</t>
  </si>
  <si>
    <t>date of flight:</t>
  </si>
  <si>
    <t>T/O time:</t>
  </si>
  <si>
    <t>flight number:</t>
  </si>
  <si>
    <t>LND time:</t>
  </si>
  <si>
    <t>Weights</t>
  </si>
  <si>
    <t>name</t>
  </si>
  <si>
    <t>mass [kg]</t>
  </si>
  <si>
    <t>Stationary measurements CL-CD Series 1</t>
  </si>
  <si>
    <t>clean</t>
  </si>
  <si>
    <t>nr.</t>
  </si>
  <si>
    <t>time</t>
  </si>
  <si>
    <t>[hrs:min]</t>
  </si>
  <si>
    <t>ET*</t>
  </si>
  <si>
    <t>[sec]</t>
  </si>
  <si>
    <t>hp</t>
  </si>
  <si>
    <t>[ft]</t>
  </si>
  <si>
    <t>IAS</t>
  </si>
  <si>
    <t>[kts]</t>
  </si>
  <si>
    <t>a</t>
  </si>
  <si>
    <t>[deg]</t>
  </si>
  <si>
    <t>FFl</t>
  </si>
  <si>
    <t>[lbs/hr]</t>
  </si>
  <si>
    <t>FFr</t>
  </si>
  <si>
    <t>[lbs]</t>
  </si>
  <si>
    <t>TAT</t>
  </si>
  <si>
    <t>[°C]</t>
  </si>
  <si>
    <t>Stationary measurements CL - CD Series 2</t>
  </si>
  <si>
    <t>Stationary measurements Elevator Trim Curve</t>
  </si>
  <si>
    <t>de</t>
  </si>
  <si>
    <t>detr</t>
  </si>
  <si>
    <t>Fe</t>
  </si>
  <si>
    <t>[N]</t>
  </si>
  <si>
    <t>Shift in center of gravity</t>
  </si>
  <si>
    <t>moved to position:</t>
  </si>
  <si>
    <t>Eigenmotions</t>
  </si>
  <si>
    <t>Time</t>
  </si>
  <si>
    <t>Phugoid</t>
  </si>
  <si>
    <t>Dutch Roll</t>
  </si>
  <si>
    <t>Aper. Roll</t>
  </si>
  <si>
    <t>Short period</t>
  </si>
  <si>
    <t>Dutch Roll YD</t>
  </si>
  <si>
    <t xml:space="preserve">Spiral </t>
  </si>
  <si>
    <t>* ET = Elapsed Time</t>
  </si>
  <si>
    <t>Aircraft configuration:</t>
  </si>
  <si>
    <t>Aircraft configuration :</t>
  </si>
  <si>
    <t>block fuel [lbs]:</t>
  </si>
  <si>
    <t>pilot 1:</t>
  </si>
  <si>
    <t>pilot 2:</t>
  </si>
  <si>
    <t>co-ordinator:</t>
  </si>
  <si>
    <t>observer 1L:</t>
  </si>
  <si>
    <t>observer 1R:</t>
  </si>
  <si>
    <t>observer 2L:</t>
  </si>
  <si>
    <t>observer 2R:</t>
  </si>
  <si>
    <t>observer 3L:</t>
  </si>
  <si>
    <t>observer 3R:</t>
  </si>
  <si>
    <t>name:</t>
  </si>
  <si>
    <t>position:</t>
  </si>
  <si>
    <t>[hh:mm]</t>
  </si>
  <si>
    <t>F. used</t>
  </si>
  <si>
    <t>Jari</t>
  </si>
  <si>
    <t>Martin</t>
  </si>
  <si>
    <t>Wessel</t>
  </si>
  <si>
    <t>Simon</t>
  </si>
  <si>
    <t>Niek</t>
  </si>
  <si>
    <t>Julian</t>
  </si>
  <si>
    <t>Marta</t>
  </si>
  <si>
    <t>Chipke</t>
  </si>
  <si>
    <t>Hans</t>
  </si>
  <si>
    <t>3R</t>
  </si>
  <si>
    <t>FRONT</t>
  </si>
  <si>
    <t>Post-Flight Data Sheet AE3202 - Metric</t>
  </si>
  <si>
    <t>data of flight:</t>
  </si>
  <si>
    <t>flight number</t>
  </si>
  <si>
    <t>V3</t>
  </si>
  <si>
    <t>co-ordinator</t>
  </si>
  <si>
    <t>block fuel [kg]:</t>
  </si>
  <si>
    <t>Stationary measurments CL-CD Series 1</t>
  </si>
  <si>
    <t>Clean</t>
  </si>
  <si>
    <t>[m]</t>
  </si>
  <si>
    <t>[m/s]</t>
  </si>
  <si>
    <t>[kg/hr]</t>
  </si>
  <si>
    <t>[kg]</t>
  </si>
  <si>
    <t>position</t>
  </si>
  <si>
    <t>5 3 20</t>
  </si>
  <si>
    <t>S</t>
  </si>
  <si>
    <t>c</t>
  </si>
  <si>
    <t>b</t>
  </si>
  <si>
    <t>A</t>
  </si>
  <si>
    <t>OEW [kg]:</t>
  </si>
  <si>
    <t>pax W [kg]:</t>
  </si>
  <si>
    <t>lbs-kg</t>
  </si>
  <si>
    <t>TAKE-OFF WEIGHT</t>
  </si>
  <si>
    <t>Substract fuel [kg]</t>
  </si>
  <si>
    <t>M</t>
  </si>
  <si>
    <t xml:space="preserve">Weight </t>
  </si>
  <si>
    <t>T</t>
  </si>
  <si>
    <t>CAS</t>
  </si>
  <si>
    <t>p</t>
  </si>
  <si>
    <t>[Pa]</t>
  </si>
  <si>
    <t>TAS</t>
  </si>
  <si>
    <t>[K]</t>
  </si>
  <si>
    <t>Ts</t>
  </si>
  <si>
    <t>EAS</t>
  </si>
  <si>
    <t>T_ISA</t>
  </si>
  <si>
    <t>delta T</t>
  </si>
  <si>
    <t>delta Ttemp</t>
  </si>
  <si>
    <t>T (from Thrust.exe)</t>
  </si>
  <si>
    <r>
      <t>C</t>
    </r>
    <r>
      <rPr>
        <vertAlign val="subscript"/>
        <sz val="11"/>
        <color theme="1"/>
        <rFont val="Calibri"/>
        <family val="2"/>
        <scheme val="minor"/>
      </rPr>
      <t>L</t>
    </r>
    <r>
      <rPr>
        <vertAlign val="superscript"/>
        <sz val="11"/>
        <color theme="1"/>
        <rFont val="Calibri"/>
        <family val="2"/>
        <scheme val="minor"/>
      </rPr>
      <t>2</t>
    </r>
  </si>
  <si>
    <r>
      <t>C</t>
    </r>
    <r>
      <rPr>
        <vertAlign val="subscript"/>
        <sz val="11"/>
        <color theme="1"/>
        <rFont val="Calibri"/>
        <family val="2"/>
        <scheme val="minor"/>
      </rPr>
      <t>L</t>
    </r>
  </si>
  <si>
    <r>
      <t>C</t>
    </r>
    <r>
      <rPr>
        <vertAlign val="subscript"/>
        <sz val="11"/>
        <color theme="1"/>
        <rFont val="Calibri"/>
        <family val="2"/>
        <scheme val="minor"/>
      </rPr>
      <t>D</t>
    </r>
  </si>
  <si>
    <t>α</t>
  </si>
  <si>
    <r>
      <t>C</t>
    </r>
    <r>
      <rPr>
        <vertAlign val="subscript"/>
        <sz val="11"/>
        <color theme="1"/>
        <rFont val="Calibri"/>
        <family val="2"/>
        <scheme val="minor"/>
      </rPr>
      <t>L</t>
    </r>
    <r>
      <rPr>
        <sz val="11"/>
        <color theme="1"/>
        <rFont val="Calibri"/>
        <family val="2"/>
        <scheme val="minor"/>
      </rPr>
      <t xml:space="preserve"> sorted</t>
    </r>
  </si>
  <si>
    <r>
      <t>C</t>
    </r>
    <r>
      <rPr>
        <vertAlign val="subscript"/>
        <sz val="11"/>
        <color theme="1"/>
        <rFont val="Calibri"/>
        <family val="2"/>
        <scheme val="minor"/>
      </rPr>
      <t>D</t>
    </r>
    <r>
      <rPr>
        <sz val="11"/>
        <color theme="1"/>
        <rFont val="Calibri"/>
        <family val="2"/>
        <scheme val="minor"/>
      </rPr>
      <t xml:space="preserve"> sorted</t>
    </r>
  </si>
  <si>
    <r>
      <rPr>
        <sz val="11"/>
        <color theme="1"/>
        <rFont val="Calibri"/>
        <family val="2"/>
      </rPr>
      <t>α</t>
    </r>
    <r>
      <rPr>
        <sz val="11"/>
        <color theme="1"/>
        <rFont val="Calibri"/>
        <family val="2"/>
        <scheme val="minor"/>
      </rPr>
      <t xml:space="preserve"> sorted</t>
    </r>
  </si>
  <si>
    <r>
      <t>C</t>
    </r>
    <r>
      <rPr>
        <vertAlign val="subscript"/>
        <sz val="11"/>
        <color theme="1"/>
        <rFont val="Calibri"/>
        <family val="2"/>
        <scheme val="minor"/>
      </rPr>
      <t>D0</t>
    </r>
  </si>
  <si>
    <t>From graph</t>
  </si>
  <si>
    <r>
      <t>e</t>
    </r>
    <r>
      <rPr>
        <vertAlign val="subscript"/>
        <sz val="11"/>
        <color theme="1"/>
        <rFont val="Calibri"/>
        <family val="2"/>
        <scheme val="minor"/>
      </rPr>
      <t>0</t>
    </r>
  </si>
  <si>
    <t>REAS</t>
  </si>
  <si>
    <t>Ws</t>
  </si>
  <si>
    <t>Tc</t>
  </si>
  <si>
    <t>[-]</t>
  </si>
  <si>
    <t>d</t>
  </si>
  <si>
    <t>Tcs</t>
  </si>
  <si>
    <t>Cmd</t>
  </si>
  <si>
    <t>CmTc</t>
  </si>
  <si>
    <t>de_eq*</t>
  </si>
  <si>
    <t>Fe*</t>
  </si>
  <si>
    <r>
      <t>C</t>
    </r>
    <r>
      <rPr>
        <vertAlign val="subscript"/>
        <sz val="11"/>
        <color theme="1"/>
        <rFont val="Calibri"/>
        <family val="2"/>
        <scheme val="minor"/>
      </rPr>
      <t>N</t>
    </r>
  </si>
  <si>
    <t>x_cg</t>
  </si>
  <si>
    <t>Determining the elevator effectiveness, Cmd</t>
  </si>
  <si>
    <t>x_cg1</t>
  </si>
  <si>
    <t>x_cg2</t>
  </si>
  <si>
    <t>dx_cg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</si>
</sst>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h:mm;@"/>
    <numFmt numFmtId="165" formatCode="[$-F400]h:mm:ss\ AM/PM"/>
    <numFmt numFmtId="166" formatCode="0.0"/>
    <numFmt numFmtId="167" formatCode="0.000"/>
    <numFmt numFmtId="168" formatCode="0.0000"/>
    <numFmt numFmtId="169" formatCode="0.00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4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0" xfId="0" applyFont="1"/>
    <xf numFmtId="0" fontId="0" fillId="0" borderId="0" xfId="0" applyProtection="1">
      <protection locked="0"/>
    </xf>
    <xf numFmtId="20" fontId="0" fillId="0" borderId="0" xfId="0" applyNumberFormat="1" applyProtection="1">
      <protection locked="0"/>
    </xf>
    <xf numFmtId="164" fontId="0" fillId="0" borderId="0" xfId="0" applyNumberFormat="1" applyProtection="1">
      <protection locked="0"/>
    </xf>
    <xf numFmtId="0" fontId="0" fillId="0" borderId="0" xfId="0" applyAlignment="1">
      <alignment horizontal="center"/>
    </xf>
    <xf numFmtId="46" fontId="0" fillId="0" borderId="0" xfId="0" applyNumberFormat="1" applyProtection="1">
      <protection locked="0"/>
    </xf>
    <xf numFmtId="14" fontId="0" fillId="0" borderId="0" xfId="0" applyNumberFormat="1"/>
    <xf numFmtId="20" fontId="0" fillId="0" borderId="0" xfId="0" applyNumberFormat="1"/>
    <xf numFmtId="2" fontId="0" fillId="0" borderId="0" xfId="0" applyNumberFormat="1"/>
    <xf numFmtId="2" fontId="2" fillId="0" borderId="0" xfId="0" applyNumberFormat="1" applyFont="1"/>
    <xf numFmtId="165" fontId="0" fillId="0" borderId="0" xfId="0" applyNumberFormat="1"/>
    <xf numFmtId="1" fontId="0" fillId="0" borderId="0" xfId="0" applyNumberFormat="1"/>
    <xf numFmtId="166" fontId="0" fillId="0" borderId="0" xfId="0" applyNumberFormat="1"/>
    <xf numFmtId="0" fontId="0" fillId="0" borderId="0" xfId="0" quotePrefix="1" applyProtection="1">
      <protection locked="0"/>
    </xf>
    <xf numFmtId="0" fontId="0" fillId="0" borderId="0" xfId="0" applyFill="1"/>
    <xf numFmtId="0" fontId="0" fillId="2" borderId="0" xfId="0" applyFill="1"/>
    <xf numFmtId="0" fontId="0" fillId="2" borderId="1" xfId="0" applyFill="1" applyBorder="1"/>
    <xf numFmtId="1" fontId="0" fillId="2" borderId="0" xfId="0" applyNumberFormat="1" applyFill="1"/>
    <xf numFmtId="0" fontId="0" fillId="3" borderId="0" xfId="0" applyFill="1"/>
    <xf numFmtId="1" fontId="1" fillId="2" borderId="0" xfId="0" applyNumberFormat="1" applyFont="1" applyFill="1"/>
    <xf numFmtId="0" fontId="0" fillId="2" borderId="2" xfId="0" applyFill="1" applyBorder="1"/>
    <xf numFmtId="0" fontId="0" fillId="2" borderId="3" xfId="0" applyFill="1" applyBorder="1"/>
    <xf numFmtId="0" fontId="1" fillId="2" borderId="2" xfId="0" applyFont="1" applyFill="1" applyBorder="1"/>
    <xf numFmtId="1" fontId="0" fillId="4" borderId="1" xfId="0" applyNumberFormat="1" applyFill="1" applyBorder="1"/>
    <xf numFmtId="0" fontId="0" fillId="5" borderId="0" xfId="0" applyFill="1"/>
    <xf numFmtId="167" fontId="4" fillId="3" borderId="0" xfId="0" applyNumberFormat="1" applyFont="1" applyFill="1"/>
    <xf numFmtId="167" fontId="0" fillId="3" borderId="0" xfId="0" applyNumberFormat="1" applyFill="1"/>
    <xf numFmtId="2" fontId="0" fillId="3" borderId="0" xfId="0" applyNumberFormat="1" applyFill="1"/>
    <xf numFmtId="1" fontId="1" fillId="4" borderId="3" xfId="0" applyNumberFormat="1" applyFont="1" applyFill="1" applyBorder="1"/>
    <xf numFmtId="2" fontId="0" fillId="2" borderId="0" xfId="0" applyNumberFormat="1" applyFill="1"/>
    <xf numFmtId="0" fontId="0" fillId="4" borderId="1" xfId="0" applyFill="1" applyBorder="1"/>
    <xf numFmtId="0" fontId="5" fillId="0" borderId="0" xfId="0" applyFont="1"/>
    <xf numFmtId="167" fontId="0" fillId="0" borderId="0" xfId="0" applyNumberFormat="1"/>
    <xf numFmtId="168" fontId="0" fillId="0" borderId="0" xfId="0" applyNumberFormat="1" applyFill="1"/>
    <xf numFmtId="166" fontId="0" fillId="3" borderId="0" xfId="0" applyNumberFormat="1" applyFill="1"/>
    <xf numFmtId="0" fontId="8" fillId="5" borderId="0" xfId="0" applyFont="1" applyFill="1"/>
    <xf numFmtId="2" fontId="4" fillId="0" borderId="0" xfId="0" applyNumberFormat="1" applyFont="1"/>
    <xf numFmtId="1" fontId="4" fillId="3" borderId="0" xfId="0" applyNumberFormat="1" applyFont="1" applyFill="1"/>
    <xf numFmtId="167" fontId="4" fillId="7" borderId="0" xfId="0" applyNumberFormat="1" applyFont="1" applyFill="1"/>
    <xf numFmtId="167" fontId="4" fillId="0" borderId="0" xfId="0" applyNumberFormat="1" applyFont="1" applyFill="1"/>
    <xf numFmtId="2" fontId="0" fillId="0" borderId="0" xfId="0" applyNumberFormat="1" applyFill="1"/>
    <xf numFmtId="0" fontId="0" fillId="5" borderId="1" xfId="0" applyFill="1" applyBorder="1"/>
    <xf numFmtId="0" fontId="8" fillId="5" borderId="1" xfId="0" applyFont="1" applyFill="1" applyBorder="1"/>
    <xf numFmtId="0" fontId="0" fillId="6" borderId="1" xfId="0" applyFill="1" applyBorder="1"/>
    <xf numFmtId="166" fontId="0" fillId="0" borderId="0" xfId="0" applyNumberFormat="1" applyFill="1"/>
    <xf numFmtId="167" fontId="4" fillId="8" borderId="0" xfId="0" applyNumberFormat="1" applyFont="1" applyFill="1"/>
    <xf numFmtId="0" fontId="0" fillId="9" borderId="1" xfId="0" applyFill="1" applyBorder="1"/>
    <xf numFmtId="0" fontId="9" fillId="10" borderId="0" xfId="0" applyFont="1" applyFill="1"/>
    <xf numFmtId="0" fontId="0" fillId="10" borderId="0" xfId="0" applyFill="1"/>
    <xf numFmtId="0" fontId="0" fillId="11" borderId="0" xfId="0" applyFill="1"/>
    <xf numFmtId="169" fontId="0" fillId="11" borderId="0" xfId="0" applyNumberFormat="1" applyFill="1"/>
  </cellXfs>
  <cellStyles count="1">
    <cellStyle name="Normal" xfId="0" builtinId="0"/>
  </cellStyles>
  <dxfs count="17"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CL - CD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'Metric Units'!$AK$28:$AK$33</c:f>
              <c:numCache>
                <c:formatCode>0.000</c:formatCode>
                <c:ptCount val="6"/>
                <c:pt idx="0">
                  <c:v>2.5622950860809738E-2</c:v>
                </c:pt>
                <c:pt idx="1">
                  <c:v>2.6618474259435056E-2</c:v>
                </c:pt>
                <c:pt idx="2">
                  <c:v>3.0569968561275404E-2</c:v>
                </c:pt>
                <c:pt idx="3">
                  <c:v>3.5075521279669161E-2</c:v>
                </c:pt>
                <c:pt idx="4">
                  <c:v>4.7899467507162341E-2</c:v>
                </c:pt>
                <c:pt idx="5">
                  <c:v>6.1560481291906714E-2</c:v>
                </c:pt>
              </c:numCache>
            </c:numRef>
          </c:xVal>
          <c:yVal>
            <c:numRef>
              <c:f>'Metric Units'!$AJ$28:$AJ$33</c:f>
              <c:numCache>
                <c:formatCode>0.000</c:formatCode>
                <c:ptCount val="6"/>
                <c:pt idx="0">
                  <c:v>0.23297031533557547</c:v>
                </c:pt>
                <c:pt idx="1">
                  <c:v>0.2926664204145073</c:v>
                </c:pt>
                <c:pt idx="2">
                  <c:v>0.40396750068752335</c:v>
                </c:pt>
                <c:pt idx="3">
                  <c:v>0.55816044999566483</c:v>
                </c:pt>
                <c:pt idx="4">
                  <c:v>0.77482248224934502</c:v>
                </c:pt>
                <c:pt idx="5">
                  <c:v>0.96310423186684524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39-4E87-BA35-9A1F20201B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222975"/>
        <c:axId val="661598095"/>
      </c:scatterChart>
      <c:valAx>
        <c:axId val="755222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defRPr>
                </a:pPr>
                <a:r>
                  <a:rPr lang="nl-NL" sz="1400" b="0" i="1" baseline="0">
                    <a:effectLst/>
                    <a:latin typeface="Cambria Math" panose="02040503050406030204" pitchFamily="18" charset="0"/>
                    <a:ea typeface="Cambria Math" panose="02040503050406030204" pitchFamily="18" charset="0"/>
                  </a:rPr>
                  <a:t>C</a:t>
                </a:r>
                <a:r>
                  <a:rPr lang="nl-NL" sz="1400" b="0" i="1" baseline="-25000">
                    <a:effectLst/>
                    <a:latin typeface="Cambria Math" panose="02040503050406030204" pitchFamily="18" charset="0"/>
                    <a:ea typeface="Cambria Math" panose="02040503050406030204" pitchFamily="18" charset="0"/>
                  </a:rPr>
                  <a:t>D</a:t>
                </a:r>
                <a:r>
                  <a:rPr lang="nl-NL" sz="1400" b="0" i="1" baseline="0">
                    <a:effectLst/>
                    <a:latin typeface="Cambria Math" panose="02040503050406030204" pitchFamily="18" charset="0"/>
                    <a:ea typeface="Cambria Math" panose="02040503050406030204" pitchFamily="18" charset="0"/>
                  </a:rPr>
                  <a:t> </a:t>
                </a:r>
                <a:r>
                  <a:rPr lang="nl-NL" sz="1400" b="0" i="0" baseline="0">
                    <a:effectLst/>
                    <a:latin typeface="Cambria Math" panose="02040503050406030204" pitchFamily="18" charset="0"/>
                    <a:ea typeface="Cambria Math" panose="02040503050406030204" pitchFamily="18" charset="0"/>
                  </a:rPr>
                  <a:t>[-]</a:t>
                </a:r>
                <a:endParaRPr lang="nl-NL" sz="1400">
                  <a:effectLst/>
                  <a:latin typeface="Cambria Math" panose="02040503050406030204" pitchFamily="18" charset="0"/>
                  <a:ea typeface="Cambria Math" panose="020405030504060302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defRPr>
              </a:pPr>
              <a:endParaRPr lang="nl-NL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61598095"/>
        <c:crosses val="autoZero"/>
        <c:crossBetween val="midCat"/>
      </c:valAx>
      <c:valAx>
        <c:axId val="661598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defRPr>
                </a:pPr>
                <a:r>
                  <a:rPr lang="nl-NL" sz="1400" i="1">
                    <a:latin typeface="Cambria Math" panose="02040503050406030204" pitchFamily="18" charset="0"/>
                    <a:ea typeface="Cambria Math" panose="02040503050406030204" pitchFamily="18" charset="0"/>
                  </a:rPr>
                  <a:t>C</a:t>
                </a:r>
                <a:r>
                  <a:rPr lang="nl-NL" sz="1400" i="1" baseline="-25000">
                    <a:latin typeface="Cambria Math" panose="02040503050406030204" pitchFamily="18" charset="0"/>
                    <a:ea typeface="Cambria Math" panose="02040503050406030204" pitchFamily="18" charset="0"/>
                  </a:rPr>
                  <a:t>L</a:t>
                </a:r>
                <a:r>
                  <a:rPr lang="nl-NL" sz="1400" i="1" baseline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 </a:t>
                </a:r>
                <a:r>
                  <a:rPr lang="nl-NL" sz="1400" i="0" baseline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[-]</a:t>
                </a:r>
                <a:endParaRPr lang="nl-NL" sz="1400" i="1">
                  <a:latin typeface="Cambria Math" panose="02040503050406030204" pitchFamily="18" charset="0"/>
                  <a:ea typeface="Cambria Math" panose="020405030504060302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defRPr>
              </a:pPr>
              <a:endParaRPr lang="nl-NL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55222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F_e* - V_REAS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'Metric Units'!$L$55:$L$61</c:f>
              <c:numCache>
                <c:formatCode>0.000</c:formatCode>
                <c:ptCount val="7"/>
                <c:pt idx="0">
                  <c:v>62.266246338452099</c:v>
                </c:pt>
                <c:pt idx="1">
                  <c:v>67.101877950805573</c:v>
                </c:pt>
                <c:pt idx="2">
                  <c:v>71.455011147191541</c:v>
                </c:pt>
                <c:pt idx="3">
                  <c:v>76.728218653285182</c:v>
                </c:pt>
                <c:pt idx="4">
                  <c:v>82.307997269263851</c:v>
                </c:pt>
                <c:pt idx="5">
                  <c:v>87.793907616332831</c:v>
                </c:pt>
                <c:pt idx="6">
                  <c:v>92.207051542855709</c:v>
                </c:pt>
              </c:numCache>
            </c:numRef>
          </c:xVal>
          <c:yVal>
            <c:numRef>
              <c:f>'Metric Units'!$N$55:$N$61</c:f>
              <c:numCache>
                <c:formatCode>0.000</c:formatCode>
                <c:ptCount val="7"/>
                <c:pt idx="0">
                  <c:v>-47.611468522407421</c:v>
                </c:pt>
                <c:pt idx="1">
                  <c:v>-37.074645478336727</c:v>
                </c:pt>
                <c:pt idx="2">
                  <c:v>-23.747539185121127</c:v>
                </c:pt>
                <c:pt idx="3">
                  <c:v>-0.94844419320330109</c:v>
                </c:pt>
                <c:pt idx="4">
                  <c:v>27.661133313611767</c:v>
                </c:pt>
                <c:pt idx="5">
                  <c:v>41.069511064533195</c:v>
                </c:pt>
                <c:pt idx="6">
                  <c:v>75.639206908179787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A2-4DC0-B6E4-DF69B9ABED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222975"/>
        <c:axId val="661598095"/>
      </c:scatterChart>
      <c:valAx>
        <c:axId val="755222975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defRPr>
                </a:pPr>
                <a:r>
                  <a:rPr lang="nl-NL" sz="1400" b="0" i="1" baseline="0">
                    <a:effectLst/>
                    <a:latin typeface="Cambria Math" panose="02040503050406030204" pitchFamily="18" charset="0"/>
                    <a:ea typeface="Cambria Math" panose="02040503050406030204" pitchFamily="18" charset="0"/>
                  </a:rPr>
                  <a:t>V</a:t>
                </a:r>
                <a:r>
                  <a:rPr lang="nl-NL" sz="1400" b="0" i="1" baseline="-25000">
                    <a:effectLst/>
                    <a:latin typeface="Cambria Math" panose="02040503050406030204" pitchFamily="18" charset="0"/>
                    <a:ea typeface="Cambria Math" panose="02040503050406030204" pitchFamily="18" charset="0"/>
                  </a:rPr>
                  <a:t>REAS</a:t>
                </a:r>
                <a:r>
                  <a:rPr lang="nl-NL" sz="1400" b="0" i="1" baseline="0">
                    <a:effectLst/>
                    <a:latin typeface="Cambria Math" panose="02040503050406030204" pitchFamily="18" charset="0"/>
                    <a:ea typeface="Cambria Math" panose="02040503050406030204" pitchFamily="18" charset="0"/>
                  </a:rPr>
                  <a:t> </a:t>
                </a:r>
                <a:r>
                  <a:rPr lang="nl-NL" sz="1400" b="0" i="0" baseline="0">
                    <a:effectLst/>
                    <a:latin typeface="Cambria Math" panose="02040503050406030204" pitchFamily="18" charset="0"/>
                    <a:ea typeface="Cambria Math" panose="02040503050406030204" pitchFamily="18" charset="0"/>
                  </a:rPr>
                  <a:t>[m/s]</a:t>
                </a:r>
                <a:endParaRPr lang="nl-NL" sz="1400">
                  <a:effectLst/>
                  <a:latin typeface="Cambria Math" panose="02040503050406030204" pitchFamily="18" charset="0"/>
                  <a:ea typeface="Cambria Math" panose="020405030504060302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defRPr>
              </a:pPr>
              <a:endParaRPr lang="nl-NL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61598095"/>
        <c:crosses val="autoZero"/>
        <c:crossBetween val="midCat"/>
      </c:valAx>
      <c:valAx>
        <c:axId val="661598095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defRPr>
                </a:pPr>
                <a:r>
                  <a:rPr lang="en-GB" sz="1400" i="1">
                    <a:latin typeface="Cambria Math" panose="02040503050406030204" pitchFamily="18" charset="0"/>
                    <a:ea typeface="Cambria Math" panose="02040503050406030204" pitchFamily="18" charset="0"/>
                  </a:rPr>
                  <a:t>F</a:t>
                </a:r>
                <a:r>
                  <a:rPr lang="nl-NL" sz="1400" i="1" baseline="-25000">
                    <a:latin typeface="Cambria Math" panose="02040503050406030204" pitchFamily="18" charset="0"/>
                    <a:ea typeface="Cambria Math" panose="02040503050406030204" pitchFamily="18" charset="0"/>
                  </a:rPr>
                  <a:t>e</a:t>
                </a:r>
                <a:r>
                  <a:rPr lang="nl-NL" sz="1400" i="1" baseline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* </a:t>
                </a:r>
                <a:r>
                  <a:rPr lang="nl-NL" sz="1400" i="0" baseline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[-]</a:t>
                </a:r>
                <a:endParaRPr lang="nl-NL" sz="1400" i="1">
                  <a:latin typeface="Cambria Math" panose="02040503050406030204" pitchFamily="18" charset="0"/>
                  <a:ea typeface="Cambria Math" panose="020405030504060302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defRPr>
              </a:pPr>
              <a:endParaRPr lang="nl-NL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55222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CL - alpha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NL"/>
                </a:p>
              </c:txPr>
            </c:trendlineLbl>
          </c:trendline>
          <c:xVal>
            <c:numRef>
              <c:f>'Metric Units'!$I$28:$I$33</c:f>
              <c:numCache>
                <c:formatCode>0.00</c:formatCode>
                <c:ptCount val="6"/>
                <c:pt idx="0">
                  <c:v>1.8</c:v>
                </c:pt>
                <c:pt idx="1">
                  <c:v>2.5</c:v>
                </c:pt>
                <c:pt idx="2">
                  <c:v>3.9</c:v>
                </c:pt>
                <c:pt idx="3">
                  <c:v>5.7</c:v>
                </c:pt>
                <c:pt idx="4">
                  <c:v>8.1999999999999993</c:v>
                </c:pt>
                <c:pt idx="5">
                  <c:v>10.3</c:v>
                </c:pt>
              </c:numCache>
            </c:numRef>
          </c:xVal>
          <c:yVal>
            <c:numRef>
              <c:f>'Metric Units'!$AJ$28:$AJ$33</c:f>
              <c:numCache>
                <c:formatCode>0.000</c:formatCode>
                <c:ptCount val="6"/>
                <c:pt idx="0">
                  <c:v>0.23297031533557547</c:v>
                </c:pt>
                <c:pt idx="1">
                  <c:v>0.2926664204145073</c:v>
                </c:pt>
                <c:pt idx="2">
                  <c:v>0.40396750068752335</c:v>
                </c:pt>
                <c:pt idx="3">
                  <c:v>0.55816044999566483</c:v>
                </c:pt>
                <c:pt idx="4">
                  <c:v>0.77482248224934502</c:v>
                </c:pt>
                <c:pt idx="5">
                  <c:v>0.96310423186684524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11-4DC7-9247-01349E584C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222975"/>
        <c:axId val="661598095"/>
      </c:scatterChart>
      <c:valAx>
        <c:axId val="755222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defRPr>
                </a:pPr>
                <a:r>
                  <a:rPr lang="el-GR" sz="1400" i="1">
                    <a:latin typeface="Cambria Math" panose="02040503050406030204" pitchFamily="18" charset="0"/>
                    <a:ea typeface="Cambria Math" panose="02040503050406030204" pitchFamily="18" charset="0"/>
                  </a:rPr>
                  <a:t>α</a:t>
                </a:r>
                <a:r>
                  <a:rPr lang="en-GB" sz="1400">
                    <a:latin typeface="Cambria Math" panose="02040503050406030204" pitchFamily="18" charset="0"/>
                    <a:ea typeface="Cambria Math" panose="02040503050406030204" pitchFamily="18" charset="0"/>
                  </a:rPr>
                  <a:t> [°]</a:t>
                </a:r>
                <a:endParaRPr lang="nl-NL" sz="1400">
                  <a:latin typeface="Cambria Math" panose="02040503050406030204" pitchFamily="18" charset="0"/>
                  <a:ea typeface="Cambria Math" panose="020405030504060302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defRPr>
              </a:pPr>
              <a:endParaRPr lang="nl-N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61598095"/>
        <c:crosses val="autoZero"/>
        <c:crossBetween val="midCat"/>
      </c:valAx>
      <c:valAx>
        <c:axId val="661598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defRPr>
                </a:pPr>
                <a:r>
                  <a:rPr lang="nl-NL" sz="1400" i="1">
                    <a:latin typeface="Cambria Math" panose="02040503050406030204" pitchFamily="18" charset="0"/>
                    <a:ea typeface="Cambria Math" panose="02040503050406030204" pitchFamily="18" charset="0"/>
                  </a:rPr>
                  <a:t>C</a:t>
                </a:r>
                <a:r>
                  <a:rPr lang="nl-NL" sz="1400" i="1" baseline="-25000">
                    <a:latin typeface="Cambria Math" panose="02040503050406030204" pitchFamily="18" charset="0"/>
                    <a:ea typeface="Cambria Math" panose="02040503050406030204" pitchFamily="18" charset="0"/>
                  </a:rPr>
                  <a:t>L</a:t>
                </a:r>
                <a:r>
                  <a:rPr lang="nl-NL" sz="1400" i="1" baseline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 </a:t>
                </a:r>
                <a:r>
                  <a:rPr lang="nl-NL" sz="1400" i="0" baseline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[-]</a:t>
                </a:r>
                <a:endParaRPr lang="nl-NL" sz="1400" i="1">
                  <a:latin typeface="Cambria Math" panose="02040503050406030204" pitchFamily="18" charset="0"/>
                  <a:ea typeface="Cambria Math" panose="020405030504060302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defRPr>
              </a:pPr>
              <a:endParaRPr lang="nl-NL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55222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CL - alpha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[1]Sheet1!$F$28:$F$33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'Metric Units'!$AK$28:$AK$33</c:f>
              <c:numCache>
                <c:formatCode>0.000</c:formatCode>
                <c:ptCount val="6"/>
                <c:pt idx="0">
                  <c:v>2.5622950860809738E-2</c:v>
                </c:pt>
                <c:pt idx="1">
                  <c:v>2.6618474259435056E-2</c:v>
                </c:pt>
                <c:pt idx="2">
                  <c:v>3.0569968561275404E-2</c:v>
                </c:pt>
                <c:pt idx="3">
                  <c:v>3.5075521279669161E-2</c:v>
                </c:pt>
                <c:pt idx="4">
                  <c:v>4.7899467507162341E-2</c:v>
                </c:pt>
                <c:pt idx="5">
                  <c:v>6.1560481291906714E-2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FE-46A1-A5FA-36B654C315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222975"/>
        <c:axId val="661598095"/>
      </c:scatterChart>
      <c:valAx>
        <c:axId val="755222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defRPr>
                </a:pPr>
                <a:r>
                  <a:rPr lang="el-GR" sz="1400" i="1">
                    <a:latin typeface="Cambria Math" panose="02040503050406030204" pitchFamily="18" charset="0"/>
                    <a:ea typeface="Cambria Math" panose="02040503050406030204" pitchFamily="18" charset="0"/>
                  </a:rPr>
                  <a:t>α</a:t>
                </a:r>
                <a:r>
                  <a:rPr lang="en-GB" sz="1400">
                    <a:latin typeface="Cambria Math" panose="02040503050406030204" pitchFamily="18" charset="0"/>
                    <a:ea typeface="Cambria Math" panose="02040503050406030204" pitchFamily="18" charset="0"/>
                  </a:rPr>
                  <a:t> [°]</a:t>
                </a:r>
                <a:endParaRPr lang="nl-NL" sz="1400">
                  <a:latin typeface="Cambria Math" panose="02040503050406030204" pitchFamily="18" charset="0"/>
                  <a:ea typeface="Cambria Math" panose="020405030504060302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61598095"/>
        <c:crosses val="autoZero"/>
        <c:crossBetween val="midCat"/>
      </c:valAx>
      <c:valAx>
        <c:axId val="661598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defRPr>
                </a:pPr>
                <a:r>
                  <a:rPr lang="nl-NL" sz="1400" i="1">
                    <a:latin typeface="Cambria Math" panose="02040503050406030204" pitchFamily="18" charset="0"/>
                    <a:ea typeface="Cambria Math" panose="02040503050406030204" pitchFamily="18" charset="0"/>
                  </a:rPr>
                  <a:t>C</a:t>
                </a:r>
                <a:r>
                  <a:rPr lang="nl-NL" sz="1400" i="1" baseline="-25000">
                    <a:latin typeface="Cambria Math" panose="02040503050406030204" pitchFamily="18" charset="0"/>
                    <a:ea typeface="Cambria Math" panose="02040503050406030204" pitchFamily="18" charset="0"/>
                  </a:rPr>
                  <a:t>D</a:t>
                </a:r>
                <a:r>
                  <a:rPr lang="nl-NL" sz="1400" i="0" baseline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[-]</a:t>
                </a:r>
                <a:endParaRPr lang="nl-NL" sz="1400" i="1">
                  <a:latin typeface="Cambria Math" panose="02040503050406030204" pitchFamily="18" charset="0"/>
                  <a:ea typeface="Cambria Math" panose="020405030504060302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defRPr>
              </a:pPr>
              <a:endParaRPr lang="nl-NL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55222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CL^2 - CD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backward val="1.0000000000000002E-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NL"/>
                </a:p>
              </c:txPr>
            </c:trendlineLbl>
          </c:trendline>
          <c:xVal>
            <c:numRef>
              <c:f>'Metric Units'!$AK$28:$AK$33</c:f>
              <c:numCache>
                <c:formatCode>0.000</c:formatCode>
                <c:ptCount val="6"/>
                <c:pt idx="0">
                  <c:v>2.5622950860809738E-2</c:v>
                </c:pt>
                <c:pt idx="1">
                  <c:v>2.6618474259435056E-2</c:v>
                </c:pt>
                <c:pt idx="2">
                  <c:v>3.0569968561275404E-2</c:v>
                </c:pt>
                <c:pt idx="3">
                  <c:v>3.5075521279669161E-2</c:v>
                </c:pt>
                <c:pt idx="4">
                  <c:v>4.7899467507162341E-2</c:v>
                </c:pt>
                <c:pt idx="5">
                  <c:v>6.1560481291906714E-2</c:v>
                </c:pt>
              </c:numCache>
            </c:numRef>
          </c:xVal>
          <c:yVal>
            <c:numRef>
              <c:f>'Metric Units'!$AM$28:$AM$33</c:f>
              <c:numCache>
                <c:formatCode>0.000</c:formatCode>
                <c:ptCount val="6"/>
                <c:pt idx="0">
                  <c:v>5.4275167827557473E-2</c:v>
                </c:pt>
                <c:pt idx="1">
                  <c:v>8.5653633638241133E-2</c:v>
                </c:pt>
                <c:pt idx="2">
                  <c:v>0.16318974161172417</c:v>
                </c:pt>
                <c:pt idx="3">
                  <c:v>0.31154308793936308</c:v>
                </c:pt>
                <c:pt idx="4">
                  <c:v>0.60034987899903658</c:v>
                </c:pt>
                <c:pt idx="5">
                  <c:v>0.92756976143982595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EB-44A5-B46A-BB6112C3B1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222975"/>
        <c:axId val="661598095"/>
      </c:scatterChart>
      <c:valAx>
        <c:axId val="755222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defRPr>
                </a:pPr>
                <a:r>
                  <a:rPr lang="nl-NL" sz="1400" b="0" i="1" baseline="0">
                    <a:effectLst/>
                    <a:latin typeface="Cambria Math" panose="02040503050406030204" pitchFamily="18" charset="0"/>
                    <a:ea typeface="Cambria Math" panose="02040503050406030204" pitchFamily="18" charset="0"/>
                  </a:rPr>
                  <a:t>C</a:t>
                </a:r>
                <a:r>
                  <a:rPr lang="nl-NL" sz="1400" b="0" i="1" baseline="-25000">
                    <a:effectLst/>
                    <a:latin typeface="Cambria Math" panose="02040503050406030204" pitchFamily="18" charset="0"/>
                    <a:ea typeface="Cambria Math" panose="02040503050406030204" pitchFamily="18" charset="0"/>
                  </a:rPr>
                  <a:t>D</a:t>
                </a:r>
                <a:r>
                  <a:rPr lang="nl-NL" sz="1400" b="0" i="1" baseline="0">
                    <a:effectLst/>
                    <a:latin typeface="Cambria Math" panose="02040503050406030204" pitchFamily="18" charset="0"/>
                    <a:ea typeface="Cambria Math" panose="02040503050406030204" pitchFamily="18" charset="0"/>
                  </a:rPr>
                  <a:t> </a:t>
                </a:r>
                <a:r>
                  <a:rPr lang="nl-NL" sz="1400" b="0" i="0" baseline="0">
                    <a:effectLst/>
                    <a:latin typeface="Cambria Math" panose="02040503050406030204" pitchFamily="18" charset="0"/>
                    <a:ea typeface="Cambria Math" panose="02040503050406030204" pitchFamily="18" charset="0"/>
                  </a:rPr>
                  <a:t>[-]</a:t>
                </a:r>
                <a:endParaRPr lang="nl-NL" sz="1400">
                  <a:effectLst/>
                  <a:latin typeface="Cambria Math" panose="02040503050406030204" pitchFamily="18" charset="0"/>
                  <a:ea typeface="Cambria Math" panose="020405030504060302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defRPr>
              </a:pPr>
              <a:endParaRPr lang="nl-NL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61598095"/>
        <c:crosses val="autoZero"/>
        <c:crossBetween val="midCat"/>
      </c:valAx>
      <c:valAx>
        <c:axId val="661598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defRPr>
                </a:pPr>
                <a:r>
                  <a:rPr lang="nl-NL" sz="1400" i="1">
                    <a:latin typeface="Cambria Math" panose="02040503050406030204" pitchFamily="18" charset="0"/>
                    <a:ea typeface="Cambria Math" panose="02040503050406030204" pitchFamily="18" charset="0"/>
                  </a:rPr>
                  <a:t>C</a:t>
                </a:r>
                <a:r>
                  <a:rPr lang="nl-NL" sz="1400" i="1" baseline="-25000">
                    <a:latin typeface="Cambria Math" panose="02040503050406030204" pitchFamily="18" charset="0"/>
                    <a:ea typeface="Cambria Math" panose="02040503050406030204" pitchFamily="18" charset="0"/>
                  </a:rPr>
                  <a:t>L</a:t>
                </a:r>
                <a:r>
                  <a:rPr lang="nl-NL" sz="1400" i="1" baseline="30000">
                    <a:latin typeface="Cambria Math" panose="02040503050406030204" pitchFamily="18" charset="0"/>
                    <a:ea typeface="Cambria Math" panose="02040503050406030204" pitchFamily="18" charset="0"/>
                  </a:rPr>
                  <a:t>2</a:t>
                </a:r>
                <a:r>
                  <a:rPr lang="nl-NL" sz="1400" i="1" baseline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 </a:t>
                </a:r>
                <a:r>
                  <a:rPr lang="nl-NL" sz="1400" i="0" baseline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[-]</a:t>
                </a:r>
                <a:endParaRPr lang="nl-NL" sz="1400" i="1">
                  <a:latin typeface="Cambria Math" panose="02040503050406030204" pitchFamily="18" charset="0"/>
                  <a:ea typeface="Cambria Math" panose="020405030504060302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defRPr>
              </a:pPr>
              <a:endParaRPr lang="nl-NL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55222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CL - CD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'Metric Units'!$E$55:$E$61</c:f>
              <c:numCache>
                <c:formatCode>0.000</c:formatCode>
                <c:ptCount val="7"/>
                <c:pt idx="0">
                  <c:v>2.332695998475437E-2</c:v>
                </c:pt>
                <c:pt idx="1">
                  <c:v>2.5753591665663003E-2</c:v>
                </c:pt>
                <c:pt idx="2">
                  <c:v>2.9567378779607054E-2</c:v>
                </c:pt>
                <c:pt idx="3">
                  <c:v>3.4451415880983244E-2</c:v>
                </c:pt>
                <c:pt idx="4">
                  <c:v>4.0498336001998425E-2</c:v>
                </c:pt>
                <c:pt idx="5">
                  <c:v>4.6624576756713963E-2</c:v>
                </c:pt>
                <c:pt idx="6">
                  <c:v>5.5218158721281649E-2</c:v>
                </c:pt>
              </c:numCache>
            </c:numRef>
          </c:xVal>
          <c:yVal>
            <c:numRef>
              <c:f>'Metric Units'!$D$55:$D$61</c:f>
              <c:numCache>
                <c:formatCode>0.000</c:formatCode>
                <c:ptCount val="7"/>
                <c:pt idx="0">
                  <c:v>0.38723338090377868</c:v>
                </c:pt>
                <c:pt idx="1">
                  <c:v>0.42714202196542572</c:v>
                </c:pt>
                <c:pt idx="2">
                  <c:v>0.48597842484991205</c:v>
                </c:pt>
                <c:pt idx="3">
                  <c:v>0.55923047088683875</c:v>
                </c:pt>
                <c:pt idx="4">
                  <c:v>0.64481580733201926</c:v>
                </c:pt>
                <c:pt idx="5">
                  <c:v>0.73119246711242358</c:v>
                </c:pt>
                <c:pt idx="6">
                  <c:v>0.84917204201754848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7B-467A-880C-FA6A4D330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222975"/>
        <c:axId val="661598095"/>
      </c:scatterChart>
      <c:valAx>
        <c:axId val="755222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defRPr>
                </a:pPr>
                <a:r>
                  <a:rPr lang="nl-NL" sz="1400" b="0" i="1" baseline="0">
                    <a:effectLst/>
                    <a:latin typeface="Cambria Math" panose="02040503050406030204" pitchFamily="18" charset="0"/>
                    <a:ea typeface="Cambria Math" panose="02040503050406030204" pitchFamily="18" charset="0"/>
                  </a:rPr>
                  <a:t>C</a:t>
                </a:r>
                <a:r>
                  <a:rPr lang="nl-NL" sz="1400" b="0" i="1" baseline="-25000">
                    <a:effectLst/>
                    <a:latin typeface="Cambria Math" panose="02040503050406030204" pitchFamily="18" charset="0"/>
                    <a:ea typeface="Cambria Math" panose="02040503050406030204" pitchFamily="18" charset="0"/>
                  </a:rPr>
                  <a:t>D</a:t>
                </a:r>
                <a:r>
                  <a:rPr lang="nl-NL" sz="1400" b="0" i="1" baseline="0">
                    <a:effectLst/>
                    <a:latin typeface="Cambria Math" panose="02040503050406030204" pitchFamily="18" charset="0"/>
                    <a:ea typeface="Cambria Math" panose="02040503050406030204" pitchFamily="18" charset="0"/>
                  </a:rPr>
                  <a:t> </a:t>
                </a:r>
                <a:r>
                  <a:rPr lang="nl-NL" sz="1400" b="0" i="0" baseline="0">
                    <a:effectLst/>
                    <a:latin typeface="Cambria Math" panose="02040503050406030204" pitchFamily="18" charset="0"/>
                    <a:ea typeface="Cambria Math" panose="02040503050406030204" pitchFamily="18" charset="0"/>
                  </a:rPr>
                  <a:t>[-]</a:t>
                </a:r>
                <a:endParaRPr lang="nl-NL" sz="1400">
                  <a:effectLst/>
                  <a:latin typeface="Cambria Math" panose="02040503050406030204" pitchFamily="18" charset="0"/>
                  <a:ea typeface="Cambria Math" panose="020405030504060302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defRPr>
              </a:pPr>
              <a:endParaRPr lang="nl-NL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61598095"/>
        <c:crosses val="autoZero"/>
        <c:crossBetween val="midCat"/>
      </c:valAx>
      <c:valAx>
        <c:axId val="661598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defRPr>
                </a:pPr>
                <a:r>
                  <a:rPr lang="nl-NL" sz="1400" i="1">
                    <a:latin typeface="Cambria Math" panose="02040503050406030204" pitchFamily="18" charset="0"/>
                    <a:ea typeface="Cambria Math" panose="02040503050406030204" pitchFamily="18" charset="0"/>
                  </a:rPr>
                  <a:t>C</a:t>
                </a:r>
                <a:r>
                  <a:rPr lang="nl-NL" sz="1400" i="1" baseline="-25000">
                    <a:latin typeface="Cambria Math" panose="02040503050406030204" pitchFamily="18" charset="0"/>
                    <a:ea typeface="Cambria Math" panose="02040503050406030204" pitchFamily="18" charset="0"/>
                  </a:rPr>
                  <a:t>L</a:t>
                </a:r>
                <a:r>
                  <a:rPr lang="nl-NL" sz="1400" i="1" baseline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 </a:t>
                </a:r>
                <a:r>
                  <a:rPr lang="nl-NL" sz="1400" i="0" baseline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[-]</a:t>
                </a:r>
                <a:endParaRPr lang="nl-NL" sz="1400" i="1">
                  <a:latin typeface="Cambria Math" panose="02040503050406030204" pitchFamily="18" charset="0"/>
                  <a:ea typeface="Cambria Math" panose="020405030504060302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defRPr>
              </a:pPr>
              <a:endParaRPr lang="nl-NL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55222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CL - alpha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'Metric Units'!$F$55:$F$61</c:f>
              <c:numCache>
                <c:formatCode>0.000</c:formatCode>
                <c:ptCount val="7"/>
                <c:pt idx="0">
                  <c:v>3.6</c:v>
                </c:pt>
                <c:pt idx="1">
                  <c:v>4</c:v>
                </c:pt>
                <c:pt idx="2">
                  <c:v>4.8</c:v>
                </c:pt>
                <c:pt idx="3">
                  <c:v>5.5</c:v>
                </c:pt>
                <c:pt idx="4">
                  <c:v>6.5</c:v>
                </c:pt>
                <c:pt idx="5">
                  <c:v>7.5</c:v>
                </c:pt>
                <c:pt idx="6">
                  <c:v>9.1</c:v>
                </c:pt>
              </c:numCache>
            </c:numRef>
          </c:xVal>
          <c:yVal>
            <c:numRef>
              <c:f>'Metric Units'!$D$55:$D$61</c:f>
              <c:numCache>
                <c:formatCode>0.000</c:formatCode>
                <c:ptCount val="7"/>
                <c:pt idx="0">
                  <c:v>0.38723338090377868</c:v>
                </c:pt>
                <c:pt idx="1">
                  <c:v>0.42714202196542572</c:v>
                </c:pt>
                <c:pt idx="2">
                  <c:v>0.48597842484991205</c:v>
                </c:pt>
                <c:pt idx="3">
                  <c:v>0.55923047088683875</c:v>
                </c:pt>
                <c:pt idx="4">
                  <c:v>0.64481580733201926</c:v>
                </c:pt>
                <c:pt idx="5">
                  <c:v>0.73119246711242358</c:v>
                </c:pt>
                <c:pt idx="6">
                  <c:v>0.84917204201754848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F5-4FDB-B960-EC1BD21E96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222975"/>
        <c:axId val="661598095"/>
      </c:scatterChart>
      <c:valAx>
        <c:axId val="755222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defRPr>
                </a:pPr>
                <a:r>
                  <a:rPr lang="el-GR" sz="1400" i="1">
                    <a:latin typeface="Cambria Math" panose="02040503050406030204" pitchFamily="18" charset="0"/>
                    <a:ea typeface="Cambria Math" panose="02040503050406030204" pitchFamily="18" charset="0"/>
                  </a:rPr>
                  <a:t>α</a:t>
                </a:r>
                <a:r>
                  <a:rPr lang="en-GB" sz="1400">
                    <a:latin typeface="Cambria Math" panose="02040503050406030204" pitchFamily="18" charset="0"/>
                    <a:ea typeface="Cambria Math" panose="02040503050406030204" pitchFamily="18" charset="0"/>
                  </a:rPr>
                  <a:t> [°]</a:t>
                </a:r>
                <a:endParaRPr lang="nl-NL" sz="1400">
                  <a:latin typeface="Cambria Math" panose="02040503050406030204" pitchFamily="18" charset="0"/>
                  <a:ea typeface="Cambria Math" panose="020405030504060302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defRPr>
              </a:pPr>
              <a:endParaRPr lang="nl-NL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61598095"/>
        <c:crosses val="autoZero"/>
        <c:crossBetween val="midCat"/>
      </c:valAx>
      <c:valAx>
        <c:axId val="661598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defRPr>
                </a:pPr>
                <a:r>
                  <a:rPr lang="nl-NL" sz="1400" i="1">
                    <a:latin typeface="Cambria Math" panose="02040503050406030204" pitchFamily="18" charset="0"/>
                    <a:ea typeface="Cambria Math" panose="02040503050406030204" pitchFamily="18" charset="0"/>
                  </a:rPr>
                  <a:t>C</a:t>
                </a:r>
                <a:r>
                  <a:rPr lang="nl-NL" sz="1400" i="1" baseline="-25000">
                    <a:latin typeface="Cambria Math" panose="02040503050406030204" pitchFamily="18" charset="0"/>
                    <a:ea typeface="Cambria Math" panose="02040503050406030204" pitchFamily="18" charset="0"/>
                  </a:rPr>
                  <a:t>L</a:t>
                </a:r>
                <a:r>
                  <a:rPr lang="nl-NL" sz="1400" i="1" baseline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 </a:t>
                </a:r>
                <a:r>
                  <a:rPr lang="nl-NL" sz="1400" i="0" baseline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[-]</a:t>
                </a:r>
                <a:endParaRPr lang="nl-NL" sz="1400" i="1">
                  <a:latin typeface="Cambria Math" panose="02040503050406030204" pitchFamily="18" charset="0"/>
                  <a:ea typeface="Cambria Math" panose="020405030504060302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defRPr>
              </a:pPr>
              <a:endParaRPr lang="nl-NL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55222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CD - alpha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'Metric Units'!$F$55:$F$61</c:f>
              <c:numCache>
                <c:formatCode>0.000</c:formatCode>
                <c:ptCount val="7"/>
                <c:pt idx="0">
                  <c:v>3.6</c:v>
                </c:pt>
                <c:pt idx="1">
                  <c:v>4</c:v>
                </c:pt>
                <c:pt idx="2">
                  <c:v>4.8</c:v>
                </c:pt>
                <c:pt idx="3">
                  <c:v>5.5</c:v>
                </c:pt>
                <c:pt idx="4">
                  <c:v>6.5</c:v>
                </c:pt>
                <c:pt idx="5">
                  <c:v>7.5</c:v>
                </c:pt>
                <c:pt idx="6">
                  <c:v>9.1</c:v>
                </c:pt>
              </c:numCache>
            </c:numRef>
          </c:xVal>
          <c:yVal>
            <c:numRef>
              <c:f>'Metric Units'!$E$55:$E$61</c:f>
              <c:numCache>
                <c:formatCode>0.000</c:formatCode>
                <c:ptCount val="7"/>
                <c:pt idx="0">
                  <c:v>2.332695998475437E-2</c:v>
                </c:pt>
                <c:pt idx="1">
                  <c:v>2.5753591665663003E-2</c:v>
                </c:pt>
                <c:pt idx="2">
                  <c:v>2.9567378779607054E-2</c:v>
                </c:pt>
                <c:pt idx="3">
                  <c:v>3.4451415880983244E-2</c:v>
                </c:pt>
                <c:pt idx="4">
                  <c:v>4.0498336001998425E-2</c:v>
                </c:pt>
                <c:pt idx="5">
                  <c:v>4.6624576756713963E-2</c:v>
                </c:pt>
                <c:pt idx="6">
                  <c:v>5.5218158721281649E-2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DA-4766-8AAF-987F062F1D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222975"/>
        <c:axId val="661598095"/>
      </c:scatterChart>
      <c:valAx>
        <c:axId val="755222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defRPr>
                </a:pPr>
                <a:r>
                  <a:rPr lang="el-GR" sz="1400" i="1">
                    <a:latin typeface="Cambria Math" panose="02040503050406030204" pitchFamily="18" charset="0"/>
                    <a:ea typeface="Cambria Math" panose="02040503050406030204" pitchFamily="18" charset="0"/>
                  </a:rPr>
                  <a:t>α</a:t>
                </a:r>
                <a:r>
                  <a:rPr lang="en-GB" sz="1400">
                    <a:latin typeface="Cambria Math" panose="02040503050406030204" pitchFamily="18" charset="0"/>
                    <a:ea typeface="Cambria Math" panose="02040503050406030204" pitchFamily="18" charset="0"/>
                  </a:rPr>
                  <a:t> [°]</a:t>
                </a:r>
                <a:endParaRPr lang="nl-NL" sz="1400">
                  <a:latin typeface="Cambria Math" panose="02040503050406030204" pitchFamily="18" charset="0"/>
                  <a:ea typeface="Cambria Math" panose="020405030504060302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defRPr>
              </a:pPr>
              <a:endParaRPr lang="nl-NL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61598095"/>
        <c:crosses val="autoZero"/>
        <c:crossBetween val="midCat"/>
      </c:valAx>
      <c:valAx>
        <c:axId val="661598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defRPr>
                </a:pPr>
                <a:r>
                  <a:rPr lang="nl-NL" sz="1400" i="1">
                    <a:latin typeface="Cambria Math" panose="02040503050406030204" pitchFamily="18" charset="0"/>
                    <a:ea typeface="Cambria Math" panose="02040503050406030204" pitchFamily="18" charset="0"/>
                  </a:rPr>
                  <a:t>C</a:t>
                </a:r>
                <a:r>
                  <a:rPr lang="nl-NL" sz="1400" i="1" baseline="-25000">
                    <a:latin typeface="Cambria Math" panose="02040503050406030204" pitchFamily="18" charset="0"/>
                    <a:ea typeface="Cambria Math" panose="02040503050406030204" pitchFamily="18" charset="0"/>
                  </a:rPr>
                  <a:t>D</a:t>
                </a:r>
                <a:r>
                  <a:rPr lang="nl-NL" sz="1400" i="0" baseline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[-]</a:t>
                </a:r>
                <a:endParaRPr lang="nl-NL" sz="1400" i="1">
                  <a:latin typeface="Cambria Math" panose="02040503050406030204" pitchFamily="18" charset="0"/>
                  <a:ea typeface="Cambria Math" panose="020405030504060302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defRPr>
              </a:pPr>
              <a:endParaRPr lang="nl-NL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55222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CL^2 - CD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backward val="1.0000000000000002E-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NL"/>
                </a:p>
              </c:txPr>
            </c:trendlineLbl>
          </c:trendline>
          <c:xVal>
            <c:numRef>
              <c:f>'Metric Units'!$E$55:$E$61</c:f>
              <c:numCache>
                <c:formatCode>0.000</c:formatCode>
                <c:ptCount val="7"/>
                <c:pt idx="0">
                  <c:v>2.332695998475437E-2</c:v>
                </c:pt>
                <c:pt idx="1">
                  <c:v>2.5753591665663003E-2</c:v>
                </c:pt>
                <c:pt idx="2">
                  <c:v>2.9567378779607054E-2</c:v>
                </c:pt>
                <c:pt idx="3">
                  <c:v>3.4451415880983244E-2</c:v>
                </c:pt>
                <c:pt idx="4">
                  <c:v>4.0498336001998425E-2</c:v>
                </c:pt>
                <c:pt idx="5">
                  <c:v>4.6624576756713963E-2</c:v>
                </c:pt>
                <c:pt idx="6">
                  <c:v>5.5218158721281649E-2</c:v>
                </c:pt>
              </c:numCache>
            </c:numRef>
          </c:xVal>
          <c:yVal>
            <c:numRef>
              <c:f>'Metric Units'!$G$55:$G$61</c:f>
              <c:numCache>
                <c:formatCode>0.000</c:formatCode>
                <c:ptCount val="7"/>
                <c:pt idx="0">
                  <c:v>0.14994969128617094</c:v>
                </c:pt>
                <c:pt idx="1">
                  <c:v>0.18245030692871222</c:v>
                </c:pt>
                <c:pt idx="2">
                  <c:v>0.23617502941960161</c:v>
                </c:pt>
                <c:pt idx="3">
                  <c:v>0.31273871956831539</c:v>
                </c:pt>
                <c:pt idx="4">
                  <c:v>0.41578742538524377</c:v>
                </c:pt>
                <c:pt idx="5">
                  <c:v>0.53464242396195261</c:v>
                </c:pt>
                <c:pt idx="6">
                  <c:v>0.72109315694425313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07-45DE-8FD4-269F8E8643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222975"/>
        <c:axId val="661598095"/>
      </c:scatterChart>
      <c:valAx>
        <c:axId val="755222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defRPr>
                </a:pPr>
                <a:r>
                  <a:rPr lang="nl-NL" sz="1400" b="0" i="1" baseline="0">
                    <a:effectLst/>
                    <a:latin typeface="Cambria Math" panose="02040503050406030204" pitchFamily="18" charset="0"/>
                    <a:ea typeface="Cambria Math" panose="02040503050406030204" pitchFamily="18" charset="0"/>
                  </a:rPr>
                  <a:t>C</a:t>
                </a:r>
                <a:r>
                  <a:rPr lang="nl-NL" sz="1400" b="0" i="1" baseline="-25000">
                    <a:effectLst/>
                    <a:latin typeface="Cambria Math" panose="02040503050406030204" pitchFamily="18" charset="0"/>
                    <a:ea typeface="Cambria Math" panose="02040503050406030204" pitchFamily="18" charset="0"/>
                  </a:rPr>
                  <a:t>D</a:t>
                </a:r>
                <a:r>
                  <a:rPr lang="nl-NL" sz="1400" b="0" i="1" baseline="0">
                    <a:effectLst/>
                    <a:latin typeface="Cambria Math" panose="02040503050406030204" pitchFamily="18" charset="0"/>
                    <a:ea typeface="Cambria Math" panose="02040503050406030204" pitchFamily="18" charset="0"/>
                  </a:rPr>
                  <a:t> </a:t>
                </a:r>
                <a:r>
                  <a:rPr lang="nl-NL" sz="1400" b="0" i="0" baseline="0">
                    <a:effectLst/>
                    <a:latin typeface="Cambria Math" panose="02040503050406030204" pitchFamily="18" charset="0"/>
                    <a:ea typeface="Cambria Math" panose="02040503050406030204" pitchFamily="18" charset="0"/>
                  </a:rPr>
                  <a:t>[-]</a:t>
                </a:r>
                <a:endParaRPr lang="nl-NL" sz="1400">
                  <a:effectLst/>
                  <a:latin typeface="Cambria Math" panose="02040503050406030204" pitchFamily="18" charset="0"/>
                  <a:ea typeface="Cambria Math" panose="020405030504060302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defRPr>
              </a:pPr>
              <a:endParaRPr lang="nl-NL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61598095"/>
        <c:crosses val="autoZero"/>
        <c:crossBetween val="midCat"/>
      </c:valAx>
      <c:valAx>
        <c:axId val="661598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defRPr>
                </a:pPr>
                <a:r>
                  <a:rPr lang="nl-NL" sz="1400" i="1">
                    <a:latin typeface="Cambria Math" panose="02040503050406030204" pitchFamily="18" charset="0"/>
                    <a:ea typeface="Cambria Math" panose="02040503050406030204" pitchFamily="18" charset="0"/>
                  </a:rPr>
                  <a:t>C</a:t>
                </a:r>
                <a:r>
                  <a:rPr lang="nl-NL" sz="1400" i="1" baseline="-25000">
                    <a:latin typeface="Cambria Math" panose="02040503050406030204" pitchFamily="18" charset="0"/>
                    <a:ea typeface="Cambria Math" panose="02040503050406030204" pitchFamily="18" charset="0"/>
                  </a:rPr>
                  <a:t>L</a:t>
                </a:r>
                <a:r>
                  <a:rPr lang="nl-NL" sz="1400" i="1" baseline="30000">
                    <a:latin typeface="Cambria Math" panose="02040503050406030204" pitchFamily="18" charset="0"/>
                    <a:ea typeface="Cambria Math" panose="02040503050406030204" pitchFamily="18" charset="0"/>
                  </a:rPr>
                  <a:t>2</a:t>
                </a:r>
                <a:r>
                  <a:rPr lang="nl-NL" sz="1400" i="1" baseline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 </a:t>
                </a:r>
                <a:r>
                  <a:rPr lang="nl-NL" sz="1400" i="0" baseline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[-]</a:t>
                </a:r>
                <a:endParaRPr lang="nl-NL" sz="1400" i="1">
                  <a:latin typeface="Cambria Math" panose="02040503050406030204" pitchFamily="18" charset="0"/>
                  <a:ea typeface="Cambria Math" panose="020405030504060302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defRPr>
              </a:pPr>
              <a:endParaRPr lang="nl-NL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55222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d_e_eq* - V_REAS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'Metric Units'!$L$55:$L$61</c:f>
              <c:numCache>
                <c:formatCode>0.000</c:formatCode>
                <c:ptCount val="7"/>
                <c:pt idx="0">
                  <c:v>62.266246338452099</c:v>
                </c:pt>
                <c:pt idx="1">
                  <c:v>67.101877950805573</c:v>
                </c:pt>
                <c:pt idx="2">
                  <c:v>71.455011147191541</c:v>
                </c:pt>
                <c:pt idx="3">
                  <c:v>76.728218653285182</c:v>
                </c:pt>
                <c:pt idx="4">
                  <c:v>82.307997269263851</c:v>
                </c:pt>
                <c:pt idx="5">
                  <c:v>87.793907616332831</c:v>
                </c:pt>
                <c:pt idx="6">
                  <c:v>92.207051542855709</c:v>
                </c:pt>
              </c:numCache>
            </c:numRef>
          </c:xVal>
          <c:yVal>
            <c:numRef>
              <c:f>'Metric Units'!$J$55:$J$61</c:f>
              <c:numCache>
                <c:formatCode>0.000</c:formatCode>
                <c:ptCount val="7"/>
                <c:pt idx="0">
                  <c:v>-2.7429315546567603E-2</c:v>
                </c:pt>
                <c:pt idx="1">
                  <c:v>-1.6789888442079494E-2</c:v>
                </c:pt>
                <c:pt idx="2">
                  <c:v>-7.9301324828550315E-3</c:v>
                </c:pt>
                <c:pt idx="3">
                  <c:v>-2.5720698676369837E-3</c:v>
                </c:pt>
                <c:pt idx="4">
                  <c:v>4.6063746948431317E-3</c:v>
                </c:pt>
                <c:pt idx="5">
                  <c:v>9.9481922197796925E-3</c:v>
                </c:pt>
                <c:pt idx="6">
                  <c:v>1.5273195550805181E-2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82-41FE-800B-B89C1AE75A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222975"/>
        <c:axId val="661598095"/>
      </c:scatterChart>
      <c:valAx>
        <c:axId val="755222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defRPr>
                </a:pPr>
                <a:r>
                  <a:rPr lang="nl-NL" sz="1400" b="0" i="1" baseline="0">
                    <a:effectLst/>
                    <a:latin typeface="Cambria Math" panose="02040503050406030204" pitchFamily="18" charset="0"/>
                    <a:ea typeface="Cambria Math" panose="02040503050406030204" pitchFamily="18" charset="0"/>
                  </a:rPr>
                  <a:t>V</a:t>
                </a:r>
                <a:r>
                  <a:rPr lang="nl-NL" sz="1400" b="0" i="1" baseline="-25000">
                    <a:effectLst/>
                    <a:latin typeface="Cambria Math" panose="02040503050406030204" pitchFamily="18" charset="0"/>
                    <a:ea typeface="Cambria Math" panose="02040503050406030204" pitchFamily="18" charset="0"/>
                  </a:rPr>
                  <a:t>REAS</a:t>
                </a:r>
                <a:r>
                  <a:rPr lang="nl-NL" sz="1400" b="0" i="1" baseline="0">
                    <a:effectLst/>
                    <a:latin typeface="Cambria Math" panose="02040503050406030204" pitchFamily="18" charset="0"/>
                    <a:ea typeface="Cambria Math" panose="02040503050406030204" pitchFamily="18" charset="0"/>
                  </a:rPr>
                  <a:t> </a:t>
                </a:r>
                <a:r>
                  <a:rPr lang="nl-NL" sz="1400" b="0" i="0" baseline="0">
                    <a:effectLst/>
                    <a:latin typeface="Cambria Math" panose="02040503050406030204" pitchFamily="18" charset="0"/>
                    <a:ea typeface="Cambria Math" panose="02040503050406030204" pitchFamily="18" charset="0"/>
                  </a:rPr>
                  <a:t>[m/s]</a:t>
                </a:r>
                <a:endParaRPr lang="nl-NL" sz="1400">
                  <a:effectLst/>
                  <a:latin typeface="Cambria Math" panose="02040503050406030204" pitchFamily="18" charset="0"/>
                  <a:ea typeface="Cambria Math" panose="020405030504060302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defRPr>
              </a:pPr>
              <a:endParaRPr lang="nl-NL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61598095"/>
        <c:crosses val="autoZero"/>
        <c:crossBetween val="midCat"/>
      </c:valAx>
      <c:valAx>
        <c:axId val="661598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defRPr>
                </a:pPr>
                <a:r>
                  <a:rPr lang="el-GR" sz="1400" i="1">
                    <a:latin typeface="Cambria Math" panose="02040503050406030204" pitchFamily="18" charset="0"/>
                    <a:ea typeface="Cambria Math" panose="02040503050406030204" pitchFamily="18" charset="0"/>
                  </a:rPr>
                  <a:t>δ</a:t>
                </a:r>
                <a:r>
                  <a:rPr lang="nl-NL" sz="1400" i="1" baseline="-25000">
                    <a:latin typeface="Cambria Math" panose="02040503050406030204" pitchFamily="18" charset="0"/>
                    <a:ea typeface="Cambria Math" panose="02040503050406030204" pitchFamily="18" charset="0"/>
                  </a:rPr>
                  <a:t>e_eq</a:t>
                </a:r>
                <a:r>
                  <a:rPr lang="nl-NL" sz="1400" i="1" baseline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 </a:t>
                </a:r>
                <a:r>
                  <a:rPr lang="nl-NL" sz="1400" i="0" baseline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[-]</a:t>
                </a:r>
                <a:endParaRPr lang="nl-NL" sz="1400" i="1">
                  <a:latin typeface="Cambria Math" panose="02040503050406030204" pitchFamily="18" charset="0"/>
                  <a:ea typeface="Cambria Math" panose="020405030504060302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defRPr>
              </a:pPr>
              <a:endParaRPr lang="nl-NL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55222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464741</xdr:colOff>
      <xdr:row>5</xdr:row>
      <xdr:rowOff>44122</xdr:rowOff>
    </xdr:from>
    <xdr:to>
      <xdr:col>12</xdr:col>
      <xdr:colOff>400050</xdr:colOff>
      <xdr:row>22</xdr:row>
      <xdr:rowOff>138394</xdr:rowOff>
    </xdr:to>
    <xdr:pic>
      <xdr:nvPicPr>
        <xdr:cNvPr id="3" name="Picture 2" descr="CABIN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17566" y="996622"/>
          <a:ext cx="1802209" cy="33327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42</xdr:col>
      <xdr:colOff>0</xdr:colOff>
      <xdr:row>5</xdr:row>
      <xdr:rowOff>0</xdr:rowOff>
    </xdr:from>
    <xdr:to>
      <xdr:col>50</xdr:col>
      <xdr:colOff>271145</xdr:colOff>
      <xdr:row>26</xdr:row>
      <xdr:rowOff>99059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C3583B0-BD4D-4E44-BDBA-17B2A9AED9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51</xdr:col>
      <xdr:colOff>0</xdr:colOff>
      <xdr:row>5</xdr:row>
      <xdr:rowOff>0</xdr:rowOff>
    </xdr:from>
    <xdr:to>
      <xdr:col>57</xdr:col>
      <xdr:colOff>462375</xdr:colOff>
      <xdr:row>24</xdr:row>
      <xdr:rowOff>126233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EC8C164-D251-4F22-A88E-8FBD668ABE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60</xdr:col>
      <xdr:colOff>0</xdr:colOff>
      <xdr:row>5</xdr:row>
      <xdr:rowOff>0</xdr:rowOff>
    </xdr:from>
    <xdr:to>
      <xdr:col>66</xdr:col>
      <xdr:colOff>462375</xdr:colOff>
      <xdr:row>24</xdr:row>
      <xdr:rowOff>126233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98DCBAEF-95E7-430E-B63C-F0BDB80391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69</xdr:col>
      <xdr:colOff>0</xdr:colOff>
      <xdr:row>5</xdr:row>
      <xdr:rowOff>0</xdr:rowOff>
    </xdr:from>
    <xdr:to>
      <xdr:col>75</xdr:col>
      <xdr:colOff>462375</xdr:colOff>
      <xdr:row>24</xdr:row>
      <xdr:rowOff>126233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E8F27E5-18A3-483C-B704-0EC1F8CCA6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42</xdr:col>
      <xdr:colOff>0</xdr:colOff>
      <xdr:row>33</xdr:row>
      <xdr:rowOff>0</xdr:rowOff>
    </xdr:from>
    <xdr:to>
      <xdr:col>48</xdr:col>
      <xdr:colOff>462375</xdr:colOff>
      <xdr:row>53</xdr:row>
      <xdr:rowOff>64955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A085C478-3319-4554-9CC5-82CC8B444A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51</xdr:col>
      <xdr:colOff>0</xdr:colOff>
      <xdr:row>33</xdr:row>
      <xdr:rowOff>0</xdr:rowOff>
    </xdr:from>
    <xdr:to>
      <xdr:col>57</xdr:col>
      <xdr:colOff>462375</xdr:colOff>
      <xdr:row>53</xdr:row>
      <xdr:rowOff>64955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2C5CEBC4-2BE6-4A99-8A2A-746048DFDC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60</xdr:col>
      <xdr:colOff>0</xdr:colOff>
      <xdr:row>33</xdr:row>
      <xdr:rowOff>0</xdr:rowOff>
    </xdr:from>
    <xdr:to>
      <xdr:col>66</xdr:col>
      <xdr:colOff>462375</xdr:colOff>
      <xdr:row>53</xdr:row>
      <xdr:rowOff>64955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2F40829D-8403-4F6F-8F25-715C97C20B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69</xdr:col>
      <xdr:colOff>0</xdr:colOff>
      <xdr:row>33</xdr:row>
      <xdr:rowOff>0</xdr:rowOff>
    </xdr:from>
    <xdr:to>
      <xdr:col>75</xdr:col>
      <xdr:colOff>462375</xdr:colOff>
      <xdr:row>53</xdr:row>
      <xdr:rowOff>64955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BA51A4D5-317D-4196-BC40-F50D3D4215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42</xdr:col>
      <xdr:colOff>0</xdr:colOff>
      <xdr:row>56</xdr:row>
      <xdr:rowOff>0</xdr:rowOff>
    </xdr:from>
    <xdr:to>
      <xdr:col>48</xdr:col>
      <xdr:colOff>464915</xdr:colOff>
      <xdr:row>75</xdr:row>
      <xdr:rowOff>95435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438626F0-649D-474A-8670-85E73B77F9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51</xdr:col>
      <xdr:colOff>0</xdr:colOff>
      <xdr:row>56</xdr:row>
      <xdr:rowOff>0</xdr:rowOff>
    </xdr:from>
    <xdr:to>
      <xdr:col>57</xdr:col>
      <xdr:colOff>463645</xdr:colOff>
      <xdr:row>75</xdr:row>
      <xdr:rowOff>95435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CB7A311D-EC74-49D1-BA89-B33C6DCF10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200305_V3_metri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8">
          <cell r="F28" t="e">
            <v>#REF!</v>
          </cell>
        </row>
        <row r="29">
          <cell r="F29" t="e">
            <v>#REF!</v>
          </cell>
        </row>
        <row r="30">
          <cell r="F30" t="e">
            <v>#REF!</v>
          </cell>
        </row>
        <row r="31">
          <cell r="F31" t="e">
            <v>#REF!</v>
          </cell>
        </row>
        <row r="32">
          <cell r="F32" t="e">
            <v>#REF!</v>
          </cell>
        </row>
        <row r="33">
          <cell r="F33" t="e">
            <v>#REF!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4"/>
  <sheetViews>
    <sheetView topLeftCell="A45" workbookViewId="0">
      <selection activeCell="B75" sqref="B75"/>
    </sheetView>
  </sheetViews>
  <sheetFormatPr defaultRowHeight="14.4" x14ac:dyDescent="0.55000000000000004"/>
  <cols>
    <col min="1" max="1" width="3" customWidth="1"/>
    <col min="2" max="2" width="8.15625" customWidth="1"/>
    <col min="3" max="3" width="7" customWidth="1"/>
    <col min="4" max="4" width="7.15625" customWidth="1"/>
    <col min="5" max="13" width="7" customWidth="1"/>
  </cols>
  <sheetData>
    <row r="1" spans="1:8" x14ac:dyDescent="0.55000000000000004">
      <c r="A1" s="1" t="s">
        <v>0</v>
      </c>
    </row>
    <row r="3" spans="1:8" x14ac:dyDescent="0.55000000000000004">
      <c r="A3" t="s">
        <v>1</v>
      </c>
      <c r="D3" s="14" t="s">
        <v>84</v>
      </c>
      <c r="F3" t="s">
        <v>2</v>
      </c>
      <c r="H3" s="2"/>
    </row>
    <row r="4" spans="1:8" x14ac:dyDescent="0.55000000000000004">
      <c r="A4" t="s">
        <v>3</v>
      </c>
      <c r="D4" s="14" t="s">
        <v>74</v>
      </c>
      <c r="F4" t="s">
        <v>4</v>
      </c>
      <c r="H4" s="2"/>
    </row>
    <row r="6" spans="1:8" x14ac:dyDescent="0.55000000000000004">
      <c r="A6" s="1" t="s">
        <v>5</v>
      </c>
      <c r="B6" s="1"/>
    </row>
    <row r="7" spans="1:8" x14ac:dyDescent="0.55000000000000004">
      <c r="D7" t="s">
        <v>6</v>
      </c>
      <c r="H7" t="s">
        <v>7</v>
      </c>
    </row>
    <row r="8" spans="1:8" x14ac:dyDescent="0.55000000000000004">
      <c r="A8" t="s">
        <v>47</v>
      </c>
      <c r="D8" s="2" t="s">
        <v>67</v>
      </c>
      <c r="H8" s="2">
        <v>80</v>
      </c>
    </row>
    <row r="9" spans="1:8" x14ac:dyDescent="0.55000000000000004">
      <c r="A9" t="s">
        <v>48</v>
      </c>
      <c r="D9" s="2" t="s">
        <v>68</v>
      </c>
      <c r="H9" s="2">
        <v>102</v>
      </c>
    </row>
    <row r="10" spans="1:8" x14ac:dyDescent="0.55000000000000004">
      <c r="A10" t="s">
        <v>49</v>
      </c>
      <c r="D10" s="2" t="s">
        <v>66</v>
      </c>
      <c r="H10" s="2">
        <v>60</v>
      </c>
    </row>
    <row r="11" spans="1:8" x14ac:dyDescent="0.55000000000000004">
      <c r="A11" t="s">
        <v>50</v>
      </c>
      <c r="D11" s="2" t="s">
        <v>60</v>
      </c>
      <c r="H11" s="2">
        <v>75</v>
      </c>
    </row>
    <row r="12" spans="1:8" x14ac:dyDescent="0.55000000000000004">
      <c r="A12" t="s">
        <v>51</v>
      </c>
      <c r="D12" s="2" t="s">
        <v>61</v>
      </c>
      <c r="H12" s="2">
        <v>83</v>
      </c>
    </row>
    <row r="13" spans="1:8" x14ac:dyDescent="0.55000000000000004">
      <c r="A13" t="s">
        <v>52</v>
      </c>
      <c r="D13" s="2" t="s">
        <v>62</v>
      </c>
      <c r="H13" s="2">
        <v>66</v>
      </c>
    </row>
    <row r="14" spans="1:8" x14ac:dyDescent="0.55000000000000004">
      <c r="A14" t="s">
        <v>53</v>
      </c>
      <c r="D14" s="2" t="s">
        <v>63</v>
      </c>
      <c r="H14" s="2">
        <v>89</v>
      </c>
    </row>
    <row r="15" spans="1:8" x14ac:dyDescent="0.55000000000000004">
      <c r="A15" t="s">
        <v>54</v>
      </c>
      <c r="D15" s="2" t="s">
        <v>64</v>
      </c>
      <c r="H15" s="2">
        <v>85</v>
      </c>
    </row>
    <row r="16" spans="1:8" x14ac:dyDescent="0.55000000000000004">
      <c r="A16" t="s">
        <v>55</v>
      </c>
      <c r="D16" s="2" t="s">
        <v>65</v>
      </c>
      <c r="H16" s="2">
        <v>90</v>
      </c>
    </row>
    <row r="18" spans="1:10" x14ac:dyDescent="0.55000000000000004">
      <c r="A18" t="s">
        <v>46</v>
      </c>
      <c r="D18" s="2">
        <v>4100</v>
      </c>
    </row>
    <row r="21" spans="1:10" x14ac:dyDescent="0.55000000000000004">
      <c r="A21" s="1" t="s">
        <v>8</v>
      </c>
    </row>
    <row r="23" spans="1:10" x14ac:dyDescent="0.55000000000000004">
      <c r="A23" t="s">
        <v>44</v>
      </c>
      <c r="E23" t="s">
        <v>9</v>
      </c>
    </row>
    <row r="25" spans="1:10" x14ac:dyDescent="0.55000000000000004">
      <c r="A25" t="s">
        <v>10</v>
      </c>
      <c r="B25" t="s">
        <v>11</v>
      </c>
      <c r="C25" t="s">
        <v>13</v>
      </c>
      <c r="D25" t="s">
        <v>15</v>
      </c>
      <c r="E25" t="s">
        <v>17</v>
      </c>
      <c r="F25" t="s">
        <v>19</v>
      </c>
      <c r="G25" t="s">
        <v>21</v>
      </c>
      <c r="H25" t="s">
        <v>23</v>
      </c>
      <c r="I25" t="s">
        <v>59</v>
      </c>
      <c r="J25" t="s">
        <v>25</v>
      </c>
    </row>
    <row r="26" spans="1:10" x14ac:dyDescent="0.55000000000000004">
      <c r="B26" s="5" t="s">
        <v>12</v>
      </c>
      <c r="C26" s="5" t="s">
        <v>14</v>
      </c>
      <c r="D26" s="5" t="s">
        <v>16</v>
      </c>
      <c r="E26" s="5" t="s">
        <v>18</v>
      </c>
      <c r="F26" s="5" t="s">
        <v>20</v>
      </c>
      <c r="G26" s="5" t="s">
        <v>22</v>
      </c>
      <c r="H26" s="5" t="s">
        <v>22</v>
      </c>
      <c r="I26" s="5" t="s">
        <v>24</v>
      </c>
      <c r="J26" s="5" t="s">
        <v>26</v>
      </c>
    </row>
    <row r="28" spans="1:10" x14ac:dyDescent="0.55000000000000004">
      <c r="A28">
        <v>1</v>
      </c>
      <c r="B28" s="3">
        <v>0.65208333333333335</v>
      </c>
      <c r="C28" s="3">
        <f>B28-$B$28</f>
        <v>0</v>
      </c>
      <c r="D28" s="2">
        <v>5020</v>
      </c>
      <c r="E28" s="2">
        <v>248</v>
      </c>
      <c r="F28" s="2">
        <v>1.8</v>
      </c>
      <c r="G28" s="2">
        <v>750</v>
      </c>
      <c r="H28" s="2">
        <v>803</v>
      </c>
      <c r="I28" s="2">
        <v>297</v>
      </c>
      <c r="J28" s="2">
        <v>10.199999999999999</v>
      </c>
    </row>
    <row r="29" spans="1:10" x14ac:dyDescent="0.55000000000000004">
      <c r="A29">
        <v>2</v>
      </c>
      <c r="B29" s="3">
        <v>0.72152777777777777</v>
      </c>
      <c r="C29" s="3">
        <f t="shared" ref="C29:C33" si="0">B29-$B$28</f>
        <v>6.944444444444442E-2</v>
      </c>
      <c r="D29" s="2">
        <v>5020</v>
      </c>
      <c r="E29" s="2">
        <v>221</v>
      </c>
      <c r="F29" s="2">
        <v>2.5</v>
      </c>
      <c r="G29" s="2">
        <v>636</v>
      </c>
      <c r="H29" s="2">
        <v>685</v>
      </c>
      <c r="I29" s="2">
        <v>334</v>
      </c>
      <c r="J29" s="2">
        <v>8.5</v>
      </c>
    </row>
    <row r="30" spans="1:10" x14ac:dyDescent="0.55000000000000004">
      <c r="A30">
        <v>3</v>
      </c>
      <c r="B30" s="3">
        <v>0.80555555555555547</v>
      </c>
      <c r="C30" s="3">
        <f t="shared" si="0"/>
        <v>0.15347222222222212</v>
      </c>
      <c r="D30" s="2">
        <v>5020</v>
      </c>
      <c r="E30" s="2">
        <v>188</v>
      </c>
      <c r="F30" s="2">
        <v>3.9</v>
      </c>
      <c r="G30" s="2">
        <v>538</v>
      </c>
      <c r="H30" s="2">
        <v>582</v>
      </c>
      <c r="I30" s="2">
        <v>362</v>
      </c>
      <c r="J30" s="2">
        <v>6.8</v>
      </c>
    </row>
    <row r="31" spans="1:10" x14ac:dyDescent="0.55000000000000004">
      <c r="A31">
        <v>4</v>
      </c>
      <c r="B31" s="3">
        <v>0.89722222222222225</v>
      </c>
      <c r="C31" s="3">
        <f t="shared" si="0"/>
        <v>0.24513888888888891</v>
      </c>
      <c r="D31" s="2">
        <v>5020</v>
      </c>
      <c r="E31" s="2">
        <v>160</v>
      </c>
      <c r="F31" s="2">
        <v>5.7</v>
      </c>
      <c r="G31" s="2">
        <v>462</v>
      </c>
      <c r="H31" s="2">
        <v>497</v>
      </c>
      <c r="I31" s="2">
        <v>399</v>
      </c>
      <c r="J31" s="2">
        <v>5.2</v>
      </c>
    </row>
    <row r="32" spans="1:10" x14ac:dyDescent="0.55000000000000004">
      <c r="A32">
        <v>5</v>
      </c>
      <c r="B32" s="3">
        <v>0.95694444444444438</v>
      </c>
      <c r="C32" s="3">
        <f t="shared" si="0"/>
        <v>0.30486111111111103</v>
      </c>
      <c r="D32" s="2">
        <v>5010</v>
      </c>
      <c r="E32" s="2">
        <v>136</v>
      </c>
      <c r="F32" s="2">
        <v>8.1999999999999993</v>
      </c>
      <c r="G32" s="2">
        <v>435</v>
      </c>
      <c r="H32" s="2">
        <v>478</v>
      </c>
      <c r="I32" s="2">
        <v>418</v>
      </c>
      <c r="J32" s="2">
        <v>4</v>
      </c>
    </row>
    <row r="33" spans="1:10" x14ac:dyDescent="0.55000000000000004">
      <c r="A33">
        <v>6</v>
      </c>
      <c r="B33" s="6">
        <v>1.01875</v>
      </c>
      <c r="C33" s="3">
        <f t="shared" si="0"/>
        <v>0.3666666666666667</v>
      </c>
      <c r="D33" s="2">
        <v>5020</v>
      </c>
      <c r="E33" s="2">
        <v>122</v>
      </c>
      <c r="F33" s="2">
        <v>10.3</v>
      </c>
      <c r="G33" s="2">
        <v>432</v>
      </c>
      <c r="H33" s="2">
        <v>477</v>
      </c>
      <c r="I33" s="2">
        <v>441</v>
      </c>
      <c r="J33" s="2">
        <v>3.8</v>
      </c>
    </row>
    <row r="34" spans="1:10" x14ac:dyDescent="0.55000000000000004">
      <c r="A34">
        <v>7</v>
      </c>
      <c r="B34" s="2"/>
      <c r="C34" s="2"/>
      <c r="D34" s="2"/>
      <c r="E34" s="2"/>
      <c r="F34" s="2"/>
      <c r="G34" s="2"/>
      <c r="H34" s="2"/>
      <c r="I34" s="2"/>
      <c r="J34" s="2"/>
    </row>
    <row r="35" spans="1:10" x14ac:dyDescent="0.55000000000000004">
      <c r="C35" t="s">
        <v>43</v>
      </c>
    </row>
    <row r="37" spans="1:10" x14ac:dyDescent="0.55000000000000004">
      <c r="A37" s="1" t="s">
        <v>27</v>
      </c>
    </row>
    <row r="39" spans="1:10" x14ac:dyDescent="0.55000000000000004">
      <c r="A39" t="s">
        <v>45</v>
      </c>
      <c r="E39" s="2"/>
    </row>
    <row r="41" spans="1:10" x14ac:dyDescent="0.55000000000000004">
      <c r="A41" t="s">
        <v>10</v>
      </c>
      <c r="B41" t="s">
        <v>11</v>
      </c>
      <c r="C41" t="s">
        <v>13</v>
      </c>
      <c r="D41" t="s">
        <v>15</v>
      </c>
      <c r="E41" t="s">
        <v>17</v>
      </c>
      <c r="F41" t="s">
        <v>19</v>
      </c>
      <c r="G41" t="s">
        <v>21</v>
      </c>
      <c r="H41" t="s">
        <v>23</v>
      </c>
      <c r="I41" t="s">
        <v>59</v>
      </c>
      <c r="J41" t="s">
        <v>25</v>
      </c>
    </row>
    <row r="42" spans="1:10" x14ac:dyDescent="0.55000000000000004">
      <c r="B42" s="5" t="s">
        <v>58</v>
      </c>
      <c r="C42" s="5" t="s">
        <v>14</v>
      </c>
      <c r="D42" s="5" t="s">
        <v>16</v>
      </c>
      <c r="E42" s="5" t="s">
        <v>18</v>
      </c>
      <c r="F42" s="5" t="s">
        <v>20</v>
      </c>
      <c r="G42" s="5" t="s">
        <v>22</v>
      </c>
      <c r="H42" s="5" t="s">
        <v>22</v>
      </c>
      <c r="I42" s="5" t="s">
        <v>24</v>
      </c>
      <c r="J42" s="5" t="s">
        <v>26</v>
      </c>
    </row>
    <row r="44" spans="1:10" x14ac:dyDescent="0.55000000000000004">
      <c r="A44">
        <v>1</v>
      </c>
      <c r="B44" s="4"/>
      <c r="C44" s="2"/>
      <c r="D44" s="2"/>
      <c r="E44" s="2"/>
      <c r="F44" s="2"/>
      <c r="G44" s="2"/>
      <c r="H44" s="2"/>
      <c r="I44" s="2"/>
      <c r="J44" s="2"/>
    </row>
    <row r="45" spans="1:10" x14ac:dyDescent="0.55000000000000004">
      <c r="A45">
        <v>2</v>
      </c>
      <c r="B45" s="4"/>
      <c r="C45" s="2"/>
      <c r="D45" s="2"/>
      <c r="E45" s="2"/>
      <c r="F45" s="2"/>
      <c r="G45" s="2"/>
      <c r="H45" s="2"/>
      <c r="I45" s="2"/>
      <c r="J45" s="2"/>
    </row>
    <row r="46" spans="1:10" x14ac:dyDescent="0.55000000000000004">
      <c r="A46">
        <v>3</v>
      </c>
      <c r="B46" s="4"/>
      <c r="C46" s="2"/>
      <c r="D46" s="2"/>
      <c r="E46" s="2"/>
      <c r="F46" s="2"/>
      <c r="G46" s="2"/>
      <c r="H46" s="2"/>
      <c r="I46" s="2"/>
      <c r="J46" s="2"/>
    </row>
    <row r="47" spans="1:10" x14ac:dyDescent="0.55000000000000004">
      <c r="A47">
        <v>4</v>
      </c>
      <c r="B47" s="4"/>
      <c r="C47" s="2"/>
      <c r="D47" s="2"/>
      <c r="E47" s="2"/>
      <c r="F47" s="2"/>
      <c r="G47" s="2"/>
      <c r="H47" s="2"/>
      <c r="I47" s="2"/>
      <c r="J47" s="2"/>
    </row>
    <row r="48" spans="1:10" x14ac:dyDescent="0.55000000000000004">
      <c r="A48">
        <v>5</v>
      </c>
      <c r="B48" s="4"/>
      <c r="C48" s="2"/>
      <c r="D48" s="2"/>
      <c r="E48" s="2"/>
      <c r="F48" s="2"/>
      <c r="G48" s="2"/>
      <c r="H48" s="2"/>
      <c r="I48" s="2"/>
      <c r="J48" s="2"/>
    </row>
    <row r="49" spans="1:13" x14ac:dyDescent="0.55000000000000004">
      <c r="A49">
        <v>6</v>
      </c>
      <c r="B49" s="4"/>
      <c r="C49" s="2"/>
      <c r="D49" s="2"/>
      <c r="E49" s="2"/>
      <c r="F49" s="2"/>
      <c r="G49" s="2"/>
      <c r="H49" s="2"/>
      <c r="I49" s="2"/>
      <c r="J49" s="2"/>
    </row>
    <row r="50" spans="1:13" x14ac:dyDescent="0.55000000000000004">
      <c r="A50">
        <v>7</v>
      </c>
      <c r="B50" s="4"/>
      <c r="C50" s="2"/>
      <c r="D50" s="2"/>
      <c r="E50" s="2"/>
      <c r="F50" s="2"/>
      <c r="G50" s="2"/>
      <c r="H50" s="2"/>
      <c r="I50" s="2"/>
      <c r="J50" s="2"/>
    </row>
    <row r="51" spans="1:13" x14ac:dyDescent="0.55000000000000004">
      <c r="C51" t="s">
        <v>43</v>
      </c>
    </row>
    <row r="52" spans="1:13" x14ac:dyDescent="0.55000000000000004">
      <c r="A52" s="1" t="s">
        <v>28</v>
      </c>
    </row>
    <row r="54" spans="1:13" x14ac:dyDescent="0.55000000000000004">
      <c r="A54" t="s">
        <v>44</v>
      </c>
      <c r="E54" t="s">
        <v>9</v>
      </c>
    </row>
    <row r="56" spans="1:13" x14ac:dyDescent="0.55000000000000004">
      <c r="A56" t="s">
        <v>10</v>
      </c>
      <c r="B56" t="s">
        <v>11</v>
      </c>
      <c r="C56" t="s">
        <v>13</v>
      </c>
      <c r="D56" t="s">
        <v>15</v>
      </c>
      <c r="E56" t="s">
        <v>17</v>
      </c>
      <c r="F56" t="s">
        <v>19</v>
      </c>
      <c r="G56" t="s">
        <v>29</v>
      </c>
      <c r="H56" t="s">
        <v>30</v>
      </c>
      <c r="I56" t="s">
        <v>31</v>
      </c>
      <c r="J56" t="s">
        <v>21</v>
      </c>
      <c r="K56" t="s">
        <v>23</v>
      </c>
      <c r="L56" t="s">
        <v>59</v>
      </c>
      <c r="M56" t="s">
        <v>25</v>
      </c>
    </row>
    <row r="57" spans="1:13" x14ac:dyDescent="0.55000000000000004">
      <c r="B57" s="5" t="s">
        <v>58</v>
      </c>
      <c r="C57" s="5" t="s">
        <v>14</v>
      </c>
      <c r="D57" s="5" t="s">
        <v>16</v>
      </c>
      <c r="E57" s="5" t="s">
        <v>18</v>
      </c>
      <c r="F57" s="5" t="s">
        <v>20</v>
      </c>
      <c r="G57" s="5" t="s">
        <v>20</v>
      </c>
      <c r="H57" s="5" t="s">
        <v>20</v>
      </c>
      <c r="I57" s="5" t="s">
        <v>32</v>
      </c>
      <c r="J57" s="5" t="s">
        <v>22</v>
      </c>
      <c r="K57" s="5" t="s">
        <v>22</v>
      </c>
      <c r="L57" s="5" t="s">
        <v>24</v>
      </c>
      <c r="M57" s="5" t="s">
        <v>26</v>
      </c>
    </row>
    <row r="59" spans="1:13" x14ac:dyDescent="0.55000000000000004">
      <c r="A59">
        <v>1</v>
      </c>
      <c r="B59" s="4">
        <v>2.013888888888889E-2</v>
      </c>
      <c r="C59" s="2">
        <v>25</v>
      </c>
      <c r="D59" s="2">
        <v>6530</v>
      </c>
      <c r="E59" s="2">
        <v>160</v>
      </c>
      <c r="F59" s="2">
        <v>5.5</v>
      </c>
      <c r="G59" s="2">
        <v>-0.1</v>
      </c>
      <c r="H59" s="2">
        <v>3.1</v>
      </c>
      <c r="I59" s="2">
        <v>-1</v>
      </c>
      <c r="J59" s="2">
        <v>442</v>
      </c>
      <c r="K59" s="2">
        <v>479</v>
      </c>
      <c r="L59" s="2">
        <v>535</v>
      </c>
      <c r="M59" s="2">
        <v>2.5</v>
      </c>
    </row>
    <row r="60" spans="1:13" x14ac:dyDescent="0.55000000000000004">
      <c r="A60">
        <v>2</v>
      </c>
      <c r="B60" s="4">
        <v>2.0833333333333332E-2</v>
      </c>
      <c r="C60" s="2">
        <v>35</v>
      </c>
      <c r="D60" s="2">
        <v>6710</v>
      </c>
      <c r="E60" s="2">
        <v>149</v>
      </c>
      <c r="F60" s="2">
        <v>6.5</v>
      </c>
      <c r="G60" s="2">
        <v>-0.4</v>
      </c>
      <c r="H60" s="2">
        <v>3.1</v>
      </c>
      <c r="I60" s="2">
        <v>-25</v>
      </c>
      <c r="J60" s="2">
        <v>438</v>
      </c>
      <c r="K60" s="2">
        <v>475</v>
      </c>
      <c r="L60" s="2">
        <v>557</v>
      </c>
      <c r="M60" s="2">
        <v>2</v>
      </c>
    </row>
    <row r="61" spans="1:13" x14ac:dyDescent="0.55000000000000004">
      <c r="A61">
        <v>3</v>
      </c>
      <c r="B61" s="4">
        <v>2.1527777777777781E-2</v>
      </c>
      <c r="C61" s="2">
        <v>28</v>
      </c>
      <c r="D61" s="2">
        <v>6880</v>
      </c>
      <c r="E61" s="2">
        <v>140</v>
      </c>
      <c r="F61" s="2">
        <v>7.5</v>
      </c>
      <c r="G61" s="2">
        <v>-0.9</v>
      </c>
      <c r="H61" s="2">
        <v>3.1</v>
      </c>
      <c r="I61" s="2">
        <v>-39</v>
      </c>
      <c r="J61" s="2">
        <v>434</v>
      </c>
      <c r="K61" s="2">
        <v>471</v>
      </c>
      <c r="L61" s="2">
        <v>568</v>
      </c>
      <c r="M61" s="2">
        <v>1.5</v>
      </c>
    </row>
    <row r="62" spans="1:13" x14ac:dyDescent="0.55000000000000004">
      <c r="A62">
        <v>4</v>
      </c>
      <c r="B62" s="4">
        <v>2.2916666666666669E-2</v>
      </c>
      <c r="C62" s="2">
        <v>17</v>
      </c>
      <c r="D62" s="2">
        <v>7150</v>
      </c>
      <c r="E62" s="2">
        <v>130</v>
      </c>
      <c r="F62" s="2">
        <v>9.1</v>
      </c>
      <c r="G62" s="2">
        <v>-1.5</v>
      </c>
      <c r="H62" s="2">
        <v>3.1</v>
      </c>
      <c r="I62" s="2">
        <v>-50</v>
      </c>
      <c r="J62" s="2">
        <v>430</v>
      </c>
      <c r="K62" s="2">
        <v>466</v>
      </c>
      <c r="L62" s="2">
        <v>592</v>
      </c>
      <c r="M62" s="2">
        <v>0.8</v>
      </c>
    </row>
    <row r="63" spans="1:13" x14ac:dyDescent="0.55000000000000004">
      <c r="A63">
        <v>5</v>
      </c>
      <c r="B63" s="4">
        <v>2.361111111111111E-2</v>
      </c>
      <c r="C63" s="2">
        <v>50</v>
      </c>
      <c r="D63" s="2">
        <v>6430</v>
      </c>
      <c r="E63" s="2">
        <v>171</v>
      </c>
      <c r="F63" s="2">
        <v>4.8</v>
      </c>
      <c r="G63" s="2">
        <v>0.3</v>
      </c>
      <c r="H63" s="2">
        <v>3.1</v>
      </c>
      <c r="I63" s="2">
        <v>29</v>
      </c>
      <c r="J63" s="2">
        <v>446</v>
      </c>
      <c r="K63" s="2">
        <v>483</v>
      </c>
      <c r="L63" s="2">
        <v>616</v>
      </c>
      <c r="M63" s="2">
        <v>3.2</v>
      </c>
    </row>
    <row r="64" spans="1:13" x14ac:dyDescent="0.55000000000000004">
      <c r="A64">
        <v>6</v>
      </c>
      <c r="B64" s="4">
        <v>2.4305555555555556E-2</v>
      </c>
      <c r="C64" s="2">
        <v>36</v>
      </c>
      <c r="D64" s="2">
        <v>5950</v>
      </c>
      <c r="E64" s="2">
        <v>182</v>
      </c>
      <c r="F64" s="2">
        <v>4</v>
      </c>
      <c r="G64" s="2">
        <v>0.6</v>
      </c>
      <c r="H64" s="2">
        <v>3.1</v>
      </c>
      <c r="I64" s="2">
        <v>43</v>
      </c>
      <c r="J64" s="2">
        <v>455</v>
      </c>
      <c r="K64" s="2">
        <v>491</v>
      </c>
      <c r="L64" s="2">
        <v>635</v>
      </c>
      <c r="M64" s="2">
        <v>4.2</v>
      </c>
    </row>
    <row r="65" spans="1:13" x14ac:dyDescent="0.55000000000000004">
      <c r="A65">
        <v>7</v>
      </c>
      <c r="B65" s="4">
        <v>2.6388888888888889E-2</v>
      </c>
      <c r="C65" s="2">
        <v>10</v>
      </c>
      <c r="D65" s="2">
        <v>5060</v>
      </c>
      <c r="E65" s="2">
        <v>190</v>
      </c>
      <c r="F65" s="2">
        <v>3.6</v>
      </c>
      <c r="G65" s="2">
        <v>0.9</v>
      </c>
      <c r="H65" s="2">
        <v>3.1</v>
      </c>
      <c r="I65" s="2">
        <v>79</v>
      </c>
      <c r="J65" s="2">
        <v>466</v>
      </c>
      <c r="K65" s="2">
        <v>504</v>
      </c>
      <c r="L65" s="2">
        <v>670</v>
      </c>
      <c r="M65" s="2">
        <v>6.8</v>
      </c>
    </row>
    <row r="66" spans="1:13" x14ac:dyDescent="0.55000000000000004">
      <c r="C66" t="s">
        <v>43</v>
      </c>
    </row>
    <row r="68" spans="1:13" x14ac:dyDescent="0.55000000000000004">
      <c r="A68" s="1" t="s">
        <v>33</v>
      </c>
    </row>
    <row r="70" spans="1:13" x14ac:dyDescent="0.55000000000000004">
      <c r="A70" t="s">
        <v>56</v>
      </c>
      <c r="C70" s="2" t="s">
        <v>65</v>
      </c>
    </row>
    <row r="71" spans="1:13" x14ac:dyDescent="0.55000000000000004">
      <c r="A71" t="s">
        <v>57</v>
      </c>
      <c r="C71" s="2" t="s">
        <v>69</v>
      </c>
      <c r="E71" t="s">
        <v>34</v>
      </c>
      <c r="H71" s="2" t="s">
        <v>70</v>
      </c>
    </row>
    <row r="73" spans="1:13" x14ac:dyDescent="0.55000000000000004">
      <c r="A73" t="s">
        <v>10</v>
      </c>
      <c r="B73" t="s">
        <v>11</v>
      </c>
      <c r="C73" t="s">
        <v>13</v>
      </c>
      <c r="D73" t="s">
        <v>15</v>
      </c>
      <c r="E73" t="s">
        <v>17</v>
      </c>
      <c r="F73" t="s">
        <v>19</v>
      </c>
      <c r="G73" t="s">
        <v>29</v>
      </c>
      <c r="H73" t="s">
        <v>30</v>
      </c>
      <c r="I73" t="s">
        <v>31</v>
      </c>
      <c r="J73" t="s">
        <v>21</v>
      </c>
      <c r="K73" t="s">
        <v>23</v>
      </c>
      <c r="L73" t="s">
        <v>59</v>
      </c>
      <c r="M73" t="s">
        <v>25</v>
      </c>
    </row>
    <row r="74" spans="1:13" x14ac:dyDescent="0.55000000000000004">
      <c r="B74" s="5" t="s">
        <v>58</v>
      </c>
      <c r="C74" s="5" t="s">
        <v>14</v>
      </c>
      <c r="D74" s="5" t="s">
        <v>16</v>
      </c>
      <c r="E74" s="5" t="s">
        <v>18</v>
      </c>
      <c r="F74" s="5" t="s">
        <v>20</v>
      </c>
      <c r="G74" s="5" t="s">
        <v>20</v>
      </c>
      <c r="H74" s="5" t="s">
        <v>20</v>
      </c>
      <c r="I74" s="5" t="s">
        <v>32</v>
      </c>
      <c r="J74" s="5" t="s">
        <v>22</v>
      </c>
      <c r="K74" s="5" t="s">
        <v>22</v>
      </c>
      <c r="L74" s="5" t="s">
        <v>24</v>
      </c>
      <c r="M74" s="5" t="s">
        <v>26</v>
      </c>
    </row>
    <row r="75" spans="1:13" x14ac:dyDescent="0.55000000000000004">
      <c r="A75">
        <v>1</v>
      </c>
      <c r="B75" s="4">
        <v>2.7083333333333334E-2</v>
      </c>
      <c r="C75" s="2">
        <v>55</v>
      </c>
      <c r="D75" s="2">
        <v>5500</v>
      </c>
      <c r="E75" s="2">
        <v>159</v>
      </c>
      <c r="F75" s="2">
        <v>5.7</v>
      </c>
      <c r="G75" s="2">
        <v>0</v>
      </c>
      <c r="H75" s="2">
        <v>3.1</v>
      </c>
      <c r="I75" s="2">
        <v>0</v>
      </c>
      <c r="J75" s="2">
        <v>448</v>
      </c>
      <c r="K75" s="2">
        <v>484</v>
      </c>
      <c r="L75" s="2">
        <v>699</v>
      </c>
      <c r="M75" s="2">
        <v>4.2</v>
      </c>
    </row>
    <row r="76" spans="1:13" x14ac:dyDescent="0.55000000000000004">
      <c r="A76">
        <v>2</v>
      </c>
      <c r="B76" s="4">
        <v>2.8472222222222222E-2</v>
      </c>
      <c r="C76" s="2">
        <v>37</v>
      </c>
      <c r="D76" s="2">
        <v>5570</v>
      </c>
      <c r="E76" s="2">
        <v>158</v>
      </c>
      <c r="F76" s="2">
        <v>5.9</v>
      </c>
      <c r="G76" s="2">
        <v>-0.6</v>
      </c>
      <c r="H76" s="2">
        <v>3.1</v>
      </c>
      <c r="I76" s="2">
        <v>-33</v>
      </c>
      <c r="J76" s="2">
        <v>447</v>
      </c>
      <c r="K76" s="2">
        <v>483</v>
      </c>
      <c r="L76" s="2">
        <v>726</v>
      </c>
      <c r="M76" s="2">
        <v>4.2</v>
      </c>
    </row>
    <row r="77" spans="1:13" x14ac:dyDescent="0.55000000000000004">
      <c r="C77" t="s">
        <v>43</v>
      </c>
    </row>
    <row r="79" spans="1:13" x14ac:dyDescent="0.55000000000000004">
      <c r="A79" s="1" t="s">
        <v>35</v>
      </c>
    </row>
    <row r="81" spans="1:10" x14ac:dyDescent="0.55000000000000004">
      <c r="D81" t="s">
        <v>36</v>
      </c>
      <c r="G81" t="s">
        <v>36</v>
      </c>
      <c r="J81" t="s">
        <v>36</v>
      </c>
    </row>
    <row r="82" spans="1:10" x14ac:dyDescent="0.55000000000000004">
      <c r="D82" t="s">
        <v>58</v>
      </c>
      <c r="G82" t="s">
        <v>58</v>
      </c>
      <c r="J82" t="s">
        <v>58</v>
      </c>
    </row>
    <row r="83" spans="1:10" x14ac:dyDescent="0.55000000000000004">
      <c r="A83" t="s">
        <v>37</v>
      </c>
      <c r="D83" s="4">
        <v>2.9166666666666664E-2</v>
      </c>
      <c r="E83" t="s">
        <v>38</v>
      </c>
      <c r="G83" s="4">
        <v>3.1944444444444449E-2</v>
      </c>
      <c r="H83" t="s">
        <v>39</v>
      </c>
      <c r="J83" s="4">
        <v>3.3333333333333333E-2</v>
      </c>
    </row>
    <row r="84" spans="1:10" x14ac:dyDescent="0.55000000000000004">
      <c r="A84" t="s">
        <v>40</v>
      </c>
      <c r="D84" s="4">
        <v>3.125E-2</v>
      </c>
      <c r="E84" t="s">
        <v>41</v>
      </c>
      <c r="G84" s="4">
        <v>3.2638888888888891E-2</v>
      </c>
      <c r="H84" t="s">
        <v>42</v>
      </c>
      <c r="J84" s="4">
        <v>3.6111111111111115E-2</v>
      </c>
    </row>
  </sheetData>
  <sheetProtection sheet="1" objects="1" scenarios="1" selectLockedCells="1"/>
  <conditionalFormatting sqref="H3:H4 D8:D16 H8:H16">
    <cfRule type="containsBlanks" dxfId="16" priority="24">
      <formula>LEN(TRIM(D3))=0</formula>
    </cfRule>
  </conditionalFormatting>
  <conditionalFormatting sqref="B34:J34">
    <cfRule type="containsBlanks" dxfId="15" priority="17">
      <formula>LEN(TRIM(B34))=0</formula>
    </cfRule>
  </conditionalFormatting>
  <conditionalFormatting sqref="D18">
    <cfRule type="containsBlanks" dxfId="14" priority="19">
      <formula>LEN(TRIM(D18))=0</formula>
    </cfRule>
  </conditionalFormatting>
  <conditionalFormatting sqref="B28:J33">
    <cfRule type="containsBlanks" dxfId="13" priority="18">
      <formula>LEN(TRIM(B28))=0</formula>
    </cfRule>
  </conditionalFormatting>
  <conditionalFormatting sqref="C59:M65">
    <cfRule type="containsBlanks" dxfId="12" priority="15">
      <formula>LEN(TRIM(C59))=0</formula>
    </cfRule>
  </conditionalFormatting>
  <conditionalFormatting sqref="C44:J50">
    <cfRule type="containsBlanks" dxfId="11" priority="16">
      <formula>LEN(TRIM(C44))=0</formula>
    </cfRule>
  </conditionalFormatting>
  <conditionalFormatting sqref="C70">
    <cfRule type="containsBlanks" dxfId="10" priority="14">
      <formula>LEN(TRIM(C70))=0</formula>
    </cfRule>
  </conditionalFormatting>
  <conditionalFormatting sqref="C71">
    <cfRule type="containsBlanks" dxfId="9" priority="13">
      <formula>LEN(TRIM(C71))=0</formula>
    </cfRule>
  </conditionalFormatting>
  <conditionalFormatting sqref="H71">
    <cfRule type="containsBlanks" dxfId="8" priority="12">
      <formula>LEN(TRIM(H71))=0</formula>
    </cfRule>
  </conditionalFormatting>
  <conditionalFormatting sqref="B75:M76">
    <cfRule type="containsBlanks" dxfId="7" priority="11">
      <formula>LEN(TRIM(B75))=0</formula>
    </cfRule>
  </conditionalFormatting>
  <conditionalFormatting sqref="D3:D4">
    <cfRule type="containsBlanks" dxfId="6" priority="6">
      <formula>LEN(TRIM(D3))=0</formula>
    </cfRule>
  </conditionalFormatting>
  <conditionalFormatting sqref="E39">
    <cfRule type="containsBlanks" dxfId="5" priority="7">
      <formula>LEN(TRIM(E39))=0</formula>
    </cfRule>
  </conditionalFormatting>
  <conditionalFormatting sqref="D83:D84">
    <cfRule type="containsBlanks" dxfId="4" priority="5">
      <formula>LEN(TRIM(D83))=0</formula>
    </cfRule>
  </conditionalFormatting>
  <conditionalFormatting sqref="G83:G84">
    <cfRule type="containsBlanks" dxfId="3" priority="4">
      <formula>LEN(TRIM(G83))=0</formula>
    </cfRule>
  </conditionalFormatting>
  <conditionalFormatting sqref="J83:J84">
    <cfRule type="containsBlanks" dxfId="2" priority="3">
      <formula>LEN(TRIM(J83))=0</formula>
    </cfRule>
  </conditionalFormatting>
  <conditionalFormatting sqref="B59:B65">
    <cfRule type="containsBlanks" dxfId="1" priority="2">
      <formula>LEN(TRIM(B59))=0</formula>
    </cfRule>
  </conditionalFormatting>
  <conditionalFormatting sqref="B44:B50">
    <cfRule type="containsBlanks" dxfId="0" priority="1">
      <formula>LEN(TRIM(B44))=0</formula>
    </cfRule>
  </conditionalFormatting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AACE1-108F-4DFD-BAD3-8A4DFF8C9086}">
  <dimension ref="A1:AO85"/>
  <sheetViews>
    <sheetView tabSelected="1" topLeftCell="A12" zoomScale="80" zoomScaleNormal="80" workbookViewId="0">
      <selection activeCell="M55" sqref="M55"/>
    </sheetView>
  </sheetViews>
  <sheetFormatPr defaultRowHeight="14.4" x14ac:dyDescent="0.55000000000000004"/>
  <cols>
    <col min="3" max="3" width="16.1015625" bestFit="1" customWidth="1"/>
    <col min="12" max="12" width="9.1015625" customWidth="1"/>
    <col min="15" max="15" width="8.83984375" customWidth="1"/>
    <col min="18" max="18" width="6.5234375" bestFit="1" customWidth="1"/>
    <col min="22" max="22" width="10.578125" bestFit="1" customWidth="1"/>
    <col min="31" max="31" width="3.578125" customWidth="1"/>
    <col min="32" max="32" width="16.20703125" bestFit="1" customWidth="1"/>
    <col min="33" max="33" width="4.89453125" bestFit="1" customWidth="1"/>
    <col min="34" max="34" width="5.83984375" bestFit="1" customWidth="1"/>
    <col min="35" max="35" width="2.9453125" customWidth="1"/>
    <col min="37" max="38" width="6.20703125" customWidth="1"/>
    <col min="39" max="39" width="7.5234375" customWidth="1"/>
    <col min="40" max="40" width="8.83984375" customWidth="1"/>
  </cols>
  <sheetData>
    <row r="1" spans="1:35" x14ac:dyDescent="0.55000000000000004">
      <c r="A1" s="1" t="s">
        <v>71</v>
      </c>
      <c r="N1" s="19"/>
      <c r="O1" s="19"/>
      <c r="Q1" s="15"/>
      <c r="AE1" s="31"/>
      <c r="AF1" s="29" t="s">
        <v>95</v>
      </c>
      <c r="AG1" s="24" t="s">
        <v>82</v>
      </c>
      <c r="AH1" s="24" t="s">
        <v>32</v>
      </c>
      <c r="AI1" s="24"/>
    </row>
    <row r="2" spans="1:35" x14ac:dyDescent="0.55000000000000004">
      <c r="J2" t="s">
        <v>91</v>
      </c>
      <c r="K2">
        <v>0.45359237000000002</v>
      </c>
      <c r="N2" s="19" t="s">
        <v>85</v>
      </c>
      <c r="O2" s="28">
        <v>30</v>
      </c>
      <c r="Q2" s="15"/>
      <c r="AE2" s="16"/>
      <c r="AF2" s="21" t="s">
        <v>89</v>
      </c>
      <c r="AG2" s="18">
        <f>9165*$K$2</f>
        <v>4157.1740710499998</v>
      </c>
      <c r="AH2" s="18">
        <f>AG2*9.80665</f>
        <v>40767.951103862477</v>
      </c>
      <c r="AI2" s="18"/>
    </row>
    <row r="3" spans="1:35" x14ac:dyDescent="0.55000000000000004">
      <c r="A3" t="s">
        <v>72</v>
      </c>
      <c r="C3" s="7">
        <v>43895</v>
      </c>
      <c r="G3" t="s">
        <v>2</v>
      </c>
      <c r="N3" s="19" t="s">
        <v>86</v>
      </c>
      <c r="O3" s="28">
        <v>2.0569000000000002</v>
      </c>
      <c r="Q3" s="15"/>
      <c r="AE3" s="16"/>
      <c r="AF3" s="21"/>
      <c r="AG3" s="18"/>
      <c r="AH3" s="18"/>
      <c r="AI3" s="18"/>
    </row>
    <row r="4" spans="1:35" x14ac:dyDescent="0.55000000000000004">
      <c r="A4" t="s">
        <v>73</v>
      </c>
      <c r="C4" t="s">
        <v>74</v>
      </c>
      <c r="G4" t="s">
        <v>4</v>
      </c>
      <c r="N4" s="19" t="s">
        <v>87</v>
      </c>
      <c r="O4" s="28">
        <v>15.911</v>
      </c>
      <c r="Q4" s="15"/>
      <c r="AE4" s="16"/>
      <c r="AF4" s="21" t="s">
        <v>76</v>
      </c>
      <c r="AG4" s="18">
        <f>4100*$K$2</f>
        <v>1859.7287170000002</v>
      </c>
      <c r="AH4" s="18">
        <f t="shared" ref="AH4:AH33" si="0">AG4*9.80665</f>
        <v>18237.70862256805</v>
      </c>
      <c r="AI4" s="18"/>
    </row>
    <row r="5" spans="1:35" x14ac:dyDescent="0.55000000000000004">
      <c r="N5" s="19" t="s">
        <v>88</v>
      </c>
      <c r="O5" s="28">
        <f>O4^2/O2</f>
        <v>8.4386640333333336</v>
      </c>
      <c r="Q5" s="15"/>
      <c r="AE5" s="16"/>
      <c r="AF5" s="21"/>
      <c r="AG5" s="16"/>
      <c r="AH5" s="18"/>
      <c r="AI5" s="18"/>
    </row>
    <row r="6" spans="1:35" x14ac:dyDescent="0.55000000000000004">
      <c r="A6" t="s">
        <v>5</v>
      </c>
      <c r="N6" s="19" t="s">
        <v>119</v>
      </c>
      <c r="O6" s="28">
        <v>6168.9</v>
      </c>
      <c r="Q6" s="15"/>
      <c r="AE6" s="16"/>
      <c r="AF6" s="21" t="s">
        <v>90</v>
      </c>
      <c r="AG6" s="16">
        <f t="shared" ref="AG6:AG14" si="1">D8</f>
        <v>80</v>
      </c>
      <c r="AH6" s="18">
        <f t="shared" si="0"/>
        <v>784.53199999999993</v>
      </c>
      <c r="AI6" s="18"/>
    </row>
    <row r="7" spans="1:35" x14ac:dyDescent="0.55000000000000004">
      <c r="C7" t="s">
        <v>6</v>
      </c>
      <c r="N7" s="19" t="s">
        <v>122</v>
      </c>
      <c r="O7" s="28">
        <v>0.68600000000000005</v>
      </c>
      <c r="Q7" s="15"/>
      <c r="AE7" s="16"/>
      <c r="AF7" s="21"/>
      <c r="AG7" s="16">
        <f t="shared" si="1"/>
        <v>102</v>
      </c>
      <c r="AH7" s="18">
        <f t="shared" si="0"/>
        <v>1000.2782999999999</v>
      </c>
      <c r="AI7" s="18"/>
    </row>
    <row r="8" spans="1:35" x14ac:dyDescent="0.55000000000000004">
      <c r="A8" t="s">
        <v>47</v>
      </c>
      <c r="C8" t="str">
        <f>'Imperial Units'!$D8</f>
        <v>Chipke</v>
      </c>
      <c r="D8">
        <f>'Imperial Units'!$H8</f>
        <v>80</v>
      </c>
      <c r="N8" s="19" t="s">
        <v>124</v>
      </c>
      <c r="O8" s="28">
        <v>-1.1641999999999999</v>
      </c>
      <c r="Q8" s="15"/>
      <c r="AE8" s="16"/>
      <c r="AF8" s="21"/>
      <c r="AG8" s="16">
        <f t="shared" si="1"/>
        <v>60</v>
      </c>
      <c r="AH8" s="18">
        <f t="shared" si="0"/>
        <v>588.399</v>
      </c>
      <c r="AI8" s="18"/>
    </row>
    <row r="9" spans="1:35" x14ac:dyDescent="0.55000000000000004">
      <c r="A9" t="s">
        <v>48</v>
      </c>
      <c r="C9" t="str">
        <f>'Imperial Units'!$D9</f>
        <v>Hans</v>
      </c>
      <c r="D9">
        <f>'Imperial Units'!$H9</f>
        <v>102</v>
      </c>
      <c r="N9" s="19" t="s">
        <v>125</v>
      </c>
      <c r="O9" s="28">
        <v>-6.4000000000000003E-3</v>
      </c>
      <c r="AE9" s="16"/>
      <c r="AF9" s="21"/>
      <c r="AG9" s="16">
        <f t="shared" si="1"/>
        <v>75</v>
      </c>
      <c r="AH9" s="18">
        <f t="shared" si="0"/>
        <v>735.49874999999997</v>
      </c>
      <c r="AI9" s="18"/>
    </row>
    <row r="10" spans="1:35" x14ac:dyDescent="0.55000000000000004">
      <c r="A10" t="s">
        <v>75</v>
      </c>
      <c r="C10" t="str">
        <f>'Imperial Units'!$D10</f>
        <v>Marta</v>
      </c>
      <c r="D10">
        <f>'Imperial Units'!$H10</f>
        <v>60</v>
      </c>
      <c r="AE10" s="16"/>
      <c r="AF10" s="21"/>
      <c r="AG10" s="16">
        <f t="shared" si="1"/>
        <v>83</v>
      </c>
      <c r="AH10" s="18">
        <f t="shared" si="0"/>
        <v>813.9519499999999</v>
      </c>
      <c r="AI10" s="18"/>
    </row>
    <row r="11" spans="1:35" x14ac:dyDescent="0.55000000000000004">
      <c r="A11" t="s">
        <v>50</v>
      </c>
      <c r="C11" t="str">
        <f>'Imperial Units'!$D11</f>
        <v>Jari</v>
      </c>
      <c r="D11">
        <f>'Imperial Units'!$H11</f>
        <v>75</v>
      </c>
      <c r="AE11" s="16"/>
      <c r="AF11" s="21"/>
      <c r="AG11" s="16">
        <f t="shared" si="1"/>
        <v>66</v>
      </c>
      <c r="AH11" s="18">
        <f t="shared" si="0"/>
        <v>647.23889999999994</v>
      </c>
      <c r="AI11" s="18"/>
    </row>
    <row r="12" spans="1:35" x14ac:dyDescent="0.55000000000000004">
      <c r="A12" t="s">
        <v>51</v>
      </c>
      <c r="C12" t="str">
        <f>'Imperial Units'!$D12</f>
        <v>Martin</v>
      </c>
      <c r="D12">
        <f>'Imperial Units'!$H12</f>
        <v>83</v>
      </c>
      <c r="AE12" s="16"/>
      <c r="AF12" s="21"/>
      <c r="AG12" s="16">
        <f t="shared" si="1"/>
        <v>89</v>
      </c>
      <c r="AH12" s="18">
        <f t="shared" si="0"/>
        <v>872.79184999999995</v>
      </c>
      <c r="AI12" s="18"/>
    </row>
    <row r="13" spans="1:35" x14ac:dyDescent="0.55000000000000004">
      <c r="A13" t="s">
        <v>52</v>
      </c>
      <c r="C13" t="str">
        <f>'Imperial Units'!$D13</f>
        <v>Wessel</v>
      </c>
      <c r="D13">
        <f>'Imperial Units'!$H13</f>
        <v>66</v>
      </c>
      <c r="AE13" s="16"/>
      <c r="AF13" s="21"/>
      <c r="AG13" s="16">
        <f t="shared" si="1"/>
        <v>85</v>
      </c>
      <c r="AH13" s="18">
        <f t="shared" si="0"/>
        <v>833.56524999999999</v>
      </c>
      <c r="AI13" s="18"/>
    </row>
    <row r="14" spans="1:35" x14ac:dyDescent="0.55000000000000004">
      <c r="A14" t="s">
        <v>53</v>
      </c>
      <c r="C14" t="str">
        <f>'Imperial Units'!$D14</f>
        <v>Simon</v>
      </c>
      <c r="D14">
        <f>'Imperial Units'!$H14</f>
        <v>89</v>
      </c>
      <c r="AE14" s="16"/>
      <c r="AF14" s="21"/>
      <c r="AG14" s="16">
        <f t="shared" si="1"/>
        <v>90</v>
      </c>
      <c r="AH14" s="18">
        <f t="shared" si="0"/>
        <v>882.59849999999994</v>
      </c>
      <c r="AI14" s="18"/>
    </row>
    <row r="15" spans="1:35" x14ac:dyDescent="0.55000000000000004">
      <c r="A15" t="s">
        <v>54</v>
      </c>
      <c r="C15" t="str">
        <f>'Imperial Units'!$D15</f>
        <v>Niek</v>
      </c>
      <c r="D15">
        <f>'Imperial Units'!$H15</f>
        <v>85</v>
      </c>
      <c r="AE15" s="17"/>
      <c r="AF15" s="22"/>
      <c r="AG15" s="17"/>
      <c r="AH15" s="17"/>
      <c r="AI15" s="17"/>
    </row>
    <row r="16" spans="1:35" x14ac:dyDescent="0.55000000000000004">
      <c r="A16" t="s">
        <v>55</v>
      </c>
      <c r="C16" t="str">
        <f>'Imperial Units'!$D16</f>
        <v>Julian</v>
      </c>
      <c r="D16">
        <f>'Imperial Units'!$H16</f>
        <v>90</v>
      </c>
      <c r="AE16" s="16"/>
      <c r="AF16" s="23" t="s">
        <v>92</v>
      </c>
      <c r="AG16" s="20">
        <f>SUM(AG2:AG15)</f>
        <v>6746.9027880499998</v>
      </c>
      <c r="AH16" s="20">
        <f t="shared" si="0"/>
        <v>66164.514226430532</v>
      </c>
      <c r="AI16" s="20"/>
    </row>
    <row r="17" spans="1:41" x14ac:dyDescent="0.55000000000000004">
      <c r="AE17" s="16"/>
      <c r="AF17" s="21"/>
      <c r="AG17" s="16"/>
      <c r="AH17" s="18"/>
      <c r="AI17" s="18"/>
    </row>
    <row r="18" spans="1:41" x14ac:dyDescent="0.55000000000000004">
      <c r="D18" s="15"/>
      <c r="E18" s="15"/>
      <c r="F18" s="15"/>
      <c r="AE18" s="16"/>
      <c r="AF18" s="21"/>
      <c r="AG18" s="16"/>
      <c r="AH18" s="18"/>
      <c r="AI18" s="18"/>
    </row>
    <row r="19" spans="1:41" x14ac:dyDescent="0.55000000000000004">
      <c r="AE19" s="16"/>
      <c r="AF19" s="21"/>
      <c r="AG19" s="16"/>
      <c r="AH19" s="18"/>
      <c r="AI19" s="18"/>
    </row>
    <row r="20" spans="1:41" x14ac:dyDescent="0.55000000000000004">
      <c r="AE20" s="16"/>
      <c r="AF20" s="21"/>
      <c r="AG20" s="16"/>
      <c r="AH20" s="18"/>
      <c r="AI20" s="18"/>
    </row>
    <row r="21" spans="1:41" x14ac:dyDescent="0.55000000000000004">
      <c r="A21" s="1" t="s">
        <v>77</v>
      </c>
      <c r="AE21" s="16"/>
      <c r="AF21" s="21"/>
      <c r="AG21" s="16"/>
      <c r="AH21" s="18"/>
      <c r="AI21" s="18"/>
    </row>
    <row r="22" spans="1:41" x14ac:dyDescent="0.55000000000000004">
      <c r="AE22" s="16"/>
      <c r="AF22" s="21"/>
      <c r="AG22" s="16"/>
      <c r="AH22" s="18"/>
      <c r="AI22" s="18"/>
    </row>
    <row r="23" spans="1:41" x14ac:dyDescent="0.55000000000000004">
      <c r="A23" t="s">
        <v>44</v>
      </c>
      <c r="D23" t="s">
        <v>78</v>
      </c>
      <c r="AE23" s="16"/>
      <c r="AF23" s="21"/>
      <c r="AG23" s="16"/>
      <c r="AH23" s="18"/>
      <c r="AI23" s="18"/>
    </row>
    <row r="24" spans="1:41" x14ac:dyDescent="0.55000000000000004">
      <c r="AE24" s="16"/>
      <c r="AF24" s="21"/>
      <c r="AG24" s="16"/>
      <c r="AH24" s="18"/>
      <c r="AI24" s="18"/>
    </row>
    <row r="25" spans="1:41" x14ac:dyDescent="0.55000000000000004">
      <c r="A25" t="s">
        <v>10</v>
      </c>
      <c r="B25" t="s">
        <v>11</v>
      </c>
      <c r="C25" t="s">
        <v>13</v>
      </c>
      <c r="D25" t="s">
        <v>15</v>
      </c>
      <c r="E25" t="s">
        <v>98</v>
      </c>
      <c r="G25" t="s">
        <v>17</v>
      </c>
      <c r="H25" t="s">
        <v>97</v>
      </c>
      <c r="I25" t="s">
        <v>19</v>
      </c>
      <c r="M25" t="s">
        <v>21</v>
      </c>
      <c r="N25" t="s">
        <v>23</v>
      </c>
      <c r="O25" t="s">
        <v>59</v>
      </c>
      <c r="P25" t="s">
        <v>25</v>
      </c>
      <c r="Q25" t="s">
        <v>102</v>
      </c>
      <c r="R25" t="s">
        <v>94</v>
      </c>
      <c r="S25" t="s">
        <v>100</v>
      </c>
      <c r="T25" t="s">
        <v>103</v>
      </c>
      <c r="U25" t="s">
        <v>104</v>
      </c>
      <c r="V25" t="s">
        <v>106</v>
      </c>
      <c r="W25" t="s">
        <v>107</v>
      </c>
      <c r="AE25" s="16"/>
      <c r="AF25" s="21"/>
      <c r="AG25" s="16"/>
      <c r="AH25" s="18"/>
      <c r="AI25" s="18"/>
    </row>
    <row r="26" spans="1:41" x14ac:dyDescent="0.55000000000000004">
      <c r="B26" t="s">
        <v>58</v>
      </c>
      <c r="C26" t="s">
        <v>14</v>
      </c>
      <c r="D26" t="s">
        <v>79</v>
      </c>
      <c r="E26" t="s">
        <v>99</v>
      </c>
      <c r="G26" t="s">
        <v>80</v>
      </c>
      <c r="H26" t="s">
        <v>80</v>
      </c>
      <c r="I26" t="s">
        <v>20</v>
      </c>
      <c r="M26" t="s">
        <v>81</v>
      </c>
      <c r="N26" t="s">
        <v>81</v>
      </c>
      <c r="O26" t="s">
        <v>82</v>
      </c>
      <c r="P26" t="s">
        <v>101</v>
      </c>
      <c r="Q26" t="s">
        <v>101</v>
      </c>
      <c r="R26" t="s">
        <v>80</v>
      </c>
      <c r="S26" t="s">
        <v>80</v>
      </c>
      <c r="T26" t="s">
        <v>80</v>
      </c>
      <c r="U26" t="s">
        <v>101</v>
      </c>
      <c r="V26" t="s">
        <v>101</v>
      </c>
      <c r="W26" t="s">
        <v>32</v>
      </c>
      <c r="AE26" s="16"/>
      <c r="AF26" s="21"/>
      <c r="AG26" s="16"/>
      <c r="AH26" s="18"/>
      <c r="AI26" s="18"/>
    </row>
    <row r="27" spans="1:41" ht="17.7" x14ac:dyDescent="0.75">
      <c r="AE27" s="16"/>
      <c r="AF27" s="21"/>
      <c r="AG27" s="16"/>
      <c r="AH27" s="18"/>
      <c r="AI27" s="18"/>
      <c r="AJ27" s="42" t="s">
        <v>109</v>
      </c>
      <c r="AK27" s="42" t="s">
        <v>110</v>
      </c>
      <c r="AL27" s="43" t="s">
        <v>111</v>
      </c>
      <c r="AM27" s="42" t="s">
        <v>108</v>
      </c>
      <c r="AN27" s="42" t="s">
        <v>117</v>
      </c>
      <c r="AO27" s="15"/>
    </row>
    <row r="28" spans="1:41" x14ac:dyDescent="0.55000000000000004">
      <c r="A28">
        <v>1</v>
      </c>
      <c r="B28" s="8">
        <f>'Imperial Units'!B28</f>
        <v>0.65208333333333335</v>
      </c>
      <c r="C28" s="8">
        <f>B28-$B$28</f>
        <v>0</v>
      </c>
      <c r="D28" s="9">
        <f>'Imperial Units'!D28*0.3048</f>
        <v>1530.096</v>
      </c>
      <c r="E28" s="9">
        <f>101325*(1+((0.00649*D28)/288.15))^(-9.80665/(0.00649*287))</f>
        <v>84770.465011152628</v>
      </c>
      <c r="F28" s="9">
        <f>1.225*(1+((0.00649*D28)/288.15))^(-9.80665/(0.00649*287))</f>
        <v>1.0248588170605673</v>
      </c>
      <c r="G28" s="9">
        <f>'Imperial Units'!E28*0.514444</f>
        <v>127.58211200000001</v>
      </c>
      <c r="H28" s="9">
        <f>G28-2*0.514444</f>
        <v>126.55322400000001</v>
      </c>
      <c r="I28" s="37">
        <f>'Imperial Units'!F28</f>
        <v>1.8</v>
      </c>
      <c r="J28" s="10"/>
      <c r="K28" s="10"/>
      <c r="L28" s="10"/>
      <c r="M28" s="9">
        <f>'Imperial Units'!G28*0.45359237</f>
        <v>340.1942775</v>
      </c>
      <c r="N28" s="9">
        <f>'Imperial Units'!H28*0.45359237</f>
        <v>364.23467311000002</v>
      </c>
      <c r="O28" s="9">
        <f>'Imperial Units'!I28*0.45359237</f>
        <v>134.71693389000001</v>
      </c>
      <c r="P28" s="9">
        <f>'Imperial Units'!J28+273.15</f>
        <v>283.34999999999997</v>
      </c>
      <c r="Q28" s="9">
        <f t="shared" ref="Q28:Q33" si="2">P28/(1+(0.4/2)*R28^2)</f>
        <v>274.3378190594953</v>
      </c>
      <c r="R28" s="34">
        <f t="shared" ref="R28:R33" si="3">SQRT(2/0.4*((1+101325/E28*((1+0.4/2.8*1.225/101325*H28^2)^(1.4/0.4)-1))^(0.4/1.4)-1))</f>
        <v>0.40528181054053536</v>
      </c>
      <c r="S28" s="9">
        <f t="shared" ref="S28:S33" si="4">R28*SQRT(1.4*287*Q28)</f>
        <v>134.55657363902333</v>
      </c>
      <c r="T28" s="9">
        <f t="shared" ref="T28:T33" si="5">S28*SQRT(E28/101325)</f>
        <v>123.07473128318065</v>
      </c>
      <c r="U28" s="9">
        <f t="shared" ref="U28:U33" si="6">288.15-0.00649*D28</f>
        <v>278.21967695999996</v>
      </c>
      <c r="V28" s="33">
        <f t="shared" ref="V28:V33" si="7">Q28-U28</f>
        <v>-3.8818579005046558</v>
      </c>
      <c r="W28">
        <v>7131.7199999999993</v>
      </c>
      <c r="AE28" s="16"/>
      <c r="AF28" s="21" t="s">
        <v>93</v>
      </c>
      <c r="AG28" s="18">
        <f t="shared" ref="AG28:AG33" si="8">$AG$16-O28</f>
        <v>6612.1858541599995</v>
      </c>
      <c r="AH28" s="18">
        <f t="shared" si="0"/>
        <v>64843.392406698156</v>
      </c>
      <c r="AI28" s="18"/>
      <c r="AJ28" s="26">
        <f t="shared" ref="AJ28:AJ33" si="9">2*AH28/(1.225*$T28^2*$O$2)</f>
        <v>0.23297031533557547</v>
      </c>
      <c r="AK28" s="26">
        <f t="shared" ref="AK28:AK33" si="10">2*W28/(1.225*$T28^2*$O$2)</f>
        <v>2.5622950860809738E-2</v>
      </c>
      <c r="AL28" s="35">
        <f t="shared" ref="AL28:AL33" si="11">I28</f>
        <v>1.8</v>
      </c>
      <c r="AM28" s="27">
        <f t="shared" ref="AM28:AM33" si="12">AJ28^2</f>
        <v>5.4275167827557473E-2</v>
      </c>
      <c r="AN28" s="26">
        <f t="shared" ref="AN28:AN33" si="13">AM28/(AK28-$AK$35)/(PI()*$O$5)</f>
        <v>0.83768319886166021</v>
      </c>
      <c r="AO28" s="40"/>
    </row>
    <row r="29" spans="1:41" x14ac:dyDescent="0.55000000000000004">
      <c r="A29">
        <v>2</v>
      </c>
      <c r="B29" s="8">
        <f>'Imperial Units'!B29</f>
        <v>0.72152777777777777</v>
      </c>
      <c r="C29" s="8">
        <f t="shared" ref="C29:C33" si="14">B29-$B$28</f>
        <v>6.944444444444442E-2</v>
      </c>
      <c r="D29" s="9">
        <f>'Imperial Units'!D29*0.3048</f>
        <v>1530.096</v>
      </c>
      <c r="E29" s="9">
        <f t="shared" ref="E29:E33" si="15">101325*(1+((0.00649*D29)/288.15))^(-9.80665/(0.00649*287))</f>
        <v>84770.465011152628</v>
      </c>
      <c r="F29" s="9">
        <f t="shared" ref="F29:F33" si="16">1.225*(1+((0.00649*D29)/288.15))^(-9.80665/(0.00649*287))</f>
        <v>1.0248588170605673</v>
      </c>
      <c r="G29" s="9">
        <f>'Imperial Units'!E29*0.514444</f>
        <v>113.69212400000001</v>
      </c>
      <c r="H29" s="9">
        <f t="shared" ref="H29:H33" si="17">G29-2*0.514444</f>
        <v>112.66323600000001</v>
      </c>
      <c r="I29" s="37">
        <f>'Imperial Units'!F29</f>
        <v>2.5</v>
      </c>
      <c r="J29" s="10"/>
      <c r="K29" s="10"/>
      <c r="L29" s="10"/>
      <c r="M29" s="9">
        <f>'Imperial Units'!G29*0.45359237</f>
        <v>288.48474732</v>
      </c>
      <c r="N29" s="9">
        <f>'Imperial Units'!H29*0.45359237</f>
        <v>310.71077345000003</v>
      </c>
      <c r="O29" s="9">
        <f>'Imperial Units'!I29*0.45359237</f>
        <v>151.49985158000001</v>
      </c>
      <c r="P29" s="9">
        <f>'Imperial Units'!J29+273.15</f>
        <v>281.64999999999998</v>
      </c>
      <c r="Q29" s="9">
        <f t="shared" si="2"/>
        <v>274.49427115187086</v>
      </c>
      <c r="R29" s="34">
        <f t="shared" si="3"/>
        <v>0.36103166767869521</v>
      </c>
      <c r="S29" s="9">
        <f t="shared" si="4"/>
        <v>119.89937137404581</v>
      </c>
      <c r="T29" s="9">
        <f t="shared" si="5"/>
        <v>109.66824224040253</v>
      </c>
      <c r="U29" s="9">
        <f t="shared" si="6"/>
        <v>278.21967695999996</v>
      </c>
      <c r="V29" s="33">
        <f t="shared" si="7"/>
        <v>-3.7254058081290964</v>
      </c>
      <c r="W29">
        <v>5882.6399999999994</v>
      </c>
      <c r="AE29" s="16"/>
      <c r="AF29" s="21" t="s">
        <v>93</v>
      </c>
      <c r="AG29" s="18">
        <f t="shared" si="8"/>
        <v>6595.40293647</v>
      </c>
      <c r="AH29" s="18">
        <f t="shared" si="0"/>
        <v>64678.808206933521</v>
      </c>
      <c r="AI29" s="18"/>
      <c r="AJ29" s="26">
        <f t="shared" si="9"/>
        <v>0.2926664204145073</v>
      </c>
      <c r="AK29" s="26">
        <f t="shared" si="10"/>
        <v>2.6618474259435056E-2</v>
      </c>
      <c r="AL29" s="35">
        <f t="shared" si="11"/>
        <v>2.5</v>
      </c>
      <c r="AM29" s="27">
        <f t="shared" si="12"/>
        <v>8.5653633638241133E-2</v>
      </c>
      <c r="AN29" s="26">
        <f t="shared" si="13"/>
        <v>0.93934768731723561</v>
      </c>
      <c r="AO29" s="40"/>
    </row>
    <row r="30" spans="1:41" x14ac:dyDescent="0.55000000000000004">
      <c r="A30">
        <v>3</v>
      </c>
      <c r="B30" s="8">
        <f>'Imperial Units'!B30</f>
        <v>0.80555555555555547</v>
      </c>
      <c r="C30" s="8">
        <f t="shared" si="14"/>
        <v>0.15347222222222212</v>
      </c>
      <c r="D30" s="9">
        <f>'Imperial Units'!D30*0.3048</f>
        <v>1530.096</v>
      </c>
      <c r="E30" s="9">
        <f t="shared" si="15"/>
        <v>84770.465011152628</v>
      </c>
      <c r="F30" s="9">
        <f t="shared" si="16"/>
        <v>1.0248588170605673</v>
      </c>
      <c r="G30" s="9">
        <f>'Imperial Units'!E30*0.514444</f>
        <v>96.715472000000005</v>
      </c>
      <c r="H30" s="9">
        <f t="shared" si="17"/>
        <v>95.686584000000011</v>
      </c>
      <c r="I30" s="37">
        <f>'Imperial Units'!F30</f>
        <v>3.9</v>
      </c>
      <c r="J30" s="10"/>
      <c r="K30" s="10"/>
      <c r="L30" s="10"/>
      <c r="M30" s="9">
        <f>'Imperial Units'!G30*0.45359237</f>
        <v>244.03269506000001</v>
      </c>
      <c r="N30" s="9">
        <f>'Imperial Units'!H30*0.45359237</f>
        <v>263.99075934000001</v>
      </c>
      <c r="O30" s="9">
        <f>'Imperial Units'!I30*0.45359237</f>
        <v>164.20043794</v>
      </c>
      <c r="P30" s="9">
        <f>'Imperial Units'!J30+273.15</f>
        <v>279.95</v>
      </c>
      <c r="Q30" s="9">
        <f t="shared" si="2"/>
        <v>274.77579979718604</v>
      </c>
      <c r="R30" s="34">
        <f t="shared" si="3"/>
        <v>0.30684381673853012</v>
      </c>
      <c r="S30" s="9">
        <f t="shared" si="4"/>
        <v>101.95571689441061</v>
      </c>
      <c r="T30" s="9">
        <f t="shared" si="5"/>
        <v>93.255737123826989</v>
      </c>
      <c r="U30" s="9">
        <f t="shared" si="6"/>
        <v>278.21967695999996</v>
      </c>
      <c r="V30" s="33">
        <f t="shared" si="7"/>
        <v>-3.4438771628139193</v>
      </c>
      <c r="W30">
        <v>4885.1000000000004</v>
      </c>
      <c r="AE30" s="16"/>
      <c r="AF30" s="21" t="s">
        <v>93</v>
      </c>
      <c r="AG30" s="18">
        <f t="shared" si="8"/>
        <v>6582.7023501100002</v>
      </c>
      <c r="AH30" s="18">
        <f t="shared" si="0"/>
        <v>64554.258001706228</v>
      </c>
      <c r="AI30" s="18"/>
      <c r="AJ30" s="26">
        <f t="shared" si="9"/>
        <v>0.40396750068752335</v>
      </c>
      <c r="AK30" s="26">
        <f t="shared" si="10"/>
        <v>3.0569968561275404E-2</v>
      </c>
      <c r="AL30" s="35">
        <f t="shared" si="11"/>
        <v>3.9</v>
      </c>
      <c r="AM30" s="27">
        <f t="shared" si="12"/>
        <v>0.16318974161172417</v>
      </c>
      <c r="AN30" s="26">
        <f t="shared" si="13"/>
        <v>0.83284880624336355</v>
      </c>
      <c r="AO30" s="40"/>
    </row>
    <row r="31" spans="1:41" x14ac:dyDescent="0.55000000000000004">
      <c r="A31">
        <v>4</v>
      </c>
      <c r="B31" s="8">
        <f>'Imperial Units'!B31</f>
        <v>0.89722222222222225</v>
      </c>
      <c r="C31" s="8">
        <f t="shared" si="14"/>
        <v>0.24513888888888891</v>
      </c>
      <c r="D31" s="9">
        <f>'Imperial Units'!D31*0.3048</f>
        <v>1530.096</v>
      </c>
      <c r="E31" s="9">
        <f t="shared" si="15"/>
        <v>84770.465011152628</v>
      </c>
      <c r="F31" s="9">
        <f t="shared" si="16"/>
        <v>1.0248588170605673</v>
      </c>
      <c r="G31" s="9">
        <f>'Imperial Units'!E31*0.514444</f>
        <v>82.311040000000006</v>
      </c>
      <c r="H31" s="9">
        <f t="shared" si="17"/>
        <v>81.282152000000011</v>
      </c>
      <c r="I31" s="37">
        <f>'Imperial Units'!F31</f>
        <v>5.7</v>
      </c>
      <c r="J31" s="10"/>
      <c r="K31" s="10"/>
      <c r="L31" s="10"/>
      <c r="M31" s="9">
        <f>'Imperial Units'!G31*0.45359237</f>
        <v>209.55967494000001</v>
      </c>
      <c r="N31" s="9">
        <f>'Imperial Units'!H31*0.45359237</f>
        <v>225.43540789000002</v>
      </c>
      <c r="O31" s="9">
        <f>'Imperial Units'!I31*0.45359237</f>
        <v>180.98335563000001</v>
      </c>
      <c r="P31" s="9">
        <f>'Imperial Units'!J31+273.15</f>
        <v>278.34999999999997</v>
      </c>
      <c r="Q31" s="9">
        <f t="shared" si="2"/>
        <v>274.61473062383413</v>
      </c>
      <c r="R31" s="34">
        <f t="shared" si="3"/>
        <v>0.26078586666376485</v>
      </c>
      <c r="S31" s="9">
        <f t="shared" si="4"/>
        <v>86.626532752483996</v>
      </c>
      <c r="T31" s="9">
        <f t="shared" si="5"/>
        <v>79.234607066522514</v>
      </c>
      <c r="U31" s="9">
        <f t="shared" si="6"/>
        <v>278.21967695999996</v>
      </c>
      <c r="V31" s="33">
        <f t="shared" si="7"/>
        <v>-3.6049463361658241</v>
      </c>
      <c r="W31">
        <v>4046.33</v>
      </c>
      <c r="AE31" s="16"/>
      <c r="AF31" s="21" t="s">
        <v>93</v>
      </c>
      <c r="AG31" s="18">
        <f t="shared" si="8"/>
        <v>6565.9194324199998</v>
      </c>
      <c r="AH31" s="18">
        <f t="shared" si="0"/>
        <v>64389.673801941586</v>
      </c>
      <c r="AI31" s="18"/>
      <c r="AJ31" s="26">
        <f t="shared" si="9"/>
        <v>0.55816044999566483</v>
      </c>
      <c r="AK31" s="26">
        <f t="shared" si="10"/>
        <v>3.5075521279669161E-2</v>
      </c>
      <c r="AL31" s="35">
        <f t="shared" si="11"/>
        <v>5.7</v>
      </c>
      <c r="AM31" s="27">
        <f t="shared" si="12"/>
        <v>0.31154308793936308</v>
      </c>
      <c r="AN31" s="26">
        <f t="shared" si="13"/>
        <v>0.98781011695884968</v>
      </c>
      <c r="AO31" s="40"/>
    </row>
    <row r="32" spans="1:41" x14ac:dyDescent="0.55000000000000004">
      <c r="A32">
        <v>5</v>
      </c>
      <c r="B32" s="8">
        <f>'Imperial Units'!B32</f>
        <v>0.95694444444444438</v>
      </c>
      <c r="C32" s="8">
        <f t="shared" si="14"/>
        <v>0.30486111111111103</v>
      </c>
      <c r="D32" s="9">
        <f>'Imperial Units'!D32*0.3048</f>
        <v>1527.048</v>
      </c>
      <c r="E32" s="9">
        <f t="shared" si="15"/>
        <v>84800.089801482041</v>
      </c>
      <c r="F32" s="9">
        <f t="shared" si="16"/>
        <v>1.0252169751474514</v>
      </c>
      <c r="G32" s="9">
        <f>'Imperial Units'!E32*0.514444</f>
        <v>69.964383999999995</v>
      </c>
      <c r="H32" s="9">
        <f t="shared" si="17"/>
        <v>68.935496000000001</v>
      </c>
      <c r="I32" s="37">
        <f>'Imperial Units'!F32</f>
        <v>8.1999999999999993</v>
      </c>
      <c r="J32" s="10"/>
      <c r="K32" s="10"/>
      <c r="L32" s="10"/>
      <c r="M32" s="9">
        <f>'Imperial Units'!G32*0.45359237</f>
        <v>197.31268095000001</v>
      </c>
      <c r="N32" s="9">
        <f>'Imperial Units'!H32*0.45359237</f>
        <v>216.81715286000002</v>
      </c>
      <c r="O32" s="9">
        <f>'Imperial Units'!I32*0.45359237</f>
        <v>189.60161066000001</v>
      </c>
      <c r="P32" s="9">
        <f>'Imperial Units'!J32+273.15</f>
        <v>277.14999999999998</v>
      </c>
      <c r="Q32" s="9">
        <f t="shared" si="2"/>
        <v>274.46368703018146</v>
      </c>
      <c r="R32" s="34">
        <f t="shared" si="3"/>
        <v>0.22121820294547892</v>
      </c>
      <c r="S32" s="9">
        <f t="shared" si="4"/>
        <v>73.462934574963541</v>
      </c>
      <c r="T32" s="9">
        <f t="shared" si="5"/>
        <v>67.206011619760446</v>
      </c>
      <c r="U32" s="9">
        <f t="shared" si="6"/>
        <v>278.23945848</v>
      </c>
      <c r="V32" s="33">
        <f t="shared" si="7"/>
        <v>-3.7757714498185351</v>
      </c>
      <c r="W32">
        <v>3975.34</v>
      </c>
      <c r="AE32" s="16"/>
      <c r="AF32" s="21" t="s">
        <v>93</v>
      </c>
      <c r="AG32" s="18">
        <f t="shared" si="8"/>
        <v>6557.3011773899998</v>
      </c>
      <c r="AH32" s="18">
        <f t="shared" si="0"/>
        <v>64305.157591251635</v>
      </c>
      <c r="AI32" s="18"/>
      <c r="AJ32" s="26">
        <f t="shared" si="9"/>
        <v>0.77482248224934502</v>
      </c>
      <c r="AK32" s="26">
        <f t="shared" si="10"/>
        <v>4.7899467507162341E-2</v>
      </c>
      <c r="AL32" s="35">
        <f t="shared" si="11"/>
        <v>8.1999999999999993</v>
      </c>
      <c r="AM32" s="27">
        <f t="shared" si="12"/>
        <v>0.60034987899903658</v>
      </c>
      <c r="AN32" s="26">
        <f t="shared" si="13"/>
        <v>0.91605943302852455</v>
      </c>
      <c r="AO32" s="40"/>
    </row>
    <row r="33" spans="1:41" x14ac:dyDescent="0.55000000000000004">
      <c r="A33">
        <v>6</v>
      </c>
      <c r="B33" s="11">
        <v>2.0187499999999998</v>
      </c>
      <c r="C33" s="8">
        <f t="shared" si="14"/>
        <v>1.3666666666666665</v>
      </c>
      <c r="D33" s="9">
        <f>'Imperial Units'!D33*0.3048</f>
        <v>1530.096</v>
      </c>
      <c r="E33" s="9">
        <f t="shared" si="15"/>
        <v>84770.465011152628</v>
      </c>
      <c r="F33" s="9">
        <f t="shared" si="16"/>
        <v>1.0248588170605673</v>
      </c>
      <c r="G33" s="9">
        <f>'Imperial Units'!E33*0.514444</f>
        <v>62.762168000000003</v>
      </c>
      <c r="H33" s="9">
        <f t="shared" si="17"/>
        <v>61.733280000000001</v>
      </c>
      <c r="I33" s="37">
        <f>'Imperial Units'!F33</f>
        <v>10.3</v>
      </c>
      <c r="J33" s="10"/>
      <c r="K33" s="10"/>
      <c r="L33" s="10"/>
      <c r="M33" s="9">
        <f>'Imperial Units'!G33*0.45359237</f>
        <v>195.95190384</v>
      </c>
      <c r="N33" s="9">
        <f>'Imperial Units'!H33*0.45359237</f>
        <v>216.36356049</v>
      </c>
      <c r="O33" s="9">
        <f>'Imperial Units'!I33*0.45359237</f>
        <v>200.03423517000002</v>
      </c>
      <c r="P33" s="9">
        <f>'Imperial Units'!J33+273.15</f>
        <v>276.95</v>
      </c>
      <c r="Q33" s="9">
        <f t="shared" si="2"/>
        <v>274.79153123629254</v>
      </c>
      <c r="R33" s="34">
        <f t="shared" si="3"/>
        <v>0.19817835271423376</v>
      </c>
      <c r="S33" s="9">
        <f t="shared" si="4"/>
        <v>65.851072476370902</v>
      </c>
      <c r="T33" s="9">
        <f t="shared" si="5"/>
        <v>60.231936876461546</v>
      </c>
      <c r="U33" s="9">
        <f t="shared" si="6"/>
        <v>278.21967695999996</v>
      </c>
      <c r="V33" s="33">
        <f t="shared" si="7"/>
        <v>-3.4281457237074164</v>
      </c>
      <c r="W33">
        <v>4103.7700000000004</v>
      </c>
      <c r="AE33" s="16"/>
      <c r="AF33" s="21" t="s">
        <v>93</v>
      </c>
      <c r="AG33" s="18">
        <f t="shared" si="8"/>
        <v>6546.8685528799997</v>
      </c>
      <c r="AH33" s="18">
        <f t="shared" si="0"/>
        <v>64202.848494100646</v>
      </c>
      <c r="AI33" s="18"/>
      <c r="AJ33" s="26">
        <f t="shared" si="9"/>
        <v>0.96310423186684524</v>
      </c>
      <c r="AK33" s="26">
        <f t="shared" si="10"/>
        <v>6.1560481291906714E-2</v>
      </c>
      <c r="AL33" s="35">
        <f t="shared" si="11"/>
        <v>10.3</v>
      </c>
      <c r="AM33" s="27">
        <f t="shared" si="12"/>
        <v>0.92756976143982595</v>
      </c>
      <c r="AN33" s="26">
        <f t="shared" si="13"/>
        <v>0.9115929158400452</v>
      </c>
      <c r="AO33" s="40"/>
    </row>
    <row r="34" spans="1:41" x14ac:dyDescent="0.55000000000000004">
      <c r="A34">
        <v>7</v>
      </c>
      <c r="B34" s="8"/>
      <c r="H34" s="9"/>
      <c r="AE34" s="16"/>
      <c r="AF34" s="21"/>
      <c r="AG34" s="16"/>
      <c r="AH34" s="16"/>
      <c r="AI34" s="16"/>
      <c r="AL34" s="13"/>
      <c r="AN34" s="33">
        <f>AVERAGE(AN28:AN33)</f>
        <v>0.9042236930416131</v>
      </c>
    </row>
    <row r="35" spans="1:41" ht="16.8" x14ac:dyDescent="0.75">
      <c r="C35" t="s">
        <v>43</v>
      </c>
      <c r="H35" s="9"/>
      <c r="AE35" s="16"/>
      <c r="AF35" s="21"/>
      <c r="AG35" s="16"/>
      <c r="AH35" s="16"/>
      <c r="AI35" s="16"/>
      <c r="AJ35" s="25" t="s">
        <v>115</v>
      </c>
      <c r="AK35" s="19">
        <v>2.317897E-2</v>
      </c>
      <c r="AL35" s="13" t="s">
        <v>116</v>
      </c>
    </row>
    <row r="36" spans="1:41" x14ac:dyDescent="0.55000000000000004">
      <c r="AE36" s="16"/>
      <c r="AF36" s="21"/>
      <c r="AG36" s="16"/>
      <c r="AH36" s="16"/>
      <c r="AI36" s="16"/>
      <c r="AL36" s="13"/>
    </row>
    <row r="37" spans="1:41" x14ac:dyDescent="0.55000000000000004">
      <c r="A37" s="32"/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AE37" s="16"/>
      <c r="AF37" s="21"/>
      <c r="AG37" s="16"/>
      <c r="AH37" s="16"/>
      <c r="AI37" s="16"/>
      <c r="AL37" s="13"/>
    </row>
    <row r="38" spans="1:41" x14ac:dyDescent="0.55000000000000004">
      <c r="A38" s="1" t="s">
        <v>28</v>
      </c>
      <c r="AE38" s="16"/>
      <c r="AF38" s="21"/>
      <c r="AG38" s="16"/>
      <c r="AH38" s="16"/>
      <c r="AI38" s="16"/>
      <c r="AL38" s="13"/>
    </row>
    <row r="39" spans="1:41" x14ac:dyDescent="0.55000000000000004">
      <c r="AE39" s="16"/>
      <c r="AF39" s="21"/>
      <c r="AG39" s="16"/>
      <c r="AH39" s="16"/>
      <c r="AI39" s="16"/>
      <c r="AL39" s="13"/>
    </row>
    <row r="40" spans="1:41" x14ac:dyDescent="0.55000000000000004">
      <c r="A40" t="s">
        <v>44</v>
      </c>
      <c r="D40" t="s">
        <v>78</v>
      </c>
      <c r="AE40" s="16"/>
      <c r="AF40" s="21"/>
      <c r="AG40" s="16"/>
      <c r="AH40" s="16"/>
      <c r="AI40" s="16"/>
      <c r="AL40" s="13"/>
    </row>
    <row r="41" spans="1:41" x14ac:dyDescent="0.55000000000000004">
      <c r="AE41" s="16"/>
      <c r="AF41" s="21"/>
      <c r="AG41" s="16"/>
      <c r="AH41" s="16"/>
      <c r="AI41" s="16"/>
      <c r="AL41" s="13"/>
    </row>
    <row r="42" spans="1:41" x14ac:dyDescent="0.55000000000000004">
      <c r="A42" t="s">
        <v>10</v>
      </c>
      <c r="B42" t="s">
        <v>11</v>
      </c>
      <c r="C42" t="s">
        <v>13</v>
      </c>
      <c r="D42" t="s">
        <v>15</v>
      </c>
      <c r="E42" t="s">
        <v>98</v>
      </c>
      <c r="G42" t="s">
        <v>17</v>
      </c>
      <c r="H42" t="s">
        <v>97</v>
      </c>
      <c r="I42" t="s">
        <v>19</v>
      </c>
      <c r="J42" t="s">
        <v>29</v>
      </c>
      <c r="K42" t="s">
        <v>30</v>
      </c>
      <c r="L42" t="s">
        <v>31</v>
      </c>
      <c r="M42" t="s">
        <v>21</v>
      </c>
      <c r="N42" t="s">
        <v>23</v>
      </c>
      <c r="O42" t="s">
        <v>59</v>
      </c>
      <c r="P42" t="s">
        <v>25</v>
      </c>
      <c r="Q42" t="s">
        <v>102</v>
      </c>
      <c r="R42" t="s">
        <v>94</v>
      </c>
      <c r="S42" t="s">
        <v>100</v>
      </c>
      <c r="T42" t="s">
        <v>103</v>
      </c>
      <c r="U42" t="s">
        <v>104</v>
      </c>
      <c r="V42" t="s">
        <v>105</v>
      </c>
      <c r="W42" t="s">
        <v>96</v>
      </c>
      <c r="X42" t="s">
        <v>118</v>
      </c>
      <c r="Y42" t="s">
        <v>120</v>
      </c>
      <c r="Z42" t="s">
        <v>123</v>
      </c>
      <c r="AA42" t="s">
        <v>126</v>
      </c>
      <c r="AB42" t="s">
        <v>127</v>
      </c>
      <c r="AE42" s="16"/>
      <c r="AF42" s="21"/>
      <c r="AG42" s="16"/>
      <c r="AH42" s="16"/>
      <c r="AI42" s="16"/>
      <c r="AL42" s="13"/>
    </row>
    <row r="43" spans="1:41" x14ac:dyDescent="0.55000000000000004">
      <c r="B43" t="s">
        <v>58</v>
      </c>
      <c r="C43" t="s">
        <v>14</v>
      </c>
      <c r="D43" t="s">
        <v>79</v>
      </c>
      <c r="E43" t="s">
        <v>99</v>
      </c>
      <c r="G43" t="s">
        <v>80</v>
      </c>
      <c r="H43" t="s">
        <v>80</v>
      </c>
      <c r="I43" t="s">
        <v>20</v>
      </c>
      <c r="J43" t="s">
        <v>20</v>
      </c>
      <c r="K43" t="s">
        <v>20</v>
      </c>
      <c r="L43" t="s">
        <v>32</v>
      </c>
      <c r="M43" t="s">
        <v>81</v>
      </c>
      <c r="N43" t="s">
        <v>81</v>
      </c>
      <c r="O43" t="s">
        <v>82</v>
      </c>
      <c r="P43" t="s">
        <v>26</v>
      </c>
      <c r="Q43" t="s">
        <v>101</v>
      </c>
      <c r="R43" t="s">
        <v>80</v>
      </c>
      <c r="S43" t="s">
        <v>80</v>
      </c>
      <c r="T43" t="s">
        <v>80</v>
      </c>
      <c r="U43" t="s">
        <v>101</v>
      </c>
      <c r="V43" t="s">
        <v>101</v>
      </c>
      <c r="W43" t="s">
        <v>32</v>
      </c>
      <c r="X43" t="s">
        <v>80</v>
      </c>
      <c r="Y43" t="s">
        <v>121</v>
      </c>
      <c r="Z43" t="s">
        <v>121</v>
      </c>
      <c r="AA43" t="s">
        <v>121</v>
      </c>
      <c r="AB43" t="s">
        <v>121</v>
      </c>
      <c r="AE43" s="16"/>
      <c r="AF43" s="21"/>
      <c r="AG43" s="16"/>
      <c r="AH43" s="16"/>
      <c r="AI43" s="16"/>
      <c r="AL43" s="13"/>
    </row>
    <row r="44" spans="1:41" ht="16.8" x14ac:dyDescent="0.75">
      <c r="AE44" s="16"/>
      <c r="AF44" s="21"/>
      <c r="AG44" s="16"/>
      <c r="AH44" s="16"/>
      <c r="AI44" s="16"/>
      <c r="AJ44" s="42" t="s">
        <v>109</v>
      </c>
      <c r="AK44" s="42" t="s">
        <v>110</v>
      </c>
      <c r="AL44" s="43" t="s">
        <v>111</v>
      </c>
      <c r="AM44" s="42"/>
    </row>
    <row r="45" spans="1:41" x14ac:dyDescent="0.55000000000000004">
      <c r="A45">
        <v>1</v>
      </c>
      <c r="B45" s="11">
        <f>'Imperial Units'!B59</f>
        <v>2.013888888888889E-2</v>
      </c>
      <c r="C45" s="12">
        <f>'Imperial Units'!C59</f>
        <v>25</v>
      </c>
      <c r="D45" s="12">
        <f>'Imperial Units'!D59*0.3048</f>
        <v>1990.3440000000001</v>
      </c>
      <c r="E45" s="9">
        <f>101325*(1+((0.00649*D45)/288.15))^(-9.80665/(0.00649*287))</f>
        <v>80435.102877343423</v>
      </c>
      <c r="F45" s="9">
        <f>1.225*(1+((0.00649*D45)/288.15))^(-9.80665/(0.00649*287))</f>
        <v>0.9724451125067427</v>
      </c>
      <c r="G45" s="12">
        <f>'Imperial Units'!E59*0.514444</f>
        <v>82.311040000000006</v>
      </c>
      <c r="H45" s="9">
        <f>G45-2*0.514444</f>
        <v>81.282152000000011</v>
      </c>
      <c r="I45" s="13">
        <f>'Imperial Units'!F59</f>
        <v>5.5</v>
      </c>
      <c r="J45" s="13">
        <f>'Imperial Units'!G59</f>
        <v>-0.1</v>
      </c>
      <c r="K45" s="13">
        <f>'Imperial Units'!H59</f>
        <v>3.1</v>
      </c>
      <c r="L45" s="12">
        <f>'Imperial Units'!I59</f>
        <v>-1</v>
      </c>
      <c r="M45" s="12">
        <f>'Imperial Units'!J59*0.45359237</f>
        <v>200.48782754000001</v>
      </c>
      <c r="N45" s="12">
        <f>'Imperial Units'!K59*0.45359237</f>
        <v>217.27074523000002</v>
      </c>
      <c r="O45" s="12">
        <f>'Imperial Units'!L59*0.45359237</f>
        <v>242.67191795000002</v>
      </c>
      <c r="P45" s="13">
        <f>'Imperial Units'!M59+273.15</f>
        <v>275.64999999999998</v>
      </c>
      <c r="Q45" s="9">
        <f t="shared" ref="Q45:Q51" si="18">P45/(1+(0.4/2)*R45^2)</f>
        <v>271.75785059088309</v>
      </c>
      <c r="R45" s="34">
        <f t="shared" ref="R45:R51" si="19">SQRT(2/0.4*((1+101325/E45*((1+0.4/2.8*1.225/101325*H45^2)^(1.4/0.4)-1))^(0.4/1.4)-1))</f>
        <v>0.26760159913560244</v>
      </c>
      <c r="S45" s="9">
        <f t="shared" ref="S45:S51" si="20">R45*SQRT(1.4*287*Q45)</f>
        <v>88.426965134600351</v>
      </c>
      <c r="T45" s="9">
        <f t="shared" ref="T45:T51" si="21">S45*SQRT(E45/101325)</f>
        <v>78.78603136894526</v>
      </c>
      <c r="U45" s="9">
        <f t="shared" ref="U45:U51" si="22">288.15-0.00649*D45</f>
        <v>275.23266744</v>
      </c>
      <c r="V45" s="33">
        <f t="shared" ref="V45:V51" si="23">Q45-U45</f>
        <v>-3.4748168491169054</v>
      </c>
      <c r="W45">
        <v>3929.46</v>
      </c>
      <c r="X45" s="9">
        <f>T45*SQRT($O$6/AG45)</f>
        <v>76.728218653285182</v>
      </c>
      <c r="Y45" s="33">
        <f>W45/(0.5*F45*T45^2*$O$7^2)</f>
        <v>2.7666300471072276</v>
      </c>
      <c r="Z45" s="33">
        <f>W45/(0.5*F45*X45^2*$O$7^2)</f>
        <v>2.9170193322214741</v>
      </c>
      <c r="AA45" s="33">
        <f>RADIANS(J45)-$O$9/$O$8*(Z45-Y45)</f>
        <v>-2.5720698676369837E-3</v>
      </c>
      <c r="AB45" s="33">
        <f>L45*$O$6/AG45</f>
        <v>-0.94844419320330109</v>
      </c>
      <c r="AC45" s="33"/>
      <c r="AD45" s="33"/>
      <c r="AE45" s="30"/>
      <c r="AF45" s="21" t="s">
        <v>93</v>
      </c>
      <c r="AG45" s="18">
        <f t="shared" ref="AG45:AG51" si="24">$AG$16-O45</f>
        <v>6504.2308701000002</v>
      </c>
      <c r="AH45" s="18">
        <f t="shared" ref="AH45:AH51" si="25">AG45*9.80665</f>
        <v>63784.715662266164</v>
      </c>
      <c r="AI45" s="18"/>
      <c r="AJ45" s="26">
        <f t="shared" ref="AJ45:AJ51" si="26">2*AH45/(1.225*$T45^2*$O$2)</f>
        <v>0.55923047088683875</v>
      </c>
      <c r="AK45" s="26">
        <f t="shared" ref="AK45:AK51" si="27">2*W45/(1.225*$T45^2*$O$2)</f>
        <v>3.4451415880983244E-2</v>
      </c>
      <c r="AL45" s="35">
        <f t="shared" ref="AL45:AL51" si="28">I45</f>
        <v>5.5</v>
      </c>
      <c r="AM45" s="38"/>
    </row>
    <row r="46" spans="1:41" x14ac:dyDescent="0.55000000000000004">
      <c r="A46">
        <v>2</v>
      </c>
      <c r="B46" s="11">
        <f>'Imperial Units'!B60</f>
        <v>2.0833333333333332E-2</v>
      </c>
      <c r="C46" s="12">
        <f>'Imperial Units'!C60</f>
        <v>35</v>
      </c>
      <c r="D46" s="12">
        <f>'Imperial Units'!D60*0.3048</f>
        <v>2045.2080000000001</v>
      </c>
      <c r="E46" s="9">
        <f t="shared" ref="E46:E51" si="29">101325*(1+((0.00649*D46)/288.15))^(-9.80665/(0.00649*287))</f>
        <v>79936.102449549624</v>
      </c>
      <c r="F46" s="9">
        <f t="shared" ref="F46:F51" si="30">1.225*(1+((0.00649*D46)/288.15))^(-9.80665/(0.00649*287))</f>
        <v>0.96641229213617863</v>
      </c>
      <c r="G46" s="12">
        <f>'Imperial Units'!E60*0.514444</f>
        <v>76.652156000000005</v>
      </c>
      <c r="H46" s="9">
        <f t="shared" ref="H46:H51" si="31">G46-2*0.514444</f>
        <v>75.62326800000001</v>
      </c>
      <c r="I46" s="13">
        <f>'Imperial Units'!F60</f>
        <v>6.5</v>
      </c>
      <c r="J46" s="13">
        <f>'Imperial Units'!G60</f>
        <v>-0.4</v>
      </c>
      <c r="K46" s="13">
        <f>'Imperial Units'!H60</f>
        <v>3.1</v>
      </c>
      <c r="L46" s="12">
        <f>'Imperial Units'!I60</f>
        <v>-25</v>
      </c>
      <c r="M46" s="12">
        <f>'Imperial Units'!J60*0.45359237</f>
        <v>198.67345806</v>
      </c>
      <c r="N46" s="12">
        <f>'Imperial Units'!K60*0.45359237</f>
        <v>215.45637575000001</v>
      </c>
      <c r="O46" s="12">
        <f>'Imperial Units'!L60*0.45359237</f>
        <v>252.65095009000001</v>
      </c>
      <c r="P46" s="13">
        <f>'Imperial Units'!M60+273.15</f>
        <v>275.14999999999998</v>
      </c>
      <c r="Q46" s="9">
        <f t="shared" si="18"/>
        <v>271.75858852704795</v>
      </c>
      <c r="R46" s="34">
        <f t="shared" si="19"/>
        <v>0.24979492204700235</v>
      </c>
      <c r="S46" s="9">
        <f t="shared" si="20"/>
        <v>82.542992732033952</v>
      </c>
      <c r="T46" s="9">
        <f t="shared" si="21"/>
        <v>73.315092891232794</v>
      </c>
      <c r="U46" s="9">
        <f t="shared" si="22"/>
        <v>274.87660008</v>
      </c>
      <c r="V46" s="33">
        <f t="shared" si="23"/>
        <v>-3.1180115529520549</v>
      </c>
      <c r="W46">
        <v>3999.92</v>
      </c>
      <c r="X46" s="9">
        <f t="shared" ref="X46:X51" si="32">T46*SQRT($O$6/AG46)</f>
        <v>71.455011147191541</v>
      </c>
      <c r="Y46" s="33">
        <f t="shared" ref="Y46:Y51" si="33">W46/(0.5*F46*T46^2*$O$7^2)</f>
        <v>3.2725315786516704</v>
      </c>
      <c r="Z46" s="33">
        <f t="shared" ref="Z46:Z51" si="34">W46/(0.5*F46*X46^2*$O$7^2)</f>
        <v>3.4451270436286445</v>
      </c>
      <c r="AA46" s="33">
        <f t="shared" ref="AA46:AA51" si="35">RADIANS(J46)-$O$9/$O$8*(Z46-Y46)</f>
        <v>-7.9301324828550315E-3</v>
      </c>
      <c r="AB46" s="33">
        <f t="shared" ref="AB46:AB51" si="36">L46*$O$6/AG46</f>
        <v>-23.747539185121127</v>
      </c>
      <c r="AC46" s="33"/>
      <c r="AD46" s="33"/>
      <c r="AE46" s="30"/>
      <c r="AF46" s="21" t="s">
        <v>93</v>
      </c>
      <c r="AG46" s="18">
        <f t="shared" si="24"/>
        <v>6494.2518379599996</v>
      </c>
      <c r="AH46" s="18">
        <f t="shared" si="25"/>
        <v>63686.85478673043</v>
      </c>
      <c r="AI46" s="18"/>
      <c r="AJ46" s="26">
        <f t="shared" si="26"/>
        <v>0.64481580733201926</v>
      </c>
      <c r="AK46" s="26">
        <f t="shared" si="27"/>
        <v>4.0498336001998425E-2</v>
      </c>
      <c r="AL46" s="35">
        <f t="shared" si="28"/>
        <v>6.5</v>
      </c>
      <c r="AM46" s="38"/>
    </row>
    <row r="47" spans="1:41" x14ac:dyDescent="0.55000000000000004">
      <c r="A47">
        <v>3</v>
      </c>
      <c r="B47" s="11">
        <f>'Imperial Units'!B61</f>
        <v>2.1527777777777781E-2</v>
      </c>
      <c r="C47" s="12">
        <f>'Imperial Units'!C61</f>
        <v>28</v>
      </c>
      <c r="D47" s="12">
        <f>'Imperial Units'!D61*0.3048</f>
        <v>2097.0239999999999</v>
      </c>
      <c r="E47" s="9">
        <f t="shared" si="29"/>
        <v>79468.203194419417</v>
      </c>
      <c r="F47" s="9">
        <f t="shared" si="30"/>
        <v>0.96075547903443159</v>
      </c>
      <c r="G47" s="12">
        <f>'Imperial Units'!E61*0.514444</f>
        <v>72.02216</v>
      </c>
      <c r="H47" s="9">
        <f t="shared" si="31"/>
        <v>70.993272000000005</v>
      </c>
      <c r="I47" s="13">
        <f>'Imperial Units'!F61</f>
        <v>7.5</v>
      </c>
      <c r="J47" s="13">
        <f>'Imperial Units'!G61</f>
        <v>-0.9</v>
      </c>
      <c r="K47" s="13">
        <f>'Imperial Units'!H61</f>
        <v>3.1</v>
      </c>
      <c r="L47" s="12">
        <f>'Imperial Units'!I61</f>
        <v>-39</v>
      </c>
      <c r="M47" s="12">
        <f>'Imperial Units'!J61*0.45359237</f>
        <v>196.85908858000002</v>
      </c>
      <c r="N47" s="12">
        <f>'Imperial Units'!K61*0.45359237</f>
        <v>213.64200627000002</v>
      </c>
      <c r="O47" s="12">
        <f>'Imperial Units'!L61*0.45359237</f>
        <v>257.64046616000002</v>
      </c>
      <c r="P47" s="13">
        <f>'Imperial Units'!M61+273.15</f>
        <v>274.64999999999998</v>
      </c>
      <c r="Q47" s="9">
        <f t="shared" si="18"/>
        <v>271.64392209300581</v>
      </c>
      <c r="R47" s="34">
        <f t="shared" si="19"/>
        <v>0.23522589080588541</v>
      </c>
      <c r="S47" s="9">
        <f t="shared" si="20"/>
        <v>77.712357544673935</v>
      </c>
      <c r="T47" s="9">
        <f t="shared" si="21"/>
        <v>68.822187876151773</v>
      </c>
      <c r="U47" s="9">
        <f t="shared" si="22"/>
        <v>274.54031423999999</v>
      </c>
      <c r="V47" s="33">
        <f t="shared" si="23"/>
        <v>-2.8963921469941738</v>
      </c>
      <c r="W47">
        <v>4057.88</v>
      </c>
      <c r="X47" s="9">
        <f t="shared" si="32"/>
        <v>67.101877950805573</v>
      </c>
      <c r="Y47" s="33">
        <f t="shared" si="33"/>
        <v>3.7897550871034218</v>
      </c>
      <c r="Z47" s="33">
        <f t="shared" si="34"/>
        <v>3.9865640383101031</v>
      </c>
      <c r="AA47" s="33">
        <f t="shared" si="35"/>
        <v>-1.6789888442079494E-2</v>
      </c>
      <c r="AB47" s="33">
        <f t="shared" si="36"/>
        <v>-37.074645478336727</v>
      </c>
      <c r="AC47" s="33"/>
      <c r="AD47" s="33"/>
      <c r="AE47" s="30"/>
      <c r="AF47" s="21" t="s">
        <v>93</v>
      </c>
      <c r="AG47" s="18">
        <f t="shared" si="24"/>
        <v>6489.2623218899998</v>
      </c>
      <c r="AH47" s="18">
        <f t="shared" si="25"/>
        <v>63637.924348962566</v>
      </c>
      <c r="AI47" s="18"/>
      <c r="AJ47" s="26">
        <f t="shared" si="26"/>
        <v>0.73119246711242358</v>
      </c>
      <c r="AK47" s="26">
        <f t="shared" si="27"/>
        <v>4.6624576756713963E-2</v>
      </c>
      <c r="AL47" s="35">
        <f t="shared" si="28"/>
        <v>7.5</v>
      </c>
      <c r="AM47" s="38"/>
    </row>
    <row r="48" spans="1:41" x14ac:dyDescent="0.55000000000000004">
      <c r="A48">
        <v>4</v>
      </c>
      <c r="B48" s="11">
        <f>'Imperial Units'!B62</f>
        <v>2.2916666666666669E-2</v>
      </c>
      <c r="C48" s="12">
        <f>'Imperial Units'!C62</f>
        <v>17</v>
      </c>
      <c r="D48" s="12">
        <f>'Imperial Units'!D62*0.3048</f>
        <v>2179.3200000000002</v>
      </c>
      <c r="E48" s="9">
        <f t="shared" si="29"/>
        <v>78731.749499247249</v>
      </c>
      <c r="F48" s="9">
        <f t="shared" si="30"/>
        <v>0.95185189377328283</v>
      </c>
      <c r="G48" s="12">
        <f>'Imperial Units'!E62*0.514444</f>
        <v>66.877719999999997</v>
      </c>
      <c r="H48" s="9">
        <f t="shared" si="31"/>
        <v>65.848832000000002</v>
      </c>
      <c r="I48" s="13">
        <f>'Imperial Units'!F62</f>
        <v>9.1</v>
      </c>
      <c r="J48" s="13">
        <f>'Imperial Units'!G62</f>
        <v>-1.5</v>
      </c>
      <c r="K48" s="13">
        <f>'Imperial Units'!H62</f>
        <v>3.1</v>
      </c>
      <c r="L48" s="12">
        <f>'Imperial Units'!I62</f>
        <v>-50</v>
      </c>
      <c r="M48" s="12">
        <f>'Imperial Units'!J62*0.45359237</f>
        <v>195.04471910000001</v>
      </c>
      <c r="N48" s="12">
        <f>'Imperial Units'!K62*0.45359237</f>
        <v>211.37404442000002</v>
      </c>
      <c r="O48" s="12">
        <f>'Imperial Units'!L62*0.45359237</f>
        <v>268.52668304000002</v>
      </c>
      <c r="P48" s="13">
        <f>'Imperial Units'!M62+273.15</f>
        <v>273.95</v>
      </c>
      <c r="Q48" s="9">
        <f t="shared" si="18"/>
        <v>271.34174185691398</v>
      </c>
      <c r="R48" s="34">
        <f t="shared" si="19"/>
        <v>0.21923100958541789</v>
      </c>
      <c r="S48" s="9">
        <f t="shared" si="20"/>
        <v>72.38777942069926</v>
      </c>
      <c r="T48" s="9">
        <f t="shared" si="21"/>
        <v>63.808994215795799</v>
      </c>
      <c r="U48" s="9">
        <f t="shared" si="22"/>
        <v>274.00621319999999</v>
      </c>
      <c r="V48" s="33">
        <f t="shared" si="23"/>
        <v>-2.6644713430860065</v>
      </c>
      <c r="W48">
        <v>4131.17</v>
      </c>
      <c r="X48" s="9">
        <f t="shared" si="32"/>
        <v>62.266246338452099</v>
      </c>
      <c r="Y48" s="33">
        <f t="shared" si="33"/>
        <v>4.5302446324231234</v>
      </c>
      <c r="Z48" s="33">
        <f t="shared" si="34"/>
        <v>4.7575140748820335</v>
      </c>
      <c r="AA48" s="33">
        <f t="shared" si="35"/>
        <v>-2.7429315546567603E-2</v>
      </c>
      <c r="AB48" s="33">
        <f t="shared" si="36"/>
        <v>-47.611468522407421</v>
      </c>
      <c r="AC48" s="33"/>
      <c r="AD48" s="33"/>
      <c r="AE48" s="30"/>
      <c r="AF48" s="21" t="s">
        <v>93</v>
      </c>
      <c r="AG48" s="18">
        <f t="shared" si="24"/>
        <v>6478.3761050100002</v>
      </c>
      <c r="AH48" s="18">
        <f t="shared" si="25"/>
        <v>63531.167030196317</v>
      </c>
      <c r="AI48" s="18"/>
      <c r="AJ48" s="26">
        <f t="shared" si="26"/>
        <v>0.84917204201754848</v>
      </c>
      <c r="AK48" s="26">
        <f t="shared" si="27"/>
        <v>5.5218158721281649E-2</v>
      </c>
      <c r="AL48" s="35">
        <f t="shared" si="28"/>
        <v>9.1</v>
      </c>
      <c r="AM48" s="38"/>
    </row>
    <row r="49" spans="1:41" x14ac:dyDescent="0.55000000000000004">
      <c r="A49">
        <v>5</v>
      </c>
      <c r="B49" s="11">
        <f>'Imperial Units'!B63</f>
        <v>2.361111111111111E-2</v>
      </c>
      <c r="C49" s="12">
        <f>'Imperial Units'!C63</f>
        <v>50</v>
      </c>
      <c r="D49" s="12">
        <f>'Imperial Units'!D63*0.3048</f>
        <v>1959.864</v>
      </c>
      <c r="E49" s="9">
        <f t="shared" si="29"/>
        <v>80713.926835132967</v>
      </c>
      <c r="F49" s="9">
        <f t="shared" si="30"/>
        <v>0.9758160411846819</v>
      </c>
      <c r="G49" s="12">
        <f>'Imperial Units'!E63*0.514444</f>
        <v>87.969924000000006</v>
      </c>
      <c r="H49" s="9">
        <f t="shared" si="31"/>
        <v>86.941036000000011</v>
      </c>
      <c r="I49" s="13">
        <f>'Imperial Units'!F63</f>
        <v>4.8</v>
      </c>
      <c r="J49" s="13">
        <f>'Imperial Units'!G63</f>
        <v>0.3</v>
      </c>
      <c r="K49" s="13">
        <f>'Imperial Units'!H63</f>
        <v>3.1</v>
      </c>
      <c r="L49" s="12">
        <f>'Imperial Units'!I63</f>
        <v>29</v>
      </c>
      <c r="M49" s="12">
        <f>'Imperial Units'!J63*0.45359237</f>
        <v>202.30219702000002</v>
      </c>
      <c r="N49" s="12">
        <f>'Imperial Units'!K63*0.45359237</f>
        <v>219.08511471</v>
      </c>
      <c r="O49" s="12">
        <f>'Imperial Units'!L63*0.45359237</f>
        <v>279.41289992000003</v>
      </c>
      <c r="P49" s="13">
        <f>'Imperial Units'!M63+273.15</f>
        <v>276.34999999999997</v>
      </c>
      <c r="Q49" s="9">
        <f t="shared" si="18"/>
        <v>271.91186717209803</v>
      </c>
      <c r="R49" s="34">
        <f t="shared" si="19"/>
        <v>0.28567423239659723</v>
      </c>
      <c r="S49" s="9">
        <f t="shared" si="20"/>
        <v>94.425678982229215</v>
      </c>
      <c r="T49" s="9">
        <f t="shared" si="21"/>
        <v>84.276414129073416</v>
      </c>
      <c r="U49" s="9">
        <f t="shared" si="22"/>
        <v>275.43048263999998</v>
      </c>
      <c r="V49" s="33">
        <f t="shared" si="23"/>
        <v>-3.5186154679019523</v>
      </c>
      <c r="W49">
        <v>3858.8</v>
      </c>
      <c r="X49" s="9">
        <f t="shared" si="32"/>
        <v>82.307997269263851</v>
      </c>
      <c r="Y49" s="33">
        <f t="shared" si="33"/>
        <v>2.3662138054646258</v>
      </c>
      <c r="Z49" s="33">
        <f t="shared" si="34"/>
        <v>2.4807443563675977</v>
      </c>
      <c r="AA49" s="33">
        <f t="shared" si="35"/>
        <v>4.6063746948431317E-3</v>
      </c>
      <c r="AB49" s="33">
        <f t="shared" si="36"/>
        <v>27.661133313611767</v>
      </c>
      <c r="AC49" s="33"/>
      <c r="AD49" s="33"/>
      <c r="AE49" s="30"/>
      <c r="AF49" s="21" t="s">
        <v>93</v>
      </c>
      <c r="AG49" s="18">
        <f t="shared" si="24"/>
        <v>6467.4898881299996</v>
      </c>
      <c r="AH49" s="18">
        <f t="shared" si="25"/>
        <v>63424.40971143006</v>
      </c>
      <c r="AI49" s="18"/>
      <c r="AJ49" s="26">
        <f t="shared" si="26"/>
        <v>0.48597842484991205</v>
      </c>
      <c r="AK49" s="26">
        <f t="shared" si="27"/>
        <v>2.9567378779607054E-2</v>
      </c>
      <c r="AL49" s="35">
        <f t="shared" si="28"/>
        <v>4.8</v>
      </c>
      <c r="AM49" s="38"/>
    </row>
    <row r="50" spans="1:41" x14ac:dyDescent="0.55000000000000004">
      <c r="A50">
        <v>6</v>
      </c>
      <c r="B50" s="11">
        <f>'Imperial Units'!B64</f>
        <v>2.4305555555555556E-2</v>
      </c>
      <c r="C50" s="12">
        <f>'Imperial Units'!C64</f>
        <v>36</v>
      </c>
      <c r="D50" s="12">
        <f>'Imperial Units'!D64*0.3048</f>
        <v>1813.5600000000002</v>
      </c>
      <c r="E50" s="9">
        <f t="shared" si="29"/>
        <v>82068.399417247711</v>
      </c>
      <c r="F50" s="9">
        <f t="shared" si="30"/>
        <v>0.9921913573760518</v>
      </c>
      <c r="G50" s="12">
        <f>'Imperial Units'!E64*0.514444</f>
        <v>93.628808000000006</v>
      </c>
      <c r="H50" s="9">
        <f t="shared" si="31"/>
        <v>92.599920000000012</v>
      </c>
      <c r="I50" s="13">
        <f>'Imperial Units'!F64</f>
        <v>4</v>
      </c>
      <c r="J50" s="13">
        <f>'Imperial Units'!G64</f>
        <v>0.6</v>
      </c>
      <c r="K50" s="13">
        <f>'Imperial Units'!H64</f>
        <v>3.1</v>
      </c>
      <c r="L50" s="12">
        <f>'Imperial Units'!I64</f>
        <v>43</v>
      </c>
      <c r="M50" s="12">
        <f>'Imperial Units'!J64*0.45359237</f>
        <v>206.38452835000001</v>
      </c>
      <c r="N50" s="12">
        <f>'Imperial Units'!K64*0.45359237</f>
        <v>222.71385367000002</v>
      </c>
      <c r="O50" s="12">
        <f>'Imperial Units'!L64*0.45359237</f>
        <v>288.03115495000003</v>
      </c>
      <c r="P50" s="13">
        <f>'Imperial Units'!M64+273.15</f>
        <v>277.34999999999997</v>
      </c>
      <c r="Q50" s="9">
        <f t="shared" si="18"/>
        <v>272.39049429548606</v>
      </c>
      <c r="R50" s="34">
        <f t="shared" si="19"/>
        <v>0.30172286670196724</v>
      </c>
      <c r="S50" s="9">
        <f t="shared" si="20"/>
        <v>99.818069307958709</v>
      </c>
      <c r="T50" s="9">
        <f t="shared" si="21"/>
        <v>89.833607647007724</v>
      </c>
      <c r="U50" s="9">
        <f t="shared" si="22"/>
        <v>276.37999559999997</v>
      </c>
      <c r="V50" s="33">
        <f t="shared" si="23"/>
        <v>-3.9895013045139081</v>
      </c>
      <c r="W50">
        <v>3818.9399999999996</v>
      </c>
      <c r="X50" s="9">
        <f t="shared" si="32"/>
        <v>87.793907616332831</v>
      </c>
      <c r="Y50" s="33">
        <f t="shared" si="33"/>
        <v>2.0269894008113147</v>
      </c>
      <c r="Z50" s="33">
        <f t="shared" si="34"/>
        <v>2.1222688553055757</v>
      </c>
      <c r="AA50" s="33">
        <f t="shared" si="35"/>
        <v>9.9481922197796925E-3</v>
      </c>
      <c r="AB50" s="33">
        <f t="shared" si="36"/>
        <v>41.069511064533195</v>
      </c>
      <c r="AC50" s="33"/>
      <c r="AD50" s="33"/>
      <c r="AE50" s="30"/>
      <c r="AF50" s="21" t="s">
        <v>93</v>
      </c>
      <c r="AG50" s="18">
        <f t="shared" si="24"/>
        <v>6458.8716330999996</v>
      </c>
      <c r="AH50" s="18">
        <f t="shared" si="25"/>
        <v>63339.893500740109</v>
      </c>
      <c r="AI50" s="18"/>
      <c r="AJ50" s="26">
        <f t="shared" si="26"/>
        <v>0.42714202196542572</v>
      </c>
      <c r="AK50" s="26">
        <f t="shared" si="27"/>
        <v>2.5753591665663003E-2</v>
      </c>
      <c r="AL50" s="35">
        <f t="shared" si="28"/>
        <v>4</v>
      </c>
      <c r="AM50" s="38"/>
    </row>
    <row r="51" spans="1:41" x14ac:dyDescent="0.55000000000000004">
      <c r="A51">
        <v>7</v>
      </c>
      <c r="B51" s="11">
        <f>'Imperial Units'!B65</f>
        <v>2.6388888888888889E-2</v>
      </c>
      <c r="C51" s="12">
        <f>'Imperial Units'!C65</f>
        <v>10</v>
      </c>
      <c r="D51" s="12">
        <f>'Imperial Units'!D65*0.3048</f>
        <v>1542.288</v>
      </c>
      <c r="E51" s="9">
        <f t="shared" si="29"/>
        <v>84652.088933241597</v>
      </c>
      <c r="F51" s="9">
        <f t="shared" si="30"/>
        <v>1.0234276727680331</v>
      </c>
      <c r="G51" s="12">
        <f>'Imperial Units'!E65*0.514444</f>
        <v>97.74436</v>
      </c>
      <c r="H51" s="9">
        <f t="shared" si="31"/>
        <v>96.715472000000005</v>
      </c>
      <c r="I51" s="13">
        <f>'Imperial Units'!F65</f>
        <v>3.6</v>
      </c>
      <c r="J51" s="13">
        <f>'Imperial Units'!G65</f>
        <v>0.9</v>
      </c>
      <c r="K51" s="13">
        <f>'Imperial Units'!H65</f>
        <v>3.1</v>
      </c>
      <c r="L51" s="12">
        <f>'Imperial Units'!I65</f>
        <v>79</v>
      </c>
      <c r="M51" s="12">
        <f>'Imperial Units'!J65*0.45359237</f>
        <v>211.37404442000002</v>
      </c>
      <c r="N51" s="12">
        <f>'Imperial Units'!K65*0.45359237</f>
        <v>228.61055448000002</v>
      </c>
      <c r="O51" s="12">
        <f>'Imperial Units'!L65*0.45359237</f>
        <v>303.90688790000002</v>
      </c>
      <c r="P51" s="13">
        <f>'Imperial Units'!M65+273.15</f>
        <v>279.95</v>
      </c>
      <c r="Q51" s="9">
        <f t="shared" si="18"/>
        <v>274.65936999102138</v>
      </c>
      <c r="R51" s="34">
        <f t="shared" si="19"/>
        <v>0.31034266689804529</v>
      </c>
      <c r="S51" s="9">
        <f t="shared" si="20"/>
        <v>103.09643877476087</v>
      </c>
      <c r="T51" s="9">
        <f t="shared" si="21"/>
        <v>94.23325601085709</v>
      </c>
      <c r="U51" s="9">
        <f t="shared" si="22"/>
        <v>278.14055087999998</v>
      </c>
      <c r="V51" s="33">
        <f t="shared" si="23"/>
        <v>-3.4811808889785993</v>
      </c>
      <c r="W51">
        <v>3806.2200000000003</v>
      </c>
      <c r="X51" s="9">
        <f t="shared" si="32"/>
        <v>92.207051542855709</v>
      </c>
      <c r="Y51" s="33">
        <f t="shared" si="33"/>
        <v>1.7799594171584008</v>
      </c>
      <c r="Z51" s="33">
        <f t="shared" si="34"/>
        <v>1.8590463822050876</v>
      </c>
      <c r="AA51" s="33">
        <f t="shared" si="35"/>
        <v>1.5273195550805181E-2</v>
      </c>
      <c r="AB51" s="33">
        <f t="shared" si="36"/>
        <v>75.639206908179787</v>
      </c>
      <c r="AC51" s="33"/>
      <c r="AD51" s="33"/>
      <c r="AE51" s="30"/>
      <c r="AF51" s="21" t="s">
        <v>93</v>
      </c>
      <c r="AG51" s="18">
        <f t="shared" si="24"/>
        <v>6442.9959001500001</v>
      </c>
      <c r="AH51" s="18">
        <f t="shared" si="25"/>
        <v>63184.205744205996</v>
      </c>
      <c r="AI51" s="18"/>
      <c r="AJ51" s="26">
        <f t="shared" si="26"/>
        <v>0.38723338090377868</v>
      </c>
      <c r="AK51" s="26">
        <f t="shared" si="27"/>
        <v>2.332695998475437E-2</v>
      </c>
      <c r="AL51" s="35">
        <f t="shared" si="28"/>
        <v>3.6</v>
      </c>
      <c r="AM51" s="38"/>
    </row>
    <row r="52" spans="1:41" x14ac:dyDescent="0.55000000000000004">
      <c r="B52" s="11"/>
      <c r="C52" s="12"/>
      <c r="D52" s="12"/>
      <c r="E52" s="9"/>
      <c r="F52" s="9"/>
      <c r="G52" s="12"/>
      <c r="H52" s="9"/>
      <c r="I52" s="13"/>
      <c r="J52" s="13"/>
      <c r="K52" s="13"/>
      <c r="L52" s="12"/>
      <c r="M52" s="12"/>
      <c r="N52" s="12"/>
      <c r="O52" s="12"/>
      <c r="P52" s="13"/>
      <c r="Q52" s="9"/>
      <c r="R52" s="34"/>
      <c r="S52" s="9"/>
      <c r="T52" s="9"/>
      <c r="U52" s="9"/>
      <c r="V52" s="33"/>
      <c r="X52" s="9"/>
      <c r="Y52" s="33"/>
      <c r="Z52" s="33"/>
      <c r="AA52" s="33"/>
      <c r="AB52" s="33"/>
      <c r="AC52" s="9"/>
      <c r="AD52" s="9"/>
      <c r="AE52" s="30"/>
      <c r="AF52" s="21"/>
      <c r="AG52" s="16"/>
      <c r="AH52" s="16"/>
      <c r="AI52" s="16"/>
      <c r="AJ52" s="15"/>
      <c r="AK52" s="15"/>
      <c r="AL52" s="45"/>
      <c r="AM52" s="41"/>
    </row>
    <row r="53" spans="1:41" x14ac:dyDescent="0.55000000000000004">
      <c r="B53" s="11"/>
      <c r="C53" s="12"/>
      <c r="D53" s="12"/>
      <c r="E53" s="9"/>
      <c r="F53" s="9"/>
      <c r="G53" s="12"/>
      <c r="H53" s="9"/>
      <c r="I53" s="13"/>
      <c r="J53" s="13"/>
      <c r="K53" s="13"/>
      <c r="L53" s="12"/>
      <c r="M53" s="12"/>
      <c r="N53" s="12"/>
      <c r="O53" s="12"/>
      <c r="P53" s="13"/>
      <c r="Q53" s="9"/>
      <c r="R53" s="34"/>
      <c r="S53" s="9"/>
      <c r="T53" s="9"/>
      <c r="U53" s="9"/>
      <c r="V53" s="33"/>
      <c r="X53" s="9"/>
      <c r="Y53" s="33"/>
      <c r="Z53" s="33"/>
      <c r="AA53" s="33"/>
      <c r="AB53" s="33"/>
      <c r="AC53" s="9"/>
      <c r="AD53" s="9"/>
      <c r="AE53" s="30"/>
      <c r="AF53" s="21"/>
      <c r="AG53" s="16"/>
      <c r="AH53" s="16"/>
      <c r="AI53" s="16"/>
      <c r="AJ53" s="9"/>
      <c r="AK53" s="9"/>
      <c r="AL53" s="13"/>
      <c r="AM53" s="9"/>
    </row>
    <row r="54" spans="1:41" ht="17.7" x14ac:dyDescent="0.75">
      <c r="B54" s="11"/>
      <c r="C54" s="12"/>
      <c r="D54" s="44" t="s">
        <v>112</v>
      </c>
      <c r="E54" s="44" t="s">
        <v>113</v>
      </c>
      <c r="F54" s="44" t="s">
        <v>114</v>
      </c>
      <c r="G54" s="44" t="s">
        <v>108</v>
      </c>
      <c r="H54" s="44" t="s">
        <v>117</v>
      </c>
      <c r="I54" s="47" t="s">
        <v>126</v>
      </c>
      <c r="J54" s="44"/>
      <c r="K54" s="47" t="s">
        <v>118</v>
      </c>
      <c r="L54" s="44"/>
      <c r="M54" s="47" t="s">
        <v>127</v>
      </c>
      <c r="N54" s="44"/>
      <c r="O54" s="44"/>
      <c r="P54" s="44"/>
      <c r="Q54" s="44"/>
      <c r="R54" s="44"/>
      <c r="S54" s="44"/>
      <c r="T54" s="44"/>
      <c r="U54" s="44"/>
      <c r="V54" s="44"/>
      <c r="X54" s="9"/>
      <c r="Y54" s="33"/>
      <c r="Z54" s="33"/>
      <c r="AA54" s="33"/>
      <c r="AB54" s="33"/>
      <c r="AC54" s="9"/>
      <c r="AD54" s="9"/>
      <c r="AE54" s="30"/>
      <c r="AF54" s="21"/>
      <c r="AG54" s="16"/>
      <c r="AH54" s="16"/>
      <c r="AI54" s="16"/>
      <c r="AN54" s="9"/>
    </row>
    <row r="55" spans="1:41" x14ac:dyDescent="0.55000000000000004">
      <c r="B55" s="11"/>
      <c r="C55" s="12"/>
      <c r="D55" s="39">
        <f>AJ51</f>
        <v>0.38723338090377868</v>
      </c>
      <c r="E55" s="39">
        <f>AK51</f>
        <v>2.332695998475437E-2</v>
      </c>
      <c r="F55" s="39">
        <f>AL51</f>
        <v>3.6</v>
      </c>
      <c r="G55" s="39">
        <f>D55^2</f>
        <v>0.14994969128617094</v>
      </c>
      <c r="H55" s="39">
        <f t="shared" ref="H55:H61" si="37">1/((E55-$AK$52)/G55)/($O$5*PI())</f>
        <v>0.24247326595061547</v>
      </c>
      <c r="I55" s="46">
        <f>AA45</f>
        <v>-2.5720698676369837E-3</v>
      </c>
      <c r="J55" s="39">
        <f>I58</f>
        <v>-2.7429315546567603E-2</v>
      </c>
      <c r="K55" s="46">
        <f>X45</f>
        <v>76.728218653285182</v>
      </c>
      <c r="L55" s="39">
        <f>K58</f>
        <v>62.266246338452099</v>
      </c>
      <c r="M55" s="46">
        <f>AB45</f>
        <v>-0.94844419320330109</v>
      </c>
      <c r="N55" s="39">
        <f>M58</f>
        <v>-47.611468522407421</v>
      </c>
      <c r="O55" s="39"/>
      <c r="P55" s="39"/>
      <c r="Q55" s="39"/>
      <c r="R55" s="39"/>
      <c r="S55" s="39"/>
      <c r="T55" s="39"/>
      <c r="U55" s="39"/>
      <c r="V55" s="39"/>
      <c r="X55" s="9"/>
      <c r="Y55" s="33"/>
      <c r="Z55" s="33"/>
      <c r="AA55" s="33"/>
      <c r="AB55" s="33"/>
      <c r="AC55" s="9"/>
      <c r="AD55" s="9"/>
      <c r="AE55" s="30"/>
      <c r="AF55" s="21"/>
      <c r="AG55" s="16"/>
      <c r="AH55" s="16"/>
      <c r="AI55" s="16"/>
      <c r="AM55" s="9"/>
      <c r="AN55" s="9"/>
    </row>
    <row r="56" spans="1:41" x14ac:dyDescent="0.55000000000000004">
      <c r="B56" s="11"/>
      <c r="C56" s="12"/>
      <c r="D56" s="39">
        <f>AJ50</f>
        <v>0.42714202196542572</v>
      </c>
      <c r="E56" s="39">
        <f>AK50</f>
        <v>2.5753591665663003E-2</v>
      </c>
      <c r="F56" s="39">
        <f>AL50</f>
        <v>4</v>
      </c>
      <c r="G56" s="39">
        <f t="shared" ref="G56:G61" si="38">D56^2</f>
        <v>0.18245030692871222</v>
      </c>
      <c r="H56" s="39">
        <f t="shared" si="37"/>
        <v>0.2672287765524281</v>
      </c>
      <c r="I56" s="46">
        <f t="shared" ref="I56:I61" si="39">AA46</f>
        <v>-7.9301324828550315E-3</v>
      </c>
      <c r="J56" s="39">
        <f>I57</f>
        <v>-1.6789888442079494E-2</v>
      </c>
      <c r="K56" s="46">
        <f t="shared" ref="K56:K61" si="40">X46</f>
        <v>71.455011147191541</v>
      </c>
      <c r="L56" s="39">
        <f>K57</f>
        <v>67.101877950805573</v>
      </c>
      <c r="M56" s="46">
        <f t="shared" ref="M56:M61" si="41">AB46</f>
        <v>-23.747539185121127</v>
      </c>
      <c r="N56" s="39">
        <f>M57</f>
        <v>-37.074645478336727</v>
      </c>
      <c r="O56" s="39"/>
      <c r="P56" s="39"/>
      <c r="Q56" s="39"/>
      <c r="R56" s="39"/>
      <c r="S56" s="39"/>
      <c r="T56" s="39"/>
      <c r="U56" s="39"/>
      <c r="V56" s="39"/>
      <c r="X56" s="9"/>
      <c r="Y56" s="33"/>
      <c r="Z56" s="33"/>
      <c r="AA56" s="33"/>
      <c r="AB56" s="33"/>
      <c r="AC56" s="9"/>
      <c r="AD56" s="9"/>
      <c r="AE56" s="30"/>
      <c r="AF56" s="21"/>
      <c r="AG56" s="16"/>
      <c r="AH56" s="16"/>
      <c r="AI56" s="16"/>
      <c r="AJ56" s="9"/>
      <c r="AK56" s="9"/>
      <c r="AL56" s="13"/>
      <c r="AM56" s="9"/>
      <c r="AN56" s="9"/>
    </row>
    <row r="57" spans="1:41" x14ac:dyDescent="0.55000000000000004">
      <c r="B57" s="11"/>
      <c r="C57" s="12"/>
      <c r="D57" s="39">
        <f>AJ49</f>
        <v>0.48597842484991205</v>
      </c>
      <c r="E57" s="39">
        <f>AK49</f>
        <v>2.9567378779607054E-2</v>
      </c>
      <c r="F57" s="39">
        <f>AL49</f>
        <v>4.8</v>
      </c>
      <c r="G57" s="39">
        <f t="shared" si="38"/>
        <v>0.23617502941960161</v>
      </c>
      <c r="H57" s="39">
        <f t="shared" si="37"/>
        <v>0.30129892607218201</v>
      </c>
      <c r="I57" s="46">
        <f t="shared" si="39"/>
        <v>-1.6789888442079494E-2</v>
      </c>
      <c r="J57" s="39">
        <f>I56</f>
        <v>-7.9301324828550315E-3</v>
      </c>
      <c r="K57" s="46">
        <f t="shared" si="40"/>
        <v>67.101877950805573</v>
      </c>
      <c r="L57" s="39">
        <f>K56</f>
        <v>71.455011147191541</v>
      </c>
      <c r="M57" s="46">
        <f t="shared" si="41"/>
        <v>-37.074645478336727</v>
      </c>
      <c r="N57" s="39">
        <f>M56</f>
        <v>-23.747539185121127</v>
      </c>
      <c r="O57" s="39"/>
      <c r="P57" s="39"/>
      <c r="Q57" s="39"/>
      <c r="R57" s="39"/>
      <c r="S57" s="39"/>
      <c r="T57" s="39"/>
      <c r="U57" s="39"/>
      <c r="V57" s="39"/>
      <c r="X57" s="9"/>
      <c r="Y57" s="33"/>
      <c r="Z57" s="33"/>
      <c r="AA57" s="33"/>
      <c r="AB57" s="33"/>
      <c r="AC57" s="9"/>
      <c r="AD57" s="9"/>
      <c r="AE57" s="30"/>
      <c r="AF57" s="21"/>
      <c r="AG57" s="16"/>
      <c r="AH57" s="16"/>
      <c r="AI57" s="16"/>
      <c r="AJ57" s="9"/>
      <c r="AK57" s="9"/>
      <c r="AL57" s="13"/>
      <c r="AM57" s="9"/>
      <c r="AN57" s="9"/>
      <c r="AO57" s="9"/>
    </row>
    <row r="58" spans="1:41" x14ac:dyDescent="0.55000000000000004">
      <c r="B58" s="11"/>
      <c r="C58" s="12"/>
      <c r="D58" s="39">
        <f t="shared" ref="D58:F61" si="42">AJ45</f>
        <v>0.55923047088683875</v>
      </c>
      <c r="E58" s="39">
        <f t="shared" si="42"/>
        <v>3.4451415880983244E-2</v>
      </c>
      <c r="F58" s="39">
        <f t="shared" si="42"/>
        <v>5.5</v>
      </c>
      <c r="G58" s="39">
        <f t="shared" si="38"/>
        <v>0.31273871956831539</v>
      </c>
      <c r="H58" s="39">
        <f t="shared" si="37"/>
        <v>0.34241360267090754</v>
      </c>
      <c r="I58" s="46">
        <f t="shared" si="39"/>
        <v>-2.7429315546567603E-2</v>
      </c>
      <c r="J58" s="39">
        <f>I55</f>
        <v>-2.5720698676369837E-3</v>
      </c>
      <c r="K58" s="46">
        <f t="shared" si="40"/>
        <v>62.266246338452099</v>
      </c>
      <c r="L58" s="39">
        <f>K55</f>
        <v>76.728218653285182</v>
      </c>
      <c r="M58" s="46">
        <f t="shared" si="41"/>
        <v>-47.611468522407421</v>
      </c>
      <c r="N58" s="39">
        <f>M55</f>
        <v>-0.94844419320330109</v>
      </c>
      <c r="O58" s="39"/>
      <c r="P58" s="39"/>
      <c r="Q58" s="39"/>
      <c r="R58" s="39"/>
      <c r="S58" s="39"/>
      <c r="T58" s="39"/>
      <c r="U58" s="39"/>
      <c r="V58" s="39"/>
      <c r="X58" s="9"/>
      <c r="Y58" s="33"/>
      <c r="Z58" s="33"/>
      <c r="AA58" s="33"/>
      <c r="AB58" s="33"/>
      <c r="AC58" s="9"/>
      <c r="AD58" s="9"/>
      <c r="AE58" s="30"/>
      <c r="AF58" s="21"/>
      <c r="AG58" s="16"/>
      <c r="AH58" s="16"/>
      <c r="AI58" s="16"/>
      <c r="AJ58" s="9"/>
      <c r="AK58" s="9"/>
      <c r="AL58" s="13"/>
      <c r="AM58" s="9"/>
      <c r="AN58" s="9"/>
      <c r="AO58" s="9"/>
    </row>
    <row r="59" spans="1:41" x14ac:dyDescent="0.55000000000000004">
      <c r="B59" s="11"/>
      <c r="C59" s="12"/>
      <c r="D59" s="39">
        <f t="shared" si="42"/>
        <v>0.64481580733201926</v>
      </c>
      <c r="E59" s="39">
        <f t="shared" si="42"/>
        <v>4.0498336001998425E-2</v>
      </c>
      <c r="F59" s="39">
        <f t="shared" si="42"/>
        <v>6.5</v>
      </c>
      <c r="G59" s="39">
        <f t="shared" si="38"/>
        <v>0.41578742538524377</v>
      </c>
      <c r="H59" s="39">
        <f t="shared" si="37"/>
        <v>0.38726709891188654</v>
      </c>
      <c r="I59" s="46">
        <f t="shared" si="39"/>
        <v>4.6063746948431317E-3</v>
      </c>
      <c r="J59" s="39">
        <f>I59</f>
        <v>4.6063746948431317E-3</v>
      </c>
      <c r="K59" s="46">
        <f t="shared" si="40"/>
        <v>82.307997269263851</v>
      </c>
      <c r="L59" s="39">
        <f>K59</f>
        <v>82.307997269263851</v>
      </c>
      <c r="M59" s="46">
        <f t="shared" si="41"/>
        <v>27.661133313611767</v>
      </c>
      <c r="N59" s="39">
        <f>M59</f>
        <v>27.661133313611767</v>
      </c>
      <c r="O59" s="39"/>
      <c r="P59" s="39"/>
      <c r="Q59" s="39"/>
      <c r="R59" s="39"/>
      <c r="S59" s="39"/>
      <c r="T59" s="39"/>
      <c r="U59" s="39"/>
      <c r="V59" s="39"/>
      <c r="X59" s="9"/>
      <c r="Y59" s="33"/>
      <c r="Z59" s="33"/>
      <c r="AA59" s="33"/>
      <c r="AB59" s="33"/>
      <c r="AC59" s="9"/>
      <c r="AD59" s="9"/>
      <c r="AE59" s="30"/>
      <c r="AF59" s="21"/>
      <c r="AG59" s="16"/>
      <c r="AH59" s="16"/>
      <c r="AI59" s="16"/>
      <c r="AJ59" s="9"/>
      <c r="AK59" s="9"/>
      <c r="AL59" s="13"/>
      <c r="AM59" s="9"/>
      <c r="AN59" s="9"/>
      <c r="AO59" s="9"/>
    </row>
    <row r="60" spans="1:41" x14ac:dyDescent="0.55000000000000004">
      <c r="B60" s="11"/>
      <c r="C60" s="12"/>
      <c r="D60" s="39">
        <f t="shared" si="42"/>
        <v>0.73119246711242358</v>
      </c>
      <c r="E60" s="39">
        <f t="shared" si="42"/>
        <v>4.6624576756713963E-2</v>
      </c>
      <c r="F60" s="39">
        <f t="shared" si="42"/>
        <v>7.5</v>
      </c>
      <c r="G60" s="39">
        <f t="shared" si="38"/>
        <v>0.53464242396195261</v>
      </c>
      <c r="H60" s="39">
        <f t="shared" si="37"/>
        <v>0.4325386746966417</v>
      </c>
      <c r="I60" s="46">
        <f t="shared" si="39"/>
        <v>9.9481922197796925E-3</v>
      </c>
      <c r="J60" s="39">
        <f t="shared" ref="J60:L61" si="43">I60</f>
        <v>9.9481922197796925E-3</v>
      </c>
      <c r="K60" s="46">
        <f t="shared" si="40"/>
        <v>87.793907616332831</v>
      </c>
      <c r="L60" s="39">
        <f t="shared" si="43"/>
        <v>87.793907616332831</v>
      </c>
      <c r="M60" s="46">
        <f t="shared" si="41"/>
        <v>41.069511064533195</v>
      </c>
      <c r="N60" s="39">
        <f t="shared" ref="N60" si="44">M60</f>
        <v>41.069511064533195</v>
      </c>
      <c r="O60" s="39"/>
      <c r="P60" s="39"/>
      <c r="Q60" s="39"/>
      <c r="R60" s="39"/>
      <c r="S60" s="39"/>
      <c r="T60" s="39"/>
      <c r="U60" s="39"/>
      <c r="V60" s="39"/>
      <c r="X60" s="9"/>
      <c r="Y60" s="33"/>
      <c r="Z60" s="33"/>
      <c r="AA60" s="33"/>
      <c r="AB60" s="33"/>
      <c r="AC60" s="9"/>
      <c r="AD60" s="9"/>
      <c r="AE60" s="30"/>
      <c r="AF60" s="21"/>
      <c r="AG60" s="16"/>
      <c r="AH60" s="16"/>
      <c r="AI60" s="16"/>
      <c r="AJ60" s="9"/>
      <c r="AK60" s="9"/>
      <c r="AL60" s="13"/>
      <c r="AM60" s="9"/>
      <c r="AN60" s="9"/>
      <c r="AO60" s="9"/>
    </row>
    <row r="61" spans="1:41" x14ac:dyDescent="0.55000000000000004">
      <c r="D61" s="39">
        <f t="shared" si="42"/>
        <v>0.84917204201754848</v>
      </c>
      <c r="E61" s="39">
        <f t="shared" si="42"/>
        <v>5.5218158721281649E-2</v>
      </c>
      <c r="F61" s="39">
        <f t="shared" si="42"/>
        <v>9.1</v>
      </c>
      <c r="G61" s="39">
        <f t="shared" si="38"/>
        <v>0.72109315694425313</v>
      </c>
      <c r="H61" s="39">
        <f t="shared" si="37"/>
        <v>0.4925903322582923</v>
      </c>
      <c r="I61" s="46">
        <f t="shared" si="39"/>
        <v>1.5273195550805181E-2</v>
      </c>
      <c r="J61" s="39">
        <f t="shared" si="43"/>
        <v>1.5273195550805181E-2</v>
      </c>
      <c r="K61" s="46">
        <f t="shared" si="40"/>
        <v>92.207051542855709</v>
      </c>
      <c r="L61" s="39">
        <f t="shared" si="43"/>
        <v>92.207051542855709</v>
      </c>
      <c r="M61" s="46">
        <f t="shared" si="41"/>
        <v>75.639206908179787</v>
      </c>
      <c r="N61" s="39">
        <f t="shared" ref="N61" si="45">M61</f>
        <v>75.639206908179787</v>
      </c>
      <c r="O61" s="39"/>
      <c r="P61" s="39"/>
      <c r="Q61" s="39"/>
      <c r="R61" s="39"/>
      <c r="S61" s="39"/>
      <c r="T61" s="39"/>
      <c r="U61" s="39"/>
      <c r="V61" s="39"/>
      <c r="Z61" s="9"/>
      <c r="AA61" s="9"/>
      <c r="AB61" s="9"/>
      <c r="AC61" s="9"/>
      <c r="AD61" s="9"/>
      <c r="AE61" s="30"/>
      <c r="AF61" s="21"/>
      <c r="AG61" s="16"/>
      <c r="AH61" s="16"/>
      <c r="AI61" s="16"/>
      <c r="AJ61" s="9"/>
      <c r="AK61" s="9"/>
      <c r="AL61" s="13"/>
      <c r="AM61" s="9"/>
      <c r="AN61" s="9"/>
      <c r="AO61" s="9"/>
    </row>
    <row r="62" spans="1:41" x14ac:dyDescent="0.55000000000000004">
      <c r="T62" s="9"/>
      <c r="U62" s="9"/>
      <c r="V62" s="9"/>
      <c r="Z62" s="9"/>
      <c r="AA62" s="9"/>
      <c r="AB62" s="9"/>
      <c r="AC62" s="9"/>
      <c r="AD62" s="9"/>
      <c r="AE62" s="30"/>
      <c r="AF62" s="21"/>
      <c r="AG62" s="16"/>
      <c r="AH62" s="16"/>
      <c r="AI62" s="16"/>
      <c r="AN62" s="15"/>
      <c r="AO62" s="15"/>
    </row>
    <row r="63" spans="1:41" x14ac:dyDescent="0.55000000000000004">
      <c r="T63" s="9"/>
      <c r="U63" s="9"/>
      <c r="V63" s="9"/>
      <c r="Z63" s="9"/>
      <c r="AA63" s="9"/>
      <c r="AB63" s="9"/>
      <c r="AE63" s="30"/>
      <c r="AF63" s="21"/>
      <c r="AG63" s="16"/>
      <c r="AH63" s="16"/>
      <c r="AI63" s="16"/>
      <c r="AN63" s="40"/>
      <c r="AO63" s="40"/>
    </row>
    <row r="64" spans="1:41" x14ac:dyDescent="0.55000000000000004">
      <c r="A64" s="1" t="s">
        <v>33</v>
      </c>
      <c r="T64" s="9"/>
      <c r="U64" s="9"/>
      <c r="V64" s="9"/>
      <c r="W64" s="9"/>
      <c r="X64" s="9"/>
      <c r="Y64" s="9"/>
      <c r="Z64" s="9"/>
      <c r="AA64" s="9"/>
      <c r="AB64" s="9"/>
      <c r="AE64" s="30"/>
      <c r="AF64" s="21"/>
      <c r="AG64" s="16"/>
      <c r="AH64" s="16"/>
      <c r="AI64" s="16"/>
      <c r="AN64" s="40"/>
      <c r="AO64" s="40"/>
    </row>
    <row r="65" spans="1:39" x14ac:dyDescent="0.55000000000000004">
      <c r="T65" s="9"/>
      <c r="U65" s="9"/>
      <c r="V65" s="9"/>
      <c r="W65" s="9"/>
      <c r="X65" s="9"/>
      <c r="Y65" s="9"/>
      <c r="Z65" s="9"/>
      <c r="AA65" s="9"/>
      <c r="AB65" s="9"/>
      <c r="AE65" s="30"/>
      <c r="AF65" s="21"/>
      <c r="AG65" s="16"/>
      <c r="AH65" s="16"/>
      <c r="AI65" s="16"/>
    </row>
    <row r="66" spans="1:39" x14ac:dyDescent="0.55000000000000004">
      <c r="A66" t="s">
        <v>56</v>
      </c>
      <c r="C66" t="s">
        <v>65</v>
      </c>
      <c r="T66" s="9"/>
      <c r="U66" s="9"/>
      <c r="V66" s="9"/>
      <c r="W66" s="9"/>
      <c r="X66" s="9"/>
      <c r="Y66" s="9"/>
      <c r="Z66" s="9"/>
      <c r="AA66" s="9"/>
      <c r="AB66" s="9"/>
      <c r="AE66" s="30"/>
      <c r="AF66" s="21"/>
      <c r="AG66" s="16"/>
      <c r="AH66" s="16"/>
      <c r="AI66" s="16"/>
    </row>
    <row r="67" spans="1:39" x14ac:dyDescent="0.55000000000000004">
      <c r="A67" t="s">
        <v>83</v>
      </c>
      <c r="C67" t="s">
        <v>69</v>
      </c>
      <c r="G67" t="s">
        <v>34</v>
      </c>
      <c r="J67" t="s">
        <v>70</v>
      </c>
      <c r="T67" s="9"/>
      <c r="U67" s="9"/>
      <c r="V67" s="9"/>
      <c r="W67" s="9"/>
      <c r="X67" s="9"/>
      <c r="Y67" s="9"/>
      <c r="Z67" s="9"/>
      <c r="AA67" s="9"/>
      <c r="AB67" s="9"/>
      <c r="AE67" s="30"/>
      <c r="AF67" s="21"/>
      <c r="AG67" s="16"/>
      <c r="AH67" s="16"/>
      <c r="AI67" s="16"/>
    </row>
    <row r="68" spans="1:39" x14ac:dyDescent="0.55000000000000004">
      <c r="T68" s="9"/>
      <c r="U68" s="9"/>
      <c r="V68" s="9"/>
      <c r="W68" s="9"/>
      <c r="X68" s="9"/>
      <c r="Y68" s="9"/>
      <c r="Z68" s="9"/>
      <c r="AA68" s="9"/>
      <c r="AB68" s="9"/>
      <c r="AE68" s="30"/>
      <c r="AF68" s="21"/>
      <c r="AG68" s="16"/>
      <c r="AH68" s="16"/>
      <c r="AI68" s="16"/>
    </row>
    <row r="69" spans="1:39" x14ac:dyDescent="0.55000000000000004">
      <c r="A69" t="s">
        <v>10</v>
      </c>
      <c r="B69" t="s">
        <v>11</v>
      </c>
      <c r="C69" t="s">
        <v>13</v>
      </c>
      <c r="D69" t="s">
        <v>15</v>
      </c>
      <c r="E69" t="s">
        <v>98</v>
      </c>
      <c r="G69" t="s">
        <v>17</v>
      </c>
      <c r="H69" t="s">
        <v>97</v>
      </c>
      <c r="I69" t="s">
        <v>19</v>
      </c>
      <c r="J69" t="s">
        <v>29</v>
      </c>
      <c r="K69" t="s">
        <v>30</v>
      </c>
      <c r="L69" t="s">
        <v>31</v>
      </c>
      <c r="M69" t="s">
        <v>21</v>
      </c>
      <c r="N69" t="s">
        <v>23</v>
      </c>
      <c r="O69" t="s">
        <v>59</v>
      </c>
      <c r="P69" t="s">
        <v>25</v>
      </c>
      <c r="Q69" t="s">
        <v>102</v>
      </c>
      <c r="R69" t="s">
        <v>94</v>
      </c>
      <c r="S69" t="s">
        <v>100</v>
      </c>
      <c r="T69" t="s">
        <v>103</v>
      </c>
      <c r="U69" t="s">
        <v>104</v>
      </c>
      <c r="V69" t="s">
        <v>105</v>
      </c>
      <c r="W69" t="s">
        <v>96</v>
      </c>
      <c r="X69" t="s">
        <v>129</v>
      </c>
      <c r="Z69" s="9"/>
      <c r="AA69" s="9"/>
      <c r="AB69" s="9"/>
      <c r="AE69" s="30"/>
      <c r="AF69" s="21"/>
      <c r="AG69" s="16"/>
      <c r="AH69" s="16"/>
      <c r="AI69" s="16"/>
    </row>
    <row r="70" spans="1:39" x14ac:dyDescent="0.55000000000000004">
      <c r="B70" t="s">
        <v>58</v>
      </c>
      <c r="C70" t="s">
        <v>14</v>
      </c>
      <c r="D70" t="s">
        <v>79</v>
      </c>
      <c r="E70" t="s">
        <v>99</v>
      </c>
      <c r="G70" t="s">
        <v>80</v>
      </c>
      <c r="H70" t="s">
        <v>80</v>
      </c>
      <c r="I70" t="s">
        <v>20</v>
      </c>
      <c r="J70" t="s">
        <v>20</v>
      </c>
      <c r="K70" t="s">
        <v>20</v>
      </c>
      <c r="L70" t="s">
        <v>32</v>
      </c>
      <c r="M70" t="s">
        <v>81</v>
      </c>
      <c r="N70" t="s">
        <v>81</v>
      </c>
      <c r="O70" t="s">
        <v>82</v>
      </c>
      <c r="P70" t="s">
        <v>26</v>
      </c>
      <c r="Q70" t="s">
        <v>101</v>
      </c>
      <c r="R70" t="s">
        <v>80</v>
      </c>
      <c r="S70" t="s">
        <v>80</v>
      </c>
      <c r="T70" t="s">
        <v>80</v>
      </c>
      <c r="U70" t="s">
        <v>101</v>
      </c>
      <c r="W70" t="s">
        <v>32</v>
      </c>
      <c r="X70" t="s">
        <v>79</v>
      </c>
      <c r="Z70" s="9"/>
      <c r="AA70" s="9"/>
      <c r="AB70" s="9"/>
      <c r="AE70" s="30"/>
      <c r="AF70" s="21"/>
      <c r="AG70" s="16"/>
      <c r="AH70" s="16"/>
      <c r="AI70" s="16"/>
    </row>
    <row r="71" spans="1:39" ht="17.7" x14ac:dyDescent="0.75">
      <c r="Z71" s="9"/>
      <c r="AA71" s="9"/>
      <c r="AB71" s="9"/>
      <c r="AE71" s="30"/>
      <c r="AF71" s="21"/>
      <c r="AG71" s="16"/>
      <c r="AH71" s="16"/>
      <c r="AI71" s="16"/>
      <c r="AJ71" s="25" t="s">
        <v>128</v>
      </c>
      <c r="AK71" s="25" t="s">
        <v>110</v>
      </c>
      <c r="AL71" s="36" t="s">
        <v>111</v>
      </c>
      <c r="AM71" s="25" t="s">
        <v>108</v>
      </c>
    </row>
    <row r="72" spans="1:39" x14ac:dyDescent="0.55000000000000004">
      <c r="A72">
        <v>1</v>
      </c>
      <c r="B72" s="11">
        <f>'Imperial Units'!B75</f>
        <v>2.7083333333333334E-2</v>
      </c>
      <c r="C72" s="12">
        <f>'Imperial Units'!C75</f>
        <v>55</v>
      </c>
      <c r="D72" s="12">
        <f>'Imperial Units'!D75*0.3048</f>
        <v>1676.4</v>
      </c>
      <c r="E72" s="9">
        <f t="shared" ref="E72:E73" si="46">101325*(1+((0.00649*D72)/288.15))^(-9.80665/(0.00649*287))</f>
        <v>83362.847994307915</v>
      </c>
      <c r="F72" s="9"/>
      <c r="G72" s="12">
        <f>'Imperial Units'!E75*0.514444</f>
        <v>81.796596000000008</v>
      </c>
      <c r="H72" s="9">
        <f t="shared" ref="H72:H73" si="47">G72-2*0.514444</f>
        <v>80.767708000000013</v>
      </c>
      <c r="I72" s="13">
        <f>'Imperial Units'!F75</f>
        <v>5.7</v>
      </c>
      <c r="J72" s="13">
        <f>'Imperial Units'!G75</f>
        <v>0</v>
      </c>
      <c r="K72" s="13">
        <f>'Imperial Units'!H75</f>
        <v>3.1</v>
      </c>
      <c r="L72" s="12">
        <f>'Imperial Units'!I75</f>
        <v>0</v>
      </c>
      <c r="M72" s="12">
        <f>'Imperial Units'!J75*0.45359237</f>
        <v>203.20938176000001</v>
      </c>
      <c r="N72" s="12">
        <f>'Imperial Units'!K75*0.45359237</f>
        <v>219.53870708000002</v>
      </c>
      <c r="O72" s="12">
        <f>'Imperial Units'!L75*0.45359237</f>
        <v>317.06106663000003</v>
      </c>
      <c r="P72" s="13">
        <f>'Imperial Units'!M75+273.15</f>
        <v>277.34999999999997</v>
      </c>
      <c r="Q72" s="9">
        <f>P72/(1+(0.4/2)*R72^2)</f>
        <v>273.61416355801447</v>
      </c>
      <c r="R72" s="34">
        <f>SQRT(2/0.4*((1+101325/E72*((1+0.4/2.8*1.225/101325*H72^2)^(1.4/0.4)-1))^(0.4/1.4)-1))</f>
        <v>0.26128209033348937</v>
      </c>
      <c r="S72" s="9">
        <f>R72*SQRT(1.4*287*Q72)</f>
        <v>86.633108058922176</v>
      </c>
      <c r="T72" s="9">
        <f>S72*SQRT(E72/101325)</f>
        <v>78.579970412936149</v>
      </c>
      <c r="U72" s="9">
        <f>288.15-0.00649*D72</f>
        <v>277.27016399999997</v>
      </c>
      <c r="V72" s="33">
        <f>Q72-U72</f>
        <v>-3.6560004419854977</v>
      </c>
      <c r="W72">
        <v>3911.01</v>
      </c>
      <c r="X72">
        <v>0.50170000000000003</v>
      </c>
      <c r="AE72" s="30"/>
      <c r="AF72" s="21" t="s">
        <v>93</v>
      </c>
      <c r="AG72" s="18">
        <f>$AG$16-O72</f>
        <v>6429.8417214199999</v>
      </c>
      <c r="AH72" s="18">
        <f t="shared" ref="AH72:AH73" si="48">AG72*9.80665</f>
        <v>63055.207317363442</v>
      </c>
      <c r="AI72" s="18"/>
      <c r="AJ72" s="26">
        <f>2*AH72/(1.225*$T72^2*$O$2)</f>
        <v>0.55573773700445595</v>
      </c>
      <c r="AK72" s="26">
        <f>2*W72/(1.225*$T72^2*$O$2)</f>
        <v>3.44697280251949E-2</v>
      </c>
      <c r="AL72" s="35">
        <f>I72</f>
        <v>5.7</v>
      </c>
      <c r="AM72" s="28">
        <f>AJ72^2</f>
        <v>0.30884443233083386</v>
      </c>
    </row>
    <row r="73" spans="1:39" x14ac:dyDescent="0.55000000000000004">
      <c r="A73">
        <v>2</v>
      </c>
      <c r="B73" s="11">
        <f>'Imperial Units'!B76</f>
        <v>2.8472222222222222E-2</v>
      </c>
      <c r="C73" s="12">
        <f>'Imperial Units'!C76</f>
        <v>37</v>
      </c>
      <c r="D73" s="12">
        <f>'Imperial Units'!D76*0.3048</f>
        <v>1697.7360000000001</v>
      </c>
      <c r="E73" s="9">
        <f t="shared" si="46"/>
        <v>83159.902184557068</v>
      </c>
      <c r="F73" s="9"/>
      <c r="G73" s="12">
        <f>'Imperial Units'!E76*0.514444</f>
        <v>81.282151999999996</v>
      </c>
      <c r="H73" s="9">
        <f t="shared" si="47"/>
        <v>80.253264000000001</v>
      </c>
      <c r="I73" s="13">
        <f>'Imperial Units'!F76</f>
        <v>5.9</v>
      </c>
      <c r="J73" s="13">
        <f>'Imperial Units'!G76</f>
        <v>-0.6</v>
      </c>
      <c r="K73" s="13">
        <f>'Imperial Units'!H76</f>
        <v>3.1</v>
      </c>
      <c r="L73" s="12">
        <f>'Imperial Units'!I76</f>
        <v>-33</v>
      </c>
      <c r="M73" s="12">
        <f>'Imperial Units'!J76*0.45359237</f>
        <v>202.75578939000002</v>
      </c>
      <c r="N73" s="12">
        <f>'Imperial Units'!K76*0.45359237</f>
        <v>219.08511471</v>
      </c>
      <c r="O73" s="12">
        <f>'Imperial Units'!L76*0.45359237</f>
        <v>329.30806061999999</v>
      </c>
      <c r="P73" s="13">
        <f>'Imperial Units'!M76+273.15</f>
        <v>277.34999999999997</v>
      </c>
      <c r="Q73" s="9">
        <f>P73/(1+(0.4/2)*R73^2)</f>
        <v>273.65210046437221</v>
      </c>
      <c r="R73" s="34">
        <f>SQRT(2/0.4*((1+101325/E73*((1+0.4/2.8*1.225/101325*H73^2)^(1.4/0.4)-1))^(0.4/1.4)-1))</f>
        <v>0.25993404382592394</v>
      </c>
      <c r="S73" s="9">
        <f>R73*SQRT(1.4*287*Q73)</f>
        <v>86.192111977118728</v>
      </c>
      <c r="T73" s="9">
        <f>S73*SQRT(E73/101325)</f>
        <v>78.08474585544873</v>
      </c>
      <c r="U73" s="9">
        <f>288.15-0.00649*D73</f>
        <v>277.13169335999999</v>
      </c>
      <c r="V73" s="33">
        <f>Q73-U73</f>
        <v>-3.4795928956277749</v>
      </c>
      <c r="W73">
        <v>3915.6600000000003</v>
      </c>
      <c r="X73">
        <v>0.4456</v>
      </c>
      <c r="AE73" s="30"/>
      <c r="AF73" s="21" t="s">
        <v>93</v>
      </c>
      <c r="AG73" s="18">
        <f>$AG$16-O73</f>
        <v>6417.5947274299997</v>
      </c>
      <c r="AH73" s="18">
        <f t="shared" si="48"/>
        <v>62935.105333751402</v>
      </c>
      <c r="AI73" s="18"/>
      <c r="AJ73" s="26">
        <f>2*AH73/(1.225*$T73^2*$O$2)</f>
        <v>0.56173723650947027</v>
      </c>
      <c r="AK73" s="26">
        <f>2*W73/(1.225*$T73^2*$O$2)</f>
        <v>3.4949842633075982E-2</v>
      </c>
      <c r="AL73" s="35">
        <f>I73</f>
        <v>5.9</v>
      </c>
      <c r="AM73" s="28">
        <f>AJ73^2</f>
        <v>0.31554872288129654</v>
      </c>
    </row>
    <row r="75" spans="1:39" ht="18.3" x14ac:dyDescent="0.7">
      <c r="S75" s="48" t="s">
        <v>130</v>
      </c>
      <c r="T75" s="49"/>
      <c r="U75" s="49"/>
      <c r="V75" s="49"/>
      <c r="W75" s="49"/>
      <c r="X75" s="49"/>
      <c r="Y75" s="49"/>
      <c r="Z75" s="49"/>
    </row>
    <row r="76" spans="1:39" x14ac:dyDescent="0.55000000000000004">
      <c r="A76" s="1" t="s">
        <v>35</v>
      </c>
      <c r="S76" s="50"/>
      <c r="T76" s="50"/>
      <c r="U76" s="50"/>
      <c r="V76" s="50"/>
      <c r="W76" s="50"/>
      <c r="X76" s="50"/>
      <c r="Y76" s="50"/>
      <c r="Z76" s="50"/>
    </row>
    <row r="77" spans="1:39" x14ac:dyDescent="0.55000000000000004">
      <c r="S77" s="50" t="s">
        <v>131</v>
      </c>
      <c r="T77" s="50">
        <f>X72</f>
        <v>0.50170000000000003</v>
      </c>
      <c r="U77" s="50"/>
      <c r="V77" s="50">
        <f>J73/(I73-I72)</f>
        <v>-2.9999999999999973</v>
      </c>
      <c r="W77" s="50"/>
      <c r="X77" s="50"/>
      <c r="Y77" s="50"/>
      <c r="Z77" s="50"/>
    </row>
    <row r="78" spans="1:39" x14ac:dyDescent="0.55000000000000004">
      <c r="D78" t="s">
        <v>36</v>
      </c>
      <c r="J78" t="s">
        <v>36</v>
      </c>
      <c r="M78" t="s">
        <v>36</v>
      </c>
      <c r="S78" s="50" t="s">
        <v>132</v>
      </c>
      <c r="T78" s="50">
        <f>X73</f>
        <v>0.4456</v>
      </c>
      <c r="U78" s="50"/>
      <c r="V78" s="50"/>
      <c r="W78" s="50"/>
      <c r="X78" s="50"/>
      <c r="Y78" s="50"/>
      <c r="Z78" s="50"/>
    </row>
    <row r="79" spans="1:39" x14ac:dyDescent="0.55000000000000004">
      <c r="D79" t="s">
        <v>58</v>
      </c>
      <c r="J79" t="s">
        <v>58</v>
      </c>
      <c r="M79" t="s">
        <v>58</v>
      </c>
      <c r="S79" s="50" t="s">
        <v>133</v>
      </c>
      <c r="T79" s="50">
        <f>T78-T77</f>
        <v>-5.6100000000000039E-2</v>
      </c>
      <c r="U79" s="50"/>
      <c r="V79" s="50"/>
      <c r="W79" s="50"/>
      <c r="X79" s="50"/>
      <c r="Y79" s="50"/>
      <c r="Z79" s="50"/>
    </row>
    <row r="80" spans="1:39" x14ac:dyDescent="0.55000000000000004">
      <c r="A80" t="s">
        <v>37</v>
      </c>
      <c r="D80" s="8">
        <f>'Imperial Units'!D83</f>
        <v>2.9166666666666664E-2</v>
      </c>
      <c r="E80" s="8"/>
      <c r="F80" s="8"/>
      <c r="G80" s="8" t="str">
        <f>'Imperial Units'!E83</f>
        <v>Dutch Roll</v>
      </c>
      <c r="H80" s="8"/>
      <c r="I80" s="8"/>
      <c r="J80" s="8">
        <f>'Imperial Units'!G83</f>
        <v>3.1944444444444449E-2</v>
      </c>
      <c r="K80" s="8" t="str">
        <f>'Imperial Units'!H83</f>
        <v>Aper. Roll</v>
      </c>
      <c r="L80" s="8"/>
      <c r="M80" s="8">
        <f>'Imperial Units'!J83</f>
        <v>3.3333333333333333E-2</v>
      </c>
      <c r="N80" s="8"/>
      <c r="S80" s="50"/>
      <c r="T80" s="50"/>
      <c r="U80" s="50"/>
      <c r="V80" s="50"/>
      <c r="W80" s="50"/>
      <c r="X80" s="50"/>
      <c r="Y80" s="50"/>
      <c r="Z80" s="50"/>
    </row>
    <row r="81" spans="1:26" x14ac:dyDescent="0.55000000000000004">
      <c r="A81" t="s">
        <v>40</v>
      </c>
      <c r="D81" s="8">
        <f>'Imperial Units'!D84</f>
        <v>3.125E-2</v>
      </c>
      <c r="E81" s="8"/>
      <c r="F81" s="8"/>
      <c r="G81" s="8" t="str">
        <f>'Imperial Units'!E84</f>
        <v>Dutch Roll YD</v>
      </c>
      <c r="H81" s="8"/>
      <c r="I81" s="8"/>
      <c r="J81" s="8">
        <f>'Imperial Units'!G84</f>
        <v>3.2638888888888891E-2</v>
      </c>
      <c r="K81" s="8" t="str">
        <f>'Imperial Units'!H84</f>
        <v xml:space="preserve">Spiral </v>
      </c>
      <c r="L81" s="8"/>
      <c r="M81" s="8">
        <f>'Imperial Units'!J84</f>
        <v>3.6111111111111115E-2</v>
      </c>
      <c r="N81" s="8"/>
      <c r="S81" s="50"/>
      <c r="T81" s="50"/>
      <c r="U81" s="50"/>
      <c r="V81" s="50"/>
      <c r="W81" s="50"/>
      <c r="X81" s="50"/>
      <c r="Y81" s="50"/>
      <c r="Z81" s="50"/>
    </row>
    <row r="82" spans="1:26" x14ac:dyDescent="0.55000000000000004">
      <c r="S82" s="50" t="s">
        <v>124</v>
      </c>
      <c r="T82" s="51">
        <f>-1/(J72-J73)*AVERAGE(AJ72:AJ73)*(X73-X72)/O3</f>
        <v>2.5398393218812817E-2</v>
      </c>
      <c r="U82" s="50"/>
      <c r="V82" s="50">
        <f>T82*-V77</f>
        <v>7.6195179656438378E-2</v>
      </c>
      <c r="W82" s="50"/>
      <c r="X82" s="50"/>
      <c r="Y82" s="50"/>
      <c r="Z82" s="50"/>
    </row>
    <row r="83" spans="1:26" x14ac:dyDescent="0.55000000000000004">
      <c r="S83" s="50"/>
      <c r="T83" s="50"/>
      <c r="U83" s="50"/>
      <c r="V83" s="50"/>
      <c r="W83" s="50"/>
      <c r="X83" s="50"/>
      <c r="Y83" s="50"/>
      <c r="Z83" s="50"/>
    </row>
    <row r="84" spans="1:26" x14ac:dyDescent="0.55000000000000004">
      <c r="S84" s="50"/>
      <c r="T84" s="50"/>
      <c r="U84" s="50"/>
      <c r="V84" s="50"/>
      <c r="W84" s="50"/>
      <c r="X84" s="50"/>
      <c r="Y84" s="50"/>
      <c r="Z84" s="50"/>
    </row>
    <row r="85" spans="1:26" x14ac:dyDescent="0.55000000000000004">
      <c r="S85" s="50"/>
      <c r="T85" s="50"/>
      <c r="U85" s="50"/>
      <c r="V85" s="50"/>
      <c r="W85" s="50"/>
      <c r="X85" s="50"/>
      <c r="Y85" s="50"/>
      <c r="Z85" s="50"/>
    </row>
  </sheetData>
  <sortState xmlns:xlrd2="http://schemas.microsoft.com/office/spreadsheetml/2017/richdata2" ref="D64:E70">
    <sortCondition ref="D64"/>
  </sortState>
  <phoneticPr fontId="3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Imperial Units</vt:lpstr>
      <vt:lpstr>Metric Units</vt:lpstr>
    </vt:vector>
  </TitlesOfParts>
  <Company>TU Delft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 Mulder - LR</dc:creator>
  <cp:lastModifiedBy>Mitchell Lubout</cp:lastModifiedBy>
  <cp:lastPrinted>2013-02-27T10:55:04Z</cp:lastPrinted>
  <dcterms:created xsi:type="dcterms:W3CDTF">2013-02-25T15:54:42Z</dcterms:created>
  <dcterms:modified xsi:type="dcterms:W3CDTF">2020-03-22T22:19:54Z</dcterms:modified>
</cp:coreProperties>
</file>