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A23FBADA-0716-4FF2-A9BB-C5C8158BD7E4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" l="1"/>
  <c r="E72" i="2"/>
  <c r="E46" i="2"/>
  <c r="E47" i="2"/>
  <c r="E48" i="2"/>
  <c r="E49" i="2"/>
  <c r="E50" i="2"/>
  <c r="E51" i="2"/>
  <c r="E45" i="2"/>
  <c r="E29" i="2"/>
  <c r="E30" i="2"/>
  <c r="E31" i="2"/>
  <c r="E32" i="2"/>
  <c r="E33" i="2"/>
  <c r="E28" i="2"/>
  <c r="R55" i="2" l="1"/>
  <c r="R56" i="2"/>
  <c r="R57" i="2"/>
  <c r="R58" i="2"/>
  <c r="R59" i="2"/>
  <c r="R60" i="2"/>
  <c r="R61" i="2"/>
  <c r="Q56" i="2"/>
  <c r="Q57" i="2"/>
  <c r="Q58" i="2"/>
  <c r="Q59" i="2"/>
  <c r="Q60" i="2"/>
  <c r="Q61" i="2"/>
  <c r="Q55" i="2"/>
  <c r="T78" i="2" l="1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M73" i="2"/>
  <c r="L73" i="2"/>
  <c r="K73" i="2"/>
  <c r="J73" i="2"/>
  <c r="I73" i="2"/>
  <c r="AL73" i="2" s="1"/>
  <c r="D73" i="2"/>
  <c r="C73" i="2"/>
  <c r="B73" i="2"/>
  <c r="O72" i="2"/>
  <c r="N72" i="2"/>
  <c r="M72" i="2"/>
  <c r="L72" i="2"/>
  <c r="K72" i="2"/>
  <c r="J72" i="2"/>
  <c r="I72" i="2"/>
  <c r="AL72" i="2" s="1"/>
  <c r="D72" i="2"/>
  <c r="C72" i="2"/>
  <c r="B72" i="2"/>
  <c r="O51" i="2"/>
  <c r="N51" i="2"/>
  <c r="M51" i="2"/>
  <c r="L51" i="2"/>
  <c r="K51" i="2"/>
  <c r="J51" i="2"/>
  <c r="I51" i="2"/>
  <c r="AL51" i="2" s="1"/>
  <c r="F55" i="2" s="1"/>
  <c r="D51" i="2"/>
  <c r="F51" i="2" s="1"/>
  <c r="C51" i="2"/>
  <c r="B51" i="2"/>
  <c r="O50" i="2"/>
  <c r="N50" i="2"/>
  <c r="M50" i="2"/>
  <c r="L50" i="2"/>
  <c r="K50" i="2"/>
  <c r="J50" i="2"/>
  <c r="I50" i="2"/>
  <c r="AL50" i="2" s="1"/>
  <c r="F56" i="2" s="1"/>
  <c r="D50" i="2"/>
  <c r="F50" i="2" s="1"/>
  <c r="C50" i="2"/>
  <c r="B50" i="2"/>
  <c r="O49" i="2"/>
  <c r="N49" i="2"/>
  <c r="M49" i="2"/>
  <c r="L49" i="2"/>
  <c r="K49" i="2"/>
  <c r="J49" i="2"/>
  <c r="I49" i="2"/>
  <c r="AL49" i="2" s="1"/>
  <c r="F57" i="2" s="1"/>
  <c r="D49" i="2"/>
  <c r="F49" i="2" s="1"/>
  <c r="C49" i="2"/>
  <c r="B49" i="2"/>
  <c r="O48" i="2"/>
  <c r="N48" i="2"/>
  <c r="M48" i="2"/>
  <c r="L48" i="2"/>
  <c r="K48" i="2"/>
  <c r="J48" i="2"/>
  <c r="I48" i="2"/>
  <c r="AL48" i="2" s="1"/>
  <c r="F61" i="2" s="1"/>
  <c r="D48" i="2"/>
  <c r="F48" i="2" s="1"/>
  <c r="C48" i="2"/>
  <c r="B48" i="2"/>
  <c r="O47" i="2"/>
  <c r="N47" i="2"/>
  <c r="M47" i="2"/>
  <c r="L47" i="2"/>
  <c r="K47" i="2"/>
  <c r="J47" i="2"/>
  <c r="I47" i="2"/>
  <c r="AL47" i="2" s="1"/>
  <c r="F60" i="2" s="1"/>
  <c r="D47" i="2"/>
  <c r="F47" i="2" s="1"/>
  <c r="C47" i="2"/>
  <c r="B47" i="2"/>
  <c r="O46" i="2"/>
  <c r="N46" i="2"/>
  <c r="M46" i="2"/>
  <c r="L46" i="2"/>
  <c r="K46" i="2"/>
  <c r="J46" i="2"/>
  <c r="I46" i="2"/>
  <c r="AL46" i="2" s="1"/>
  <c r="F59" i="2" s="1"/>
  <c r="D46" i="2"/>
  <c r="F46" i="2" s="1"/>
  <c r="C46" i="2"/>
  <c r="B46" i="2"/>
  <c r="O45" i="2"/>
  <c r="N45" i="2"/>
  <c r="M45" i="2"/>
  <c r="L45" i="2"/>
  <c r="K45" i="2"/>
  <c r="J45" i="2"/>
  <c r="I45" i="2"/>
  <c r="AL45" i="2" s="1"/>
  <c r="F58" i="2" s="1"/>
  <c r="D45" i="2"/>
  <c r="F45" i="2" s="1"/>
  <c r="C45" i="2"/>
  <c r="B45" i="2"/>
  <c r="O33" i="2"/>
  <c r="N33" i="2"/>
  <c r="M33" i="2"/>
  <c r="I33" i="2"/>
  <c r="AL33" i="2" s="1"/>
  <c r="D33" i="2"/>
  <c r="F33" i="2" s="1"/>
  <c r="O32" i="2"/>
  <c r="N32" i="2"/>
  <c r="M32" i="2"/>
  <c r="I32" i="2"/>
  <c r="AL32" i="2" s="1"/>
  <c r="D32" i="2"/>
  <c r="F32" i="2" s="1"/>
  <c r="B32" i="2"/>
  <c r="O31" i="2"/>
  <c r="N31" i="2"/>
  <c r="M31" i="2"/>
  <c r="I31" i="2"/>
  <c r="AL31" i="2" s="1"/>
  <c r="D31" i="2"/>
  <c r="F31" i="2" s="1"/>
  <c r="B31" i="2"/>
  <c r="O30" i="2"/>
  <c r="N30" i="2"/>
  <c r="M30" i="2"/>
  <c r="I30" i="2"/>
  <c r="AL30" i="2" s="1"/>
  <c r="D30" i="2"/>
  <c r="F30" i="2" s="1"/>
  <c r="B30" i="2"/>
  <c r="O29" i="2"/>
  <c r="N29" i="2"/>
  <c r="M29" i="2"/>
  <c r="I29" i="2"/>
  <c r="AL29" i="2" s="1"/>
  <c r="D29" i="2"/>
  <c r="F29" i="2" s="1"/>
  <c r="B29" i="2"/>
  <c r="O28" i="2"/>
  <c r="N28" i="2"/>
  <c r="M28" i="2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F28" i="2" l="1"/>
  <c r="R28" i="2"/>
  <c r="R46" i="2"/>
  <c r="U46" i="2"/>
  <c r="R48" i="2"/>
  <c r="U48" i="2"/>
  <c r="R50" i="2"/>
  <c r="U50" i="2"/>
  <c r="R72" i="2"/>
  <c r="U72" i="2"/>
  <c r="R45" i="2"/>
  <c r="U45" i="2"/>
  <c r="R47" i="2"/>
  <c r="U47" i="2"/>
  <c r="R49" i="2"/>
  <c r="U49" i="2"/>
  <c r="R51" i="2"/>
  <c r="U51" i="2"/>
  <c r="R73" i="2"/>
  <c r="U73" i="2"/>
  <c r="U28" i="2"/>
  <c r="R30" i="2"/>
  <c r="Q30" i="2" s="1"/>
  <c r="U30" i="2"/>
  <c r="R32" i="2"/>
  <c r="Q32" i="2" s="1"/>
  <c r="U32" i="2"/>
  <c r="R33" i="2"/>
  <c r="Q33" i="2" s="1"/>
  <c r="U33" i="2"/>
  <c r="R29" i="2"/>
  <c r="Q29" i="2" s="1"/>
  <c r="U29" i="2"/>
  <c r="R31" i="2"/>
  <c r="Q31" i="2" s="1"/>
  <c r="U31" i="2"/>
  <c r="C30" i="2"/>
  <c r="C32" i="2"/>
  <c r="C28" i="2"/>
  <c r="C29" i="2"/>
  <c r="C31" i="2"/>
  <c r="AG16" i="2"/>
  <c r="C33" i="2"/>
  <c r="Q28" i="2" l="1"/>
  <c r="R35" i="2"/>
  <c r="R34" i="2"/>
  <c r="V30" i="2"/>
  <c r="V28" i="2"/>
  <c r="Q51" i="2"/>
  <c r="V51" i="2" s="1"/>
  <c r="Q72" i="2"/>
  <c r="V72" i="2" s="1"/>
  <c r="Q48" i="2"/>
  <c r="V48" i="2" s="1"/>
  <c r="Q47" i="2"/>
  <c r="V47" i="2" s="1"/>
  <c r="S28" i="2"/>
  <c r="T28" i="2" s="1"/>
  <c r="AK28" i="2" s="1"/>
  <c r="Q73" i="2"/>
  <c r="V73" i="2" s="1"/>
  <c r="Q49" i="2"/>
  <c r="V49" i="2" s="1"/>
  <c r="Q45" i="2"/>
  <c r="V45" i="2" s="1"/>
  <c r="Q50" i="2"/>
  <c r="V50" i="2" s="1"/>
  <c r="Q46" i="2"/>
  <c r="V46" i="2" s="1"/>
  <c r="V32" i="2"/>
  <c r="S33" i="2"/>
  <c r="T33" i="2" s="1"/>
  <c r="AK33" i="2" s="1"/>
  <c r="V31" i="2"/>
  <c r="S31" i="2"/>
  <c r="T31" i="2" s="1"/>
  <c r="AK31" i="2" s="1"/>
  <c r="V29" i="2"/>
  <c r="S29" i="2"/>
  <c r="T29" i="2" s="1"/>
  <c r="AK29" i="2" s="1"/>
  <c r="V33" i="2"/>
  <c r="S30" i="2"/>
  <c r="T30" i="2" s="1"/>
  <c r="AK30" i="2" s="1"/>
  <c r="S32" i="2"/>
  <c r="T32" i="2" s="1"/>
  <c r="AK32" i="2" s="1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G28" i="2"/>
  <c r="AH28" i="2" s="1"/>
  <c r="AG45" i="2"/>
  <c r="AG31" i="2"/>
  <c r="AG73" i="2"/>
  <c r="AH73" i="2" s="1"/>
  <c r="AG49" i="2"/>
  <c r="S51" i="2" l="1"/>
  <c r="T51" i="2" s="1"/>
  <c r="Y51" i="2" s="1"/>
  <c r="AJ30" i="2"/>
  <c r="AH51" i="2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T48" i="2" s="1"/>
  <c r="X48" i="2" s="1"/>
  <c r="K58" i="2" s="1"/>
  <c r="AK51" i="2"/>
  <c r="E55" i="2" s="1"/>
  <c r="X51" i="2"/>
  <c r="K61" i="2" s="1"/>
  <c r="S49" i="2"/>
  <c r="T49" i="2" s="1"/>
  <c r="Y49" i="2" s="1"/>
  <c r="AJ51" i="2"/>
  <c r="D55" i="2" s="1"/>
  <c r="G55" i="2" s="1"/>
  <c r="AJ28" i="2"/>
  <c r="AJ29" i="2"/>
  <c r="S47" i="2"/>
  <c r="T47" i="2" s="1"/>
  <c r="Y47" i="2" s="1"/>
  <c r="S72" i="2"/>
  <c r="T72" i="2" s="1"/>
  <c r="AK72" i="2" s="1"/>
  <c r="S46" i="2"/>
  <c r="T46" i="2" s="1"/>
  <c r="Y46" i="2" s="1"/>
  <c r="S45" i="2"/>
  <c r="T45" i="2" s="1"/>
  <c r="Y45" i="2" s="1"/>
  <c r="S73" i="2"/>
  <c r="T73" i="2" s="1"/>
  <c r="AK73" i="2" s="1"/>
  <c r="S50" i="2"/>
  <c r="T50" i="2" s="1"/>
  <c r="Y50" i="2" s="1"/>
  <c r="AH31" i="2"/>
  <c r="AJ31" i="2" s="1"/>
  <c r="AM30" i="2"/>
  <c r="AN30" i="2" s="1"/>
  <c r="Z48" i="2" l="1"/>
  <c r="L55" i="2"/>
  <c r="Z51" i="2"/>
  <c r="AA51" i="2" s="1"/>
  <c r="I61" i="2" s="1"/>
  <c r="J61" i="2" s="1"/>
  <c r="P61" i="2" s="1"/>
  <c r="L61" i="2"/>
  <c r="H55" i="2"/>
  <c r="AJ48" i="2"/>
  <c r="D61" i="2" s="1"/>
  <c r="G61" i="2" s="1"/>
  <c r="AK48" i="2"/>
  <c r="E61" i="2" s="1"/>
  <c r="Y48" i="2"/>
  <c r="AA48" i="2" s="1"/>
  <c r="I58" i="2" s="1"/>
  <c r="J55" i="2" s="1"/>
  <c r="P55" i="2" s="1"/>
  <c r="AK46" i="2"/>
  <c r="E59" i="2" s="1"/>
  <c r="X46" i="2"/>
  <c r="K56" i="2" s="1"/>
  <c r="AK47" i="2"/>
  <c r="E60" i="2" s="1"/>
  <c r="X47" i="2"/>
  <c r="K57" i="2" s="1"/>
  <c r="AK49" i="2"/>
  <c r="E57" i="2" s="1"/>
  <c r="X49" i="2"/>
  <c r="K59" i="2" s="1"/>
  <c r="AK50" i="2"/>
  <c r="E56" i="2" s="1"/>
  <c r="X50" i="2"/>
  <c r="K60" i="2" s="1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T82" i="2" l="1"/>
  <c r="T83" i="2" s="1"/>
  <c r="Z47" i="2"/>
  <c r="AA47" i="2" s="1"/>
  <c r="I57" i="2" s="1"/>
  <c r="J56" i="2" s="1"/>
  <c r="P56" i="2" s="1"/>
  <c r="L56" i="2"/>
  <c r="Z50" i="2"/>
  <c r="AA50" i="2" s="1"/>
  <c r="I60" i="2" s="1"/>
  <c r="J60" i="2" s="1"/>
  <c r="P60" i="2" s="1"/>
  <c r="L60" i="2"/>
  <c r="Z45" i="2"/>
  <c r="AA45" i="2" s="1"/>
  <c r="I55" i="2" s="1"/>
  <c r="J58" i="2" s="1"/>
  <c r="P58" i="2" s="1"/>
  <c r="K55" i="2"/>
  <c r="L58" i="2" s="1"/>
  <c r="Z49" i="2"/>
  <c r="AA49" i="2" s="1"/>
  <c r="I59" i="2" s="1"/>
  <c r="J59" i="2" s="1"/>
  <c r="P59" i="2" s="1"/>
  <c r="L59" i="2"/>
  <c r="Z46" i="2"/>
  <c r="AA46" i="2" s="1"/>
  <c r="I56" i="2" s="1"/>
  <c r="J57" i="2" s="1"/>
  <c r="P57" i="2" s="1"/>
  <c r="L57" i="2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AN34" i="2" l="1"/>
</calcChain>
</file>

<file path=xl/sharedStrings.xml><?xml version="1.0" encoding="utf-8"?>
<sst xmlns="http://schemas.openxmlformats.org/spreadsheetml/2006/main" count="386" uniqueCount="138">
  <si>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</si>
  <si>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</si>
  <si>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</si>
  <si>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</si>
  <si>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</si>
  <si>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</si>
  <si>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</si>
  <si>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</si>
  <si>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</si>
  <si>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</si>
  <si>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</si>
  <si>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</si>
  <si>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</si>
  <si>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</si>
  <si>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</si>
  <si>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</si>
  <si>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</si>
  <si>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</si>
  <si>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</si>
  <si>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</si>
  <si>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</si>
  <si>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</si>
  <si>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</si>
  <si>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</si>
  <si>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</si>
  <si>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</si>
  <si>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</si>
  <si>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</si>
  <si>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</si>
  <si>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</si>
  <si>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</si>
  <si>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</si>
  <si>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</si>
  <si>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</si>
  <si>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</si>
  <si>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</si>
  <si>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</si>
  <si>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</si>
  <si>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</si>
  <si>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</si>
  <si>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</si>
  <si>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</si>
  <si>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</si>
  <si>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</si>
  <si>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</si>
  <si>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</si>
  <si>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</si>
  <si>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</si>
  <si>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</si>
  <si>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</si>
  <si>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</si>
  <si>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</si>
  <si>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</si>
  <si>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</si>
  <si>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</si>
  <si>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</si>
  <si>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</si>
  <si>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</si>
  <si>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</si>
  <si>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</si>
  <si>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</si>
  <si>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</si>
  <si>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</si>
  <si>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</si>
  <si>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</si>
  <si>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</si>
  <si>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</si>
  <si>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</si>
  <si>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</si>
  <si>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</si>
  <si>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</si>
  <si>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</si>
  <si>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</si>
  <si>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</si>
  <si>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</si>
  <si>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</si>
  <si>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</si>
  <si>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</si>
  <si>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</si>
  <si>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</si>
  <si>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</si>
  <si>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</si>
  <si>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</si>
  <si>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</si>
  <si>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</si>
  <si>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</si>
  <si>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</si>
  <si>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</si>
  <si>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</si>
  <si>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</si>
  <si>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</si>
  <si>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</si>
  <si>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</si>
  <si>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</si>
  <si>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</si>
  <si>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</si>
  <si>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</si>
  <si>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</si>
  <si>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</si>
  <si>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</si>
  <si>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</si>
  <si>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</si>
  <si>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</si>
  <si>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</si>
  <si>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</si>
  <si>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</si>
  <si>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</si>
  <si>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</si>
  <si>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</si>
  <si>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</si>
  <si>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</si>
  <si>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</si>
  <si>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</si>
  <si>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</si>
  <si>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</si>
  <si>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</si>
  <si>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</si>
  <si>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</si>
  <si>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</si>
  <si>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</si>
  <si>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</si>
  <si>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</si>
  <si>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</si>
  <si>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</si>
  <si>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</si>
  <si>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</si>
  <si>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</si>
  <si>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</si>
  <si>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</si>
  <si>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</si>
  <si>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</si>
  <si>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</si>
  <si>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</si>
  <si>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</si>
  <si>
    <t>rho</t>
  </si>
  <si>
    <t>[kg/m^3]</t>
  </si>
  <si>
    <t>alpha</t>
  </si>
  <si>
    <t>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</si>
</sst>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0" fontId="0" fillId="12" borderId="1" xfId="0" applyFill="1" applyBorder="1"/>
    <xf numFmtId="0" fontId="5" fillId="0" borderId="0" xfId="0" applyFont="1" applyFill="1"/>
    <xf numFmtId="167" fontId="0" fillId="0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0.23307220529561296</c:v>
                </c:pt>
                <c:pt idx="1">
                  <c:v>0.29276921465969619</c:v>
                </c:pt>
                <c:pt idx="2">
                  <c:v>0.4040713200492545</c:v>
                </c:pt>
                <c:pt idx="3">
                  <c:v>0.55826504215259565</c:v>
                </c:pt>
                <c:pt idx="4">
                  <c:v>0.77492725997005707</c:v>
                </c:pt>
                <c:pt idx="5">
                  <c:v>0.96320954217681853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62.257791602744703</c:v>
                </c:pt>
                <c:pt idx="1">
                  <c:v>67.09219691914916</c:v>
                </c:pt>
                <c:pt idx="2">
                  <c:v>71.443985063506801</c:v>
                </c:pt>
                <c:pt idx="3">
                  <c:v>76.715397358423132</c:v>
                </c:pt>
                <c:pt idx="4">
                  <c:v>82.292857340384487</c:v>
                </c:pt>
                <c:pt idx="5">
                  <c:v>87.778547573001845</c:v>
                </c:pt>
                <c:pt idx="6">
                  <c:v>92.194748535195046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Units'!$R$55:$R$61</c:f>
              <c:numCache>
                <c:formatCode>0.000</c:formatCode>
                <c:ptCount val="7"/>
                <c:pt idx="0">
                  <c:v>9.1</c:v>
                </c:pt>
                <c:pt idx="1">
                  <c:v>7.5</c:v>
                </c:pt>
                <c:pt idx="2">
                  <c:v>6.5</c:v>
                </c:pt>
                <c:pt idx="3">
                  <c:v>5.5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-1.5714448673066228</c:v>
                </c:pt>
                <c:pt idx="1">
                  <c:v>-0.96187072113651795</c:v>
                </c:pt>
                <c:pt idx="2">
                  <c:v>-0.45426080909598632</c:v>
                </c:pt>
                <c:pt idx="3">
                  <c:v>-0.14728147988194035</c:v>
                </c:pt>
                <c:pt idx="4">
                  <c:v>0.26399036259862152</c:v>
                </c:pt>
                <c:pt idx="5">
                  <c:v>0.57003906160955176</c:v>
                </c:pt>
                <c:pt idx="6">
                  <c:v>0.87512168509825561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41F2-8391-628B13D0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0.23307220529561296</c:v>
                </c:pt>
                <c:pt idx="1">
                  <c:v>0.29276921465969619</c:v>
                </c:pt>
                <c:pt idx="2">
                  <c:v>0.4040713200492545</c:v>
                </c:pt>
                <c:pt idx="3">
                  <c:v>0.55826504215259565</c:v>
                </c:pt>
                <c:pt idx="4">
                  <c:v>0.77492725997005707</c:v>
                </c:pt>
                <c:pt idx="5">
                  <c:v>0.96320954217681853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Units'!$AL$28:$AL$33</c:f>
              <c:numCache>
                <c:formatCode>0.0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2.5600046374981152E-2</c:v>
                </c:pt>
                <c:pt idx="1">
                  <c:v>2.6591837811334246E-2</c:v>
                </c:pt>
                <c:pt idx="2">
                  <c:v>3.0529940564449604E-2</c:v>
                </c:pt>
                <c:pt idx="3">
                  <c:v>3.5037703063025338E-2</c:v>
                </c:pt>
                <c:pt idx="4">
                  <c:v>4.7850029242160114E-2</c:v>
                </c:pt>
                <c:pt idx="5">
                  <c:v>6.1505101845398515E-2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5.4322652881360352E-2</c:v>
                </c:pt>
                <c:pt idx="1">
                  <c:v>8.5713813052455262E-2</c:v>
                </c:pt>
                <c:pt idx="2">
                  <c:v>0.16327363168634706</c:v>
                </c:pt>
                <c:pt idx="3">
                  <c:v>0.31165985728963941</c:v>
                </c:pt>
                <c:pt idx="4">
                  <c:v>0.60051225824470045</c:v>
                </c:pt>
                <c:pt idx="5">
                  <c:v>0.9277726221404764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0.3873367371839247</c:v>
                </c:pt>
                <c:pt idx="1">
                  <c:v>0.42729152304929774</c:v>
                </c:pt>
                <c:pt idx="2">
                  <c:v>0.48615725824678063</c:v>
                </c:pt>
                <c:pt idx="3">
                  <c:v>0.55941741270475198</c:v>
                </c:pt>
                <c:pt idx="4">
                  <c:v>0.64501485394680125</c:v>
                </c:pt>
                <c:pt idx="5">
                  <c:v>0.73140349636633073</c:v>
                </c:pt>
                <c:pt idx="6">
                  <c:v>0.84940269628579812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0.3873367371839247</c:v>
                </c:pt>
                <c:pt idx="1">
                  <c:v>0.42729152304929774</c:v>
                </c:pt>
                <c:pt idx="2">
                  <c:v>0.48615725824678063</c:v>
                </c:pt>
                <c:pt idx="3">
                  <c:v>0.55941741270475198</c:v>
                </c:pt>
                <c:pt idx="4">
                  <c:v>0.64501485394680125</c:v>
                </c:pt>
                <c:pt idx="5">
                  <c:v>0.73140349636633073</c:v>
                </c:pt>
                <c:pt idx="6">
                  <c:v>0.84940269628579812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2.3296956230591272E-2</c:v>
                </c:pt>
                <c:pt idx="1">
                  <c:v>2.5710998533073456E-2</c:v>
                </c:pt>
                <c:pt idx="2">
                  <c:v>2.9514485168266557E-2</c:v>
                </c:pt>
                <c:pt idx="3">
                  <c:v>3.4387945526984272E-2</c:v>
                </c:pt>
                <c:pt idx="4">
                  <c:v>4.0422116826135043E-2</c:v>
                </c:pt>
                <c:pt idx="5">
                  <c:v>4.6535053976125493E-2</c:v>
                </c:pt>
                <c:pt idx="6">
                  <c:v>5.5110823015101264E-2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0.15002974797228874</c:v>
                </c:pt>
                <c:pt idx="1">
                  <c:v>0.18257804566978855</c:v>
                </c:pt>
                <c:pt idx="2">
                  <c:v>0.23634887974602695</c:v>
                </c:pt>
                <c:pt idx="3">
                  <c:v>0.31294784163727879</c:v>
                </c:pt>
                <c:pt idx="4">
                  <c:v>0.41604416181201337</c:v>
                </c:pt>
                <c:pt idx="5">
                  <c:v>0.53495107449689316</c:v>
                </c:pt>
                <c:pt idx="6">
                  <c:v>0.72148494045758382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62.257791602744703</c:v>
                </c:pt>
                <c:pt idx="1">
                  <c:v>67.09219691914916</c:v>
                </c:pt>
                <c:pt idx="2">
                  <c:v>71.443985063506801</c:v>
                </c:pt>
                <c:pt idx="3">
                  <c:v>76.715397358423132</c:v>
                </c:pt>
                <c:pt idx="4">
                  <c:v>82.292857340384487</c:v>
                </c:pt>
                <c:pt idx="5">
                  <c:v>87.778547573001845</c:v>
                </c:pt>
                <c:pt idx="6">
                  <c:v>92.194748535195046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-1.5714448673066228</c:v>
                </c:pt>
                <c:pt idx="1">
                  <c:v>-0.96187072113651795</c:v>
                </c:pt>
                <c:pt idx="2">
                  <c:v>-0.45426080909598632</c:v>
                </c:pt>
                <c:pt idx="3">
                  <c:v>-0.14728147988194035</c:v>
                </c:pt>
                <c:pt idx="4">
                  <c:v>0.26399036259862152</c:v>
                </c:pt>
                <c:pt idx="5">
                  <c:v>0.57003906160955176</c:v>
                </c:pt>
                <c:pt idx="6">
                  <c:v>0.87512168509825561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48</xdr:col>
      <xdr:colOff>462375</xdr:colOff>
      <xdr:row>24</xdr:row>
      <xdr:rowOff>131313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131313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131313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131313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462375</xdr:colOff>
      <xdr:row>53</xdr:row>
      <xdr:rowOff>64955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8123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9A41D5-AA2B-41E7-8B0E-AEA918B4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O85"/>
  <sheetViews>
    <sheetView tabSelected="1" zoomScaleNormal="100" workbookViewId="0">
      <selection activeCell="AP36" sqref="AP36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35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35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35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35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35" x14ac:dyDescent="0.55000000000000004">
      <c r="N5" s="19" t="s">
        <v>88</v>
      </c>
      <c r="O5" s="28">
        <f>O4^2/O2</f>
        <v>8.4386640333333336</v>
      </c>
      <c r="Q5" s="15"/>
      <c r="AE5" s="16"/>
      <c r="AF5" s="21"/>
      <c r="AG5" s="16"/>
      <c r="AH5" s="18"/>
      <c r="AI5" s="18"/>
    </row>
    <row r="6" spans="1:35" x14ac:dyDescent="0.55000000000000004">
      <c r="A6" t="s">
        <v>5</v>
      </c>
      <c r="N6" s="19" t="s">
        <v>119</v>
      </c>
      <c r="O6" s="28">
        <v>6168.9</v>
      </c>
      <c r="Q6" s="15"/>
      <c r="AE6" s="16"/>
      <c r="AF6" s="21" t="s">
        <v>90</v>
      </c>
      <c r="AG6" s="16">
        <f t="shared" ref="AG6:AG14" si="1">D8</f>
        <v>80</v>
      </c>
      <c r="AH6" s="18">
        <f t="shared" si="0"/>
        <v>784.53199999999993</v>
      </c>
      <c r="AI6" s="18"/>
    </row>
    <row r="7" spans="1:35" x14ac:dyDescent="0.55000000000000004">
      <c r="C7" t="s">
        <v>6</v>
      </c>
      <c r="N7" s="19" t="s">
        <v>122</v>
      </c>
      <c r="O7" s="28">
        <v>0.68600000000000005</v>
      </c>
      <c r="Q7" s="15"/>
      <c r="AE7" s="16"/>
      <c r="AF7" s="21"/>
      <c r="AG7" s="16">
        <f t="shared" si="1"/>
        <v>102</v>
      </c>
      <c r="AH7" s="18">
        <f t="shared" si="0"/>
        <v>1000.2782999999999</v>
      </c>
      <c r="AI7" s="18"/>
    </row>
    <row r="8" spans="1:35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124</v>
      </c>
      <c r="O8" s="28">
        <v>-1.1641999999999999</v>
      </c>
      <c r="Q8" s="15"/>
      <c r="AE8" s="16"/>
      <c r="AF8" s="21"/>
      <c r="AG8" s="16">
        <f t="shared" si="1"/>
        <v>60</v>
      </c>
      <c r="AH8" s="18">
        <f t="shared" si="0"/>
        <v>588.399</v>
      </c>
      <c r="AI8" s="18"/>
    </row>
    <row r="9" spans="1:35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125</v>
      </c>
      <c r="O9" s="28">
        <v>-6.4000000000000003E-3</v>
      </c>
      <c r="AE9" s="16"/>
      <c r="AF9" s="21"/>
      <c r="AG9" s="16">
        <f t="shared" si="1"/>
        <v>75</v>
      </c>
      <c r="AH9" s="18">
        <f t="shared" si="0"/>
        <v>735.49874999999997</v>
      </c>
      <c r="AI9" s="18"/>
    </row>
    <row r="10" spans="1:35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AE10" s="16"/>
      <c r="AF10" s="21"/>
      <c r="AG10" s="16">
        <f t="shared" si="1"/>
        <v>83</v>
      </c>
      <c r="AH10" s="18">
        <f t="shared" si="0"/>
        <v>813.9519499999999</v>
      </c>
      <c r="AI10" s="18"/>
    </row>
    <row r="11" spans="1:35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 t="shared" si="1"/>
        <v>66</v>
      </c>
      <c r="AH11" s="18">
        <f t="shared" si="0"/>
        <v>647.23889999999994</v>
      </c>
      <c r="AI11" s="18"/>
    </row>
    <row r="12" spans="1:35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 t="shared" si="1"/>
        <v>89</v>
      </c>
      <c r="AH12" s="18">
        <f t="shared" si="0"/>
        <v>872.79184999999995</v>
      </c>
      <c r="AI12" s="18"/>
    </row>
    <row r="13" spans="1:35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 t="shared" si="1"/>
        <v>85</v>
      </c>
      <c r="AH13" s="18">
        <f t="shared" si="0"/>
        <v>833.56524999999999</v>
      </c>
      <c r="AI13" s="18"/>
    </row>
    <row r="14" spans="1:35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 t="shared" si="1"/>
        <v>90</v>
      </c>
      <c r="AH14" s="18">
        <f t="shared" si="0"/>
        <v>882.59849999999994</v>
      </c>
      <c r="AI14" s="18"/>
    </row>
    <row r="15" spans="1:35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35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F25" t="s">
        <v>134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F26" t="s">
        <v>135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121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117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101325*(1+((-0.00649*D28)/288.15))^(-9.80665/(-0.00649*287))</f>
        <v>84241.741928410906</v>
      </c>
      <c r="F28" s="9">
        <f>1.225*(1+((0.00649*D28)/288.15))^(-9.80665/(0.00649*287))</f>
        <v>1.0248588170605673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2">P28/(1+(0.4/2)*R28^2)</f>
        <v>274.28522076441391</v>
      </c>
      <c r="R28" s="34">
        <f t="shared" ref="R28:R33" si="3">SQRT(2/0.4*((1+101325/E28*((1+0.4/2.8*1.225/101325*H28^2)^(1.4/0.4)-1))^(0.4/1.4)-1))</f>
        <v>0.4065017451430889</v>
      </c>
      <c r="S28" s="9">
        <f t="shared" ref="S28:S33" si="4">R28*SQRT(1.4*287*Q28)</f>
        <v>134.94866240275354</v>
      </c>
      <c r="T28" s="9">
        <f t="shared" ref="T28:T33" si="5">S28*SQRT(E28/101325)</f>
        <v>123.04782663738078</v>
      </c>
      <c r="U28" s="9">
        <f t="shared" ref="U28:U33" si="6">288.15-0.00649*D28</f>
        <v>278.21967695999996</v>
      </c>
      <c r="V28" s="54">
        <f t="shared" ref="V28:V33" si="7">Q28-U28</f>
        <v>-3.9344561955860513</v>
      </c>
      <c r="W28">
        <v>7122.23</v>
      </c>
      <c r="AE28" s="16"/>
      <c r="AF28" s="21" t="s">
        <v>93</v>
      </c>
      <c r="AG28" s="18">
        <f t="shared" ref="AG28:AG33" si="8">$AG$16-O28</f>
        <v>6612.1858541599995</v>
      </c>
      <c r="AH28" s="18">
        <f t="shared" si="0"/>
        <v>64843.392406698156</v>
      </c>
      <c r="AI28" s="18"/>
      <c r="AJ28" s="26">
        <f t="shared" ref="AJ28:AJ33" si="9">2*AH28/(1.225*$T28^2*$O$2)</f>
        <v>0.23307220529561296</v>
      </c>
      <c r="AK28" s="26">
        <f t="shared" ref="AK28:AK33" si="10">2*W28/(1.225*$T28^2*$O$2)</f>
        <v>2.5600046374981152E-2</v>
      </c>
      <c r="AL28" s="35">
        <f t="shared" ref="AL28:AL33" si="11">I28</f>
        <v>1.8</v>
      </c>
      <c r="AM28" s="27">
        <f t="shared" ref="AM28:AM33" si="12">AJ28^2</f>
        <v>5.4322652881360352E-2</v>
      </c>
      <c r="AN28" s="26">
        <f t="shared" ref="AN28:AN33" si="13">AM28/(AK28-$AK$35)/(PI()*$O$5)</f>
        <v>0.83698952080050737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14">B29-$B$28</f>
        <v>6.944444444444442E-2</v>
      </c>
      <c r="D29" s="9">
        <f>'Imperial Units'!D29*0.3048</f>
        <v>1530.096</v>
      </c>
      <c r="E29" s="9">
        <f t="shared" ref="E29:E33" si="15">101325*(1+((-0.00649*D29)/288.15))^(-9.80665/(-0.00649*287))</f>
        <v>84241.741928410906</v>
      </c>
      <c r="F29" s="9">
        <f t="shared" ref="F29:F33" si="16">1.225*(1+((0.00649*D29)/288.15))^(-9.80665/(0.00649*287))</f>
        <v>1.0248588170605673</v>
      </c>
      <c r="G29" s="9">
        <f>'Imperial Units'!E29*0.514444</f>
        <v>113.69212400000001</v>
      </c>
      <c r="H29" s="9">
        <f t="shared" ref="H29:H33" si="17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2"/>
        <v>274.45188815435927</v>
      </c>
      <c r="R29" s="34">
        <f t="shared" si="3"/>
        <v>0.36212723276838826</v>
      </c>
      <c r="S29" s="9">
        <f t="shared" si="4"/>
        <v>120.25392591467534</v>
      </c>
      <c r="T29" s="9">
        <f t="shared" si="5"/>
        <v>109.64898773321579</v>
      </c>
      <c r="U29" s="9">
        <f t="shared" si="6"/>
        <v>278.21967695999996</v>
      </c>
      <c r="V29" s="54">
        <f t="shared" si="7"/>
        <v>-3.7677888056406914</v>
      </c>
      <c r="W29">
        <v>5874.69</v>
      </c>
      <c r="AE29" s="16"/>
      <c r="AF29" s="21" t="s">
        <v>93</v>
      </c>
      <c r="AG29" s="18">
        <f t="shared" si="8"/>
        <v>6595.40293647</v>
      </c>
      <c r="AH29" s="18">
        <f t="shared" si="0"/>
        <v>64678.808206933521</v>
      </c>
      <c r="AI29" s="18"/>
      <c r="AJ29" s="26">
        <f t="shared" si="9"/>
        <v>0.29276921465969619</v>
      </c>
      <c r="AK29" s="26">
        <f t="shared" si="10"/>
        <v>2.6591837811334246E-2</v>
      </c>
      <c r="AL29" s="35">
        <f t="shared" si="11"/>
        <v>2.5</v>
      </c>
      <c r="AM29" s="27">
        <f t="shared" si="12"/>
        <v>8.5713813052455262E-2</v>
      </c>
      <c r="AN29" s="26">
        <f t="shared" si="13"/>
        <v>0.9398891902284795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14"/>
        <v>0.15347222222222212</v>
      </c>
      <c r="D30" s="9">
        <f>'Imperial Units'!D30*0.3048</f>
        <v>1530.096</v>
      </c>
      <c r="E30" s="9">
        <f t="shared" si="15"/>
        <v>84241.741928410906</v>
      </c>
      <c r="F30" s="9">
        <f t="shared" si="16"/>
        <v>1.0248588170605673</v>
      </c>
      <c r="G30" s="9">
        <f>'Imperial Units'!E30*0.514444</f>
        <v>96.715472000000005</v>
      </c>
      <c r="H30" s="9">
        <f t="shared" si="17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2"/>
        <v>274.74466293889776</v>
      </c>
      <c r="R30" s="34">
        <f t="shared" si="3"/>
        <v>0.30778312021751913</v>
      </c>
      <c r="S30" s="9">
        <f t="shared" si="4"/>
        <v>102.26202694917757</v>
      </c>
      <c r="T30" s="9">
        <f t="shared" si="5"/>
        <v>93.243756103897567</v>
      </c>
      <c r="U30" s="9">
        <f t="shared" si="6"/>
        <v>278.21967695999996</v>
      </c>
      <c r="V30" s="54">
        <f t="shared" si="7"/>
        <v>-3.4750140211021971</v>
      </c>
      <c r="W30">
        <v>4877.45</v>
      </c>
      <c r="AE30" s="16"/>
      <c r="AF30" s="21" t="s">
        <v>93</v>
      </c>
      <c r="AG30" s="18">
        <f t="shared" si="8"/>
        <v>6582.7023501100002</v>
      </c>
      <c r="AH30" s="18">
        <f t="shared" si="0"/>
        <v>64554.258001706228</v>
      </c>
      <c r="AI30" s="18"/>
      <c r="AJ30" s="26">
        <f t="shared" si="9"/>
        <v>0.4040713200492545</v>
      </c>
      <c r="AK30" s="26">
        <f t="shared" si="10"/>
        <v>3.0529940564449604E-2</v>
      </c>
      <c r="AL30" s="35">
        <f t="shared" si="11"/>
        <v>3.9</v>
      </c>
      <c r="AM30" s="27">
        <f t="shared" si="12"/>
        <v>0.16327363168634706</v>
      </c>
      <c r="AN30" s="26">
        <f t="shared" si="13"/>
        <v>0.83474042235258505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14"/>
        <v>0.24513888888888891</v>
      </c>
      <c r="D31" s="9">
        <f>'Imperial Units'!D31*0.3048</f>
        <v>1530.096</v>
      </c>
      <c r="E31" s="9">
        <f t="shared" si="15"/>
        <v>84241.741928410906</v>
      </c>
      <c r="F31" s="9">
        <f t="shared" si="16"/>
        <v>1.0248588170605673</v>
      </c>
      <c r="G31" s="9">
        <f>'Imperial Units'!E31*0.514444</f>
        <v>82.311040000000006</v>
      </c>
      <c r="H31" s="9">
        <f t="shared" si="17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2"/>
        <v>274.5919913046742</v>
      </c>
      <c r="R31" s="34">
        <f t="shared" si="3"/>
        <v>0.26158929006409126</v>
      </c>
      <c r="S31" s="9">
        <f t="shared" si="4"/>
        <v>86.889812227380361</v>
      </c>
      <c r="T31" s="9">
        <f t="shared" si="5"/>
        <v>79.227184331773799</v>
      </c>
      <c r="U31" s="9">
        <f t="shared" si="6"/>
        <v>278.21967695999996</v>
      </c>
      <c r="V31" s="54">
        <f t="shared" si="7"/>
        <v>-3.627685655325763</v>
      </c>
      <c r="W31">
        <v>4041.21</v>
      </c>
      <c r="AE31" s="16"/>
      <c r="AF31" s="21" t="s">
        <v>93</v>
      </c>
      <c r="AG31" s="18">
        <f t="shared" si="8"/>
        <v>6565.9194324199998</v>
      </c>
      <c r="AH31" s="18">
        <f t="shared" si="0"/>
        <v>64389.673801941586</v>
      </c>
      <c r="AI31" s="18"/>
      <c r="AJ31" s="26">
        <f t="shared" si="9"/>
        <v>0.55826504215259565</v>
      </c>
      <c r="AK31" s="26">
        <f t="shared" si="10"/>
        <v>3.5037703063025338E-2</v>
      </c>
      <c r="AL31" s="35">
        <f t="shared" si="11"/>
        <v>5.7</v>
      </c>
      <c r="AM31" s="27">
        <f t="shared" si="12"/>
        <v>0.31165985728963941</v>
      </c>
      <c r="AN31" s="26">
        <f t="shared" si="13"/>
        <v>0.98907395963662803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14"/>
        <v>0.30486111111111103</v>
      </c>
      <c r="D32" s="9">
        <f>'Imperial Units'!D32*0.3048</f>
        <v>1527.048</v>
      </c>
      <c r="E32" s="9">
        <f t="shared" si="15"/>
        <v>84273.281739349419</v>
      </c>
      <c r="F32" s="9">
        <f t="shared" si="16"/>
        <v>1.0252169751474514</v>
      </c>
      <c r="G32" s="9">
        <f>'Imperial Units'!E32*0.514444</f>
        <v>69.964383999999995</v>
      </c>
      <c r="H32" s="9">
        <f t="shared" si="17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2"/>
        <v>274.44725987109803</v>
      </c>
      <c r="R32" s="34">
        <f t="shared" si="3"/>
        <v>0.22190020199457133</v>
      </c>
      <c r="S32" s="9">
        <f t="shared" si="4"/>
        <v>73.687210009363156</v>
      </c>
      <c r="T32" s="9">
        <f t="shared" si="5"/>
        <v>67.201468012171773</v>
      </c>
      <c r="U32" s="9">
        <f t="shared" si="6"/>
        <v>278.23945848</v>
      </c>
      <c r="V32" s="54">
        <f t="shared" si="7"/>
        <v>-3.7921986089019697</v>
      </c>
      <c r="W32">
        <v>3970.7</v>
      </c>
      <c r="AE32" s="16"/>
      <c r="AF32" s="21" t="s">
        <v>93</v>
      </c>
      <c r="AG32" s="18">
        <f t="shared" si="8"/>
        <v>6557.3011773899998</v>
      </c>
      <c r="AH32" s="18">
        <f t="shared" si="0"/>
        <v>64305.157591251635</v>
      </c>
      <c r="AI32" s="18"/>
      <c r="AJ32" s="26">
        <f t="shared" si="9"/>
        <v>0.77492725997005707</v>
      </c>
      <c r="AK32" s="26">
        <f t="shared" si="10"/>
        <v>4.7850029242160114E-2</v>
      </c>
      <c r="AL32" s="35">
        <f t="shared" si="11"/>
        <v>8.1999999999999993</v>
      </c>
      <c r="AM32" s="27">
        <f t="shared" si="12"/>
        <v>0.60051225824470045</v>
      </c>
      <c r="AN32" s="26">
        <f t="shared" si="13"/>
        <v>0.9171370722287342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14"/>
        <v>1.3666666666666665</v>
      </c>
      <c r="D33" s="9">
        <f>'Imperial Units'!D33*0.3048</f>
        <v>1530.096</v>
      </c>
      <c r="E33" s="9">
        <f t="shared" si="15"/>
        <v>84241.741928410906</v>
      </c>
      <c r="F33" s="9">
        <f t="shared" si="16"/>
        <v>1.0248588170605673</v>
      </c>
      <c r="G33" s="9">
        <f>'Imperial Units'!E33*0.514444</f>
        <v>62.762168000000003</v>
      </c>
      <c r="H33" s="9">
        <f t="shared" si="17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2"/>
        <v>274.77822159731903</v>
      </c>
      <c r="R33" s="34">
        <f t="shared" si="3"/>
        <v>0.19879323583509675</v>
      </c>
      <c r="S33" s="9">
        <f t="shared" si="4"/>
        <v>66.053787256947075</v>
      </c>
      <c r="T33" s="9">
        <f t="shared" si="5"/>
        <v>60.228644126000709</v>
      </c>
      <c r="U33" s="9">
        <f t="shared" si="6"/>
        <v>278.21967695999996</v>
      </c>
      <c r="V33" s="54">
        <f t="shared" si="7"/>
        <v>-3.4414553626809266</v>
      </c>
      <c r="W33">
        <v>4099.63</v>
      </c>
      <c r="AE33" s="16"/>
      <c r="AF33" s="21" t="s">
        <v>93</v>
      </c>
      <c r="AG33" s="18">
        <f t="shared" si="8"/>
        <v>6546.8685528799997</v>
      </c>
      <c r="AH33" s="18">
        <f t="shared" si="0"/>
        <v>64202.848494100646</v>
      </c>
      <c r="AI33" s="18"/>
      <c r="AJ33" s="26">
        <f t="shared" si="9"/>
        <v>0.96320954217681853</v>
      </c>
      <c r="AK33" s="26">
        <f t="shared" si="10"/>
        <v>6.1505101845398515E-2</v>
      </c>
      <c r="AL33" s="35">
        <f t="shared" si="11"/>
        <v>10.3</v>
      </c>
      <c r="AM33" s="27">
        <f t="shared" si="12"/>
        <v>0.9277726221404764</v>
      </c>
      <c r="AN33" s="26">
        <f t="shared" si="13"/>
        <v>0.91246529881034144</v>
      </c>
      <c r="AO33" s="40"/>
    </row>
    <row r="34" spans="1:41" x14ac:dyDescent="0.55000000000000004">
      <c r="A34">
        <v>7</v>
      </c>
      <c r="B34" s="8"/>
      <c r="H34" s="9"/>
      <c r="R34" s="34">
        <f>MIN(R28:R33)</f>
        <v>0.19879323583509675</v>
      </c>
      <c r="V34" s="15"/>
      <c r="AE34" s="16"/>
      <c r="AF34" s="21"/>
      <c r="AG34" s="16"/>
      <c r="AH34" s="16"/>
      <c r="AI34" s="16"/>
      <c r="AL34" s="13"/>
      <c r="AN34" s="33">
        <f>AVERAGE(AN28:AN33)</f>
        <v>0.90504924400954589</v>
      </c>
    </row>
    <row r="35" spans="1:41" ht="16.8" x14ac:dyDescent="0.75">
      <c r="C35" t="s">
        <v>43</v>
      </c>
      <c r="H35" s="9"/>
      <c r="R35" s="34">
        <f>MAX(R28:R33)</f>
        <v>0.4065017451430889</v>
      </c>
      <c r="V35" s="15"/>
      <c r="AE35" s="16"/>
      <c r="AF35" s="21"/>
      <c r="AG35" s="16"/>
      <c r="AH35" s="16"/>
      <c r="AI35" s="16"/>
      <c r="AJ35" s="25" t="s">
        <v>115</v>
      </c>
      <c r="AK35" s="19">
        <v>2.31519E-2</v>
      </c>
      <c r="AL35" s="13" t="s">
        <v>116</v>
      </c>
    </row>
    <row r="36" spans="1:41" x14ac:dyDescent="0.55000000000000004">
      <c r="R36" s="15"/>
      <c r="V36" s="15"/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53"/>
      <c r="V37" s="15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R38" s="15"/>
      <c r="V38" s="15"/>
      <c r="AE38" s="16"/>
      <c r="AF38" s="21"/>
      <c r="AG38" s="16"/>
      <c r="AH38" s="16"/>
      <c r="AI38" s="16"/>
      <c r="AL38" s="13"/>
    </row>
    <row r="39" spans="1:41" x14ac:dyDescent="0.55000000000000004">
      <c r="R39" s="15"/>
      <c r="V39" s="15"/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R40" s="15"/>
      <c r="V40" s="15"/>
      <c r="AE40" s="16"/>
      <c r="AF40" s="21"/>
      <c r="AG40" s="16"/>
      <c r="AH40" s="16"/>
      <c r="AI40" s="16"/>
      <c r="AL40" s="13"/>
    </row>
    <row r="41" spans="1:41" x14ac:dyDescent="0.55000000000000004">
      <c r="R41" s="15"/>
      <c r="V41" s="15"/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s="15" t="s">
        <v>94</v>
      </c>
      <c r="S42" t="s">
        <v>100</v>
      </c>
      <c r="T42" t="s">
        <v>103</v>
      </c>
      <c r="U42" t="s">
        <v>104</v>
      </c>
      <c r="V42" s="15" t="s">
        <v>105</v>
      </c>
      <c r="W42" t="s">
        <v>96</v>
      </c>
      <c r="X42" t="s">
        <v>118</v>
      </c>
      <c r="Y42" t="s">
        <v>120</v>
      </c>
      <c r="Z42" t="s">
        <v>123</v>
      </c>
      <c r="AA42" t="s">
        <v>126</v>
      </c>
      <c r="AB42" t="s">
        <v>127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s="15" t="s">
        <v>80</v>
      </c>
      <c r="S43" t="s">
        <v>80</v>
      </c>
      <c r="T43" t="s">
        <v>80</v>
      </c>
      <c r="U43" t="s">
        <v>101</v>
      </c>
      <c r="V43" s="15" t="s">
        <v>101</v>
      </c>
      <c r="W43" t="s">
        <v>32</v>
      </c>
      <c r="X43" t="s">
        <v>80</v>
      </c>
      <c r="Y43" t="s">
        <v>121</v>
      </c>
      <c r="Z43" t="s">
        <v>121</v>
      </c>
      <c r="AA43" t="s">
        <v>121</v>
      </c>
      <c r="AB43" t="s">
        <v>121</v>
      </c>
      <c r="AE43" s="16"/>
      <c r="AF43" s="21"/>
      <c r="AG43" s="16"/>
      <c r="AH43" s="16"/>
      <c r="AI43" s="16"/>
      <c r="AL43" s="13"/>
    </row>
    <row r="44" spans="1:41" ht="16.8" x14ac:dyDescent="0.75">
      <c r="R44" s="15"/>
      <c r="V44" s="15"/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101325*(1+((-0.00649*D45)/288.15))^(-9.80665/(-0.00649*287))</f>
        <v>79587.705545401011</v>
      </c>
      <c r="F45" s="9">
        <f>1.225*(1+((0.00649*D45)/288.15))^(-9.80665/(0.00649*287))</f>
        <v>0.9724451125067427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18">P45/(1+(0.4/2)*R45^2)</f>
        <v>271.71772405127092</v>
      </c>
      <c r="R45" s="34">
        <f t="shared" ref="R45:R51" si="19">SQRT(2/0.4*((1+101325/E45*((1+0.4/2.8*1.225/101325*H45^2)^(1.4/0.4)-1))^(0.4/1.4)-1))</f>
        <v>0.2689973561540952</v>
      </c>
      <c r="S45" s="9">
        <f t="shared" ref="S45:S51" si="20">R45*SQRT(1.4*287*Q45)</f>
        <v>88.881620040347158</v>
      </c>
      <c r="T45" s="9">
        <f t="shared" ref="T45:T51" si="21">S45*SQRT(E45/101325)</f>
        <v>78.772866213322956</v>
      </c>
      <c r="U45" s="9">
        <f t="shared" ref="U45:U51" si="22">288.15-0.00649*D45</f>
        <v>275.23266744</v>
      </c>
      <c r="V45" s="54">
        <f t="shared" ref="V45:V51" si="23">Q45-U45</f>
        <v>-3.5149433887290797</v>
      </c>
      <c r="W45">
        <v>3920.91</v>
      </c>
      <c r="X45" s="9">
        <f>T45*SQRT($O$6/AG45)</f>
        <v>76.715397358423132</v>
      </c>
      <c r="Y45" s="33">
        <f>W45/(0.5*F45*T45^2*$O$7^2)</f>
        <v>2.7615330435738827</v>
      </c>
      <c r="Z45" s="33">
        <f>W45/(0.5*F45*X45^2*$O$7^2)</f>
        <v>2.9116452642796049</v>
      </c>
      <c r="AA45" s="33">
        <f>RADIANS(J45)-$O$9/$O$8*(Z45-Y45)</f>
        <v>-2.5705467511496485E-3</v>
      </c>
      <c r="AB45" s="33">
        <f>L45*$O$6/AG45</f>
        <v>-0.94844419320330109</v>
      </c>
      <c r="AC45" s="33"/>
      <c r="AD45" s="33"/>
      <c r="AE45" s="30"/>
      <c r="AF45" s="21" t="s">
        <v>93</v>
      </c>
      <c r="AG45" s="18">
        <f t="shared" ref="AG45:AG51" si="24">$AG$16-O45</f>
        <v>6504.2308701000002</v>
      </c>
      <c r="AH45" s="18">
        <f t="shared" ref="AH45:AH51" si="25">AG45*9.80665</f>
        <v>63784.715662266164</v>
      </c>
      <c r="AI45" s="18"/>
      <c r="AJ45" s="26">
        <f t="shared" ref="AJ45:AJ51" si="26">2*AH45/(1.225*$T45^2*$O$2)</f>
        <v>0.55941741270475198</v>
      </c>
      <c r="AK45" s="26">
        <f t="shared" ref="AK45:AK51" si="27">2*W45/(1.225*$T45^2*$O$2)</f>
        <v>3.4387945526984272E-2</v>
      </c>
      <c r="AL45" s="35">
        <f t="shared" ref="AL45:AL51" si="28"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29">101325*(1+((-0.00649*D46)/288.15))^(-9.80665/(-0.00649*287))</f>
        <v>79047.10787883235</v>
      </c>
      <c r="F46" s="9">
        <f t="shared" ref="F46:F51" si="30">1.225*(1+((0.00649*D46)/288.15))^(-9.80665/(0.00649*287))</f>
        <v>0.96641229213617863</v>
      </c>
      <c r="G46" s="12">
        <f>'Imperial Units'!E60*0.514444</f>
        <v>76.652156000000005</v>
      </c>
      <c r="H46" s="9">
        <f t="shared" ref="H46:H51" si="31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18"/>
        <v>271.72150572589618</v>
      </c>
      <c r="R46" s="34">
        <f t="shared" si="19"/>
        <v>0.25117401634856878</v>
      </c>
      <c r="S46" s="9">
        <f t="shared" si="20"/>
        <v>82.993041856980582</v>
      </c>
      <c r="T46" s="9">
        <f t="shared" si="21"/>
        <v>73.303779781954731</v>
      </c>
      <c r="U46" s="9">
        <f t="shared" si="22"/>
        <v>274.87660008</v>
      </c>
      <c r="V46" s="54">
        <f t="shared" si="23"/>
        <v>-3.1550943541038237</v>
      </c>
      <c r="W46">
        <v>3991.16</v>
      </c>
      <c r="X46" s="9">
        <f t="shared" ref="X46:X51" si="32">T46*SQRT($O$6/AG46)</f>
        <v>71.443985063506801</v>
      </c>
      <c r="Y46" s="33">
        <f t="shared" ref="Y46:Y51" si="33">W46/(0.5*F46*T46^2*$O$7^2)</f>
        <v>3.2663725685654428</v>
      </c>
      <c r="Z46" s="33">
        <f t="shared" ref="Z46:Z51" si="34">W46/(0.5*F46*X46^2*$O$7^2)</f>
        <v>3.4386432033050061</v>
      </c>
      <c r="AA46" s="33">
        <f t="shared" ref="AA46:AA51" si="35">RADIANS(J46)-$O$9/$O$8*(Z46-Y46)</f>
        <v>-7.9283467814983671E-3</v>
      </c>
      <c r="AB46" s="33">
        <f t="shared" ref="AB46:AB51" si="36">L46*$O$6/AG46</f>
        <v>-23.747539185121127</v>
      </c>
      <c r="AC46" s="33"/>
      <c r="AD46" s="33"/>
      <c r="AE46" s="30"/>
      <c r="AF46" s="21" t="s">
        <v>93</v>
      </c>
      <c r="AG46" s="18">
        <f t="shared" si="24"/>
        <v>6494.2518379599996</v>
      </c>
      <c r="AH46" s="18">
        <f t="shared" si="25"/>
        <v>63686.85478673043</v>
      </c>
      <c r="AI46" s="18"/>
      <c r="AJ46" s="26">
        <f t="shared" si="26"/>
        <v>0.64501485394680125</v>
      </c>
      <c r="AK46" s="26">
        <f t="shared" si="27"/>
        <v>4.0422116826135043E-2</v>
      </c>
      <c r="AL46" s="35">
        <f t="shared" si="28"/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29"/>
        <v>78539.27842640446</v>
      </c>
      <c r="F47" s="9">
        <f t="shared" si="30"/>
        <v>0.96075547903443159</v>
      </c>
      <c r="G47" s="12">
        <f>'Imperial Units'!E61*0.514444</f>
        <v>72.02216</v>
      </c>
      <c r="H47" s="9">
        <f t="shared" si="31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18"/>
        <v>271.60924524235162</v>
      </c>
      <c r="R47" s="34">
        <f t="shared" si="19"/>
        <v>0.23659383575469919</v>
      </c>
      <c r="S47" s="9">
        <f t="shared" si="20"/>
        <v>78.159300842034028</v>
      </c>
      <c r="T47" s="9">
        <f t="shared" si="21"/>
        <v>68.812258649133994</v>
      </c>
      <c r="U47" s="9">
        <f t="shared" si="22"/>
        <v>274.54031423999999</v>
      </c>
      <c r="V47" s="54">
        <f t="shared" si="23"/>
        <v>-2.9310689976483673</v>
      </c>
      <c r="W47">
        <v>4048.92</v>
      </c>
      <c r="X47" s="9">
        <f t="shared" si="32"/>
        <v>67.09219691914916</v>
      </c>
      <c r="Y47" s="33">
        <f t="shared" si="33"/>
        <v>3.782478465271184</v>
      </c>
      <c r="Z47" s="33">
        <f t="shared" si="34"/>
        <v>3.9789095281240754</v>
      </c>
      <c r="AA47" s="33">
        <f t="shared" si="35"/>
        <v>-1.678781106236445E-2</v>
      </c>
      <c r="AB47" s="33">
        <f t="shared" si="36"/>
        <v>-37.074645478336727</v>
      </c>
      <c r="AC47" s="33"/>
      <c r="AD47" s="33"/>
      <c r="AE47" s="30"/>
      <c r="AF47" s="21" t="s">
        <v>93</v>
      </c>
      <c r="AG47" s="18">
        <f t="shared" si="24"/>
        <v>6489.2623218899998</v>
      </c>
      <c r="AH47" s="18">
        <f t="shared" si="25"/>
        <v>63637.924348962566</v>
      </c>
      <c r="AI47" s="18"/>
      <c r="AJ47" s="26">
        <f t="shared" si="26"/>
        <v>0.73140349636633073</v>
      </c>
      <c r="AK47" s="26">
        <f t="shared" si="27"/>
        <v>4.6535053976125493E-2</v>
      </c>
      <c r="AL47" s="35">
        <f t="shared" si="28"/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29"/>
        <v>77738.160125595576</v>
      </c>
      <c r="F48" s="9">
        <f t="shared" si="30"/>
        <v>0.95185189377328283</v>
      </c>
      <c r="G48" s="12">
        <f>'Imperial Units'!E62*0.514444</f>
        <v>66.877719999999997</v>
      </c>
      <c r="H48" s="9">
        <f t="shared" si="31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18"/>
        <v>271.30912242924001</v>
      </c>
      <c r="R48" s="34">
        <f t="shared" si="19"/>
        <v>0.22061088554067693</v>
      </c>
      <c r="S48" s="9">
        <f t="shared" si="20"/>
        <v>72.839021407874739</v>
      </c>
      <c r="T48" s="9">
        <f t="shared" si="21"/>
        <v>63.800330000212334</v>
      </c>
      <c r="U48" s="9">
        <f t="shared" si="22"/>
        <v>274.00621319999999</v>
      </c>
      <c r="V48" s="54">
        <f t="shared" si="23"/>
        <v>-2.6970907707599849</v>
      </c>
      <c r="W48">
        <v>4122.0200000000004</v>
      </c>
      <c r="X48" s="9">
        <f t="shared" si="32"/>
        <v>62.257791602744703</v>
      </c>
      <c r="Y48" s="33">
        <f t="shared" si="33"/>
        <v>4.5214385255544496</v>
      </c>
      <c r="Z48" s="33">
        <f t="shared" si="34"/>
        <v>4.748266190767171</v>
      </c>
      <c r="AA48" s="33">
        <f t="shared" si="35"/>
        <v>-2.7426886948065964E-2</v>
      </c>
      <c r="AB48" s="33">
        <f t="shared" si="36"/>
        <v>-47.611468522407421</v>
      </c>
      <c r="AC48" s="33"/>
      <c r="AD48" s="33"/>
      <c r="AE48" s="30"/>
      <c r="AF48" s="21" t="s">
        <v>93</v>
      </c>
      <c r="AG48" s="18">
        <f t="shared" si="24"/>
        <v>6478.3761050100002</v>
      </c>
      <c r="AH48" s="18">
        <f t="shared" si="25"/>
        <v>63531.167030196317</v>
      </c>
      <c r="AI48" s="18"/>
      <c r="AJ48" s="26">
        <f t="shared" si="26"/>
        <v>0.84940269628579812</v>
      </c>
      <c r="AK48" s="26">
        <f t="shared" si="27"/>
        <v>5.5110823015101264E-2</v>
      </c>
      <c r="AL48" s="35">
        <f t="shared" si="28"/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29"/>
        <v>79889.329187296884</v>
      </c>
      <c r="F49" s="9">
        <f t="shared" si="30"/>
        <v>0.9758160411846819</v>
      </c>
      <c r="G49" s="12">
        <f>'Imperial Units'!E63*0.514444</f>
        <v>87.969924000000006</v>
      </c>
      <c r="H49" s="9">
        <f t="shared" si="31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18"/>
        <v>271.86770729882028</v>
      </c>
      <c r="R49" s="34">
        <f t="shared" si="19"/>
        <v>0.28711527377691809</v>
      </c>
      <c r="S49" s="9">
        <f t="shared" si="20"/>
        <v>94.894288746320171</v>
      </c>
      <c r="T49" s="9">
        <f t="shared" si="21"/>
        <v>84.260912124912778</v>
      </c>
      <c r="U49" s="9">
        <f t="shared" si="22"/>
        <v>275.43048263999998</v>
      </c>
      <c r="V49" s="54">
        <f t="shared" si="23"/>
        <v>-3.5627753411797016</v>
      </c>
      <c r="W49">
        <v>3850.48</v>
      </c>
      <c r="X49" s="9">
        <f t="shared" si="32"/>
        <v>82.292857340384487</v>
      </c>
      <c r="Y49" s="33">
        <f t="shared" si="33"/>
        <v>2.361980843378007</v>
      </c>
      <c r="Z49" s="33">
        <f t="shared" si="34"/>
        <v>2.4763065085354006</v>
      </c>
      <c r="AA49" s="33">
        <f t="shared" si="35"/>
        <v>4.6075010208796391E-3</v>
      </c>
      <c r="AB49" s="33">
        <f t="shared" si="36"/>
        <v>27.661133313611767</v>
      </c>
      <c r="AC49" s="33"/>
      <c r="AD49" s="33"/>
      <c r="AE49" s="30"/>
      <c r="AF49" s="21" t="s">
        <v>93</v>
      </c>
      <c r="AG49" s="18">
        <f t="shared" si="24"/>
        <v>6467.4898881299996</v>
      </c>
      <c r="AH49" s="18">
        <f t="shared" si="25"/>
        <v>63424.40971143006</v>
      </c>
      <c r="AI49" s="18"/>
      <c r="AJ49" s="26">
        <f t="shared" si="26"/>
        <v>0.48615725824678063</v>
      </c>
      <c r="AK49" s="26">
        <f t="shared" si="27"/>
        <v>2.9514485168266557E-2</v>
      </c>
      <c r="AL49" s="35">
        <f t="shared" si="28"/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29"/>
        <v>81350.04145788787</v>
      </c>
      <c r="F50" s="9">
        <f t="shared" si="30"/>
        <v>0.9921913573760518</v>
      </c>
      <c r="G50" s="12">
        <f>'Imperial Units'!E64*0.514444</f>
        <v>93.628808000000006</v>
      </c>
      <c r="H50" s="9">
        <f t="shared" si="31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18"/>
        <v>272.34845015728195</v>
      </c>
      <c r="R50" s="34">
        <f t="shared" si="19"/>
        <v>0.30302248027393347</v>
      </c>
      <c r="S50" s="9">
        <f t="shared" si="20"/>
        <v>100.24027949891466</v>
      </c>
      <c r="T50" s="9">
        <f t="shared" si="21"/>
        <v>89.817890746558689</v>
      </c>
      <c r="U50" s="9">
        <f t="shared" si="22"/>
        <v>276.37999559999997</v>
      </c>
      <c r="V50" s="54">
        <f t="shared" si="23"/>
        <v>-4.0315454427180271</v>
      </c>
      <c r="W50">
        <v>3811.29</v>
      </c>
      <c r="X50" s="9">
        <f t="shared" si="32"/>
        <v>87.778547573001845</v>
      </c>
      <c r="Y50" s="33">
        <f t="shared" si="33"/>
        <v>2.0236370207073202</v>
      </c>
      <c r="Z50" s="33">
        <f t="shared" si="34"/>
        <v>2.1187588952224066</v>
      </c>
      <c r="AA50" s="33">
        <f t="shared" si="35"/>
        <v>9.9490584900654849E-3</v>
      </c>
      <c r="AB50" s="33">
        <f t="shared" si="36"/>
        <v>41.069511064533195</v>
      </c>
      <c r="AC50" s="33"/>
      <c r="AD50" s="33"/>
      <c r="AE50" s="30"/>
      <c r="AF50" s="21" t="s">
        <v>93</v>
      </c>
      <c r="AG50" s="18">
        <f t="shared" si="24"/>
        <v>6458.8716330999996</v>
      </c>
      <c r="AH50" s="18">
        <f t="shared" si="25"/>
        <v>63339.893500740109</v>
      </c>
      <c r="AI50" s="18"/>
      <c r="AJ50" s="26">
        <f t="shared" si="26"/>
        <v>0.42729152304929774</v>
      </c>
      <c r="AK50" s="26">
        <f t="shared" si="27"/>
        <v>2.5710998533073456E-2</v>
      </c>
      <c r="AL50" s="35">
        <f t="shared" si="28"/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29"/>
        <v>84115.678289078729</v>
      </c>
      <c r="F51" s="9">
        <f t="shared" si="30"/>
        <v>1.0234276727680331</v>
      </c>
      <c r="G51" s="12">
        <f>'Imperial Units'!E65*0.514444</f>
        <v>97.74436</v>
      </c>
      <c r="H51" s="9">
        <f t="shared" si="31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18"/>
        <v>274.62705207678562</v>
      </c>
      <c r="R51" s="34">
        <f t="shared" si="19"/>
        <v>0.31130740643337551</v>
      </c>
      <c r="S51" s="9">
        <f t="shared" si="20"/>
        <v>103.41084265074728</v>
      </c>
      <c r="T51" s="9">
        <f t="shared" si="21"/>
        <v>94.220682650672671</v>
      </c>
      <c r="U51" s="9">
        <f t="shared" si="22"/>
        <v>278.14055087999998</v>
      </c>
      <c r="V51" s="54">
        <f t="shared" si="23"/>
        <v>-3.513498803214361</v>
      </c>
      <c r="W51">
        <v>3800.31</v>
      </c>
      <c r="X51" s="9">
        <f t="shared" si="32"/>
        <v>92.194748535195046</v>
      </c>
      <c r="Y51" s="33">
        <f t="shared" si="33"/>
        <v>1.7776699861820704</v>
      </c>
      <c r="Z51" s="33">
        <f t="shared" si="34"/>
        <v>1.8566552274782839</v>
      </c>
      <c r="AA51" s="33">
        <f t="shared" si="35"/>
        <v>1.5273754760565555E-2</v>
      </c>
      <c r="AB51" s="33">
        <f t="shared" si="36"/>
        <v>75.639206908179787</v>
      </c>
      <c r="AC51" s="33"/>
      <c r="AD51" s="33"/>
      <c r="AE51" s="30"/>
      <c r="AF51" s="21" t="s">
        <v>93</v>
      </c>
      <c r="AG51" s="18">
        <f t="shared" si="24"/>
        <v>6442.9959001500001</v>
      </c>
      <c r="AH51" s="18">
        <f t="shared" si="25"/>
        <v>63184.205744205996</v>
      </c>
      <c r="AI51" s="18"/>
      <c r="AJ51" s="26">
        <f t="shared" si="26"/>
        <v>0.3873367371839247</v>
      </c>
      <c r="AK51" s="26">
        <f t="shared" si="27"/>
        <v>2.3296956230591272E-2</v>
      </c>
      <c r="AL51" s="35">
        <f t="shared" si="28"/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117</v>
      </c>
      <c r="I54" s="47" t="s">
        <v>126</v>
      </c>
      <c r="J54" s="44"/>
      <c r="K54" s="47" t="s">
        <v>118</v>
      </c>
      <c r="L54" s="44"/>
      <c r="M54" s="47" t="s">
        <v>127</v>
      </c>
      <c r="N54" s="44"/>
      <c r="O54" s="44"/>
      <c r="P54" s="44" t="s">
        <v>126</v>
      </c>
      <c r="Q54" s="52" t="s">
        <v>136</v>
      </c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0.3873367371839247</v>
      </c>
      <c r="E55" s="39">
        <f>AK51</f>
        <v>2.3296956230591272E-2</v>
      </c>
      <c r="F55" s="39">
        <f>AL51</f>
        <v>3.6</v>
      </c>
      <c r="G55" s="39">
        <f>D55^2</f>
        <v>0.15002974797228874</v>
      </c>
      <c r="H55" s="39">
        <f t="shared" ref="H55:H61" si="37">1/((E55-$AK$52)/G55)/($O$5*PI())</f>
        <v>0.24291516399792293</v>
      </c>
      <c r="I55" s="46">
        <f>AA45</f>
        <v>-2.5705467511496485E-3</v>
      </c>
      <c r="J55" s="39">
        <f>I58</f>
        <v>-2.7426886948065964E-2</v>
      </c>
      <c r="K55" s="46">
        <f>X45</f>
        <v>76.715397358423132</v>
      </c>
      <c r="L55" s="39">
        <f>K58</f>
        <v>62.257791602744703</v>
      </c>
      <c r="M55" s="46">
        <f>AB45</f>
        <v>-0.94844419320330109</v>
      </c>
      <c r="N55" s="39">
        <f>M58</f>
        <v>-47.611468522407421</v>
      </c>
      <c r="O55" s="39"/>
      <c r="P55" s="39">
        <f>J55*180/PI()</f>
        <v>-1.5714448673066228</v>
      </c>
      <c r="Q55" s="46">
        <f>I45</f>
        <v>5.5</v>
      </c>
      <c r="R55" s="39">
        <f>Q58</f>
        <v>9.1</v>
      </c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0.42729152304929774</v>
      </c>
      <c r="E56" s="39">
        <f>AK50</f>
        <v>2.5710998533073456E-2</v>
      </c>
      <c r="F56" s="39">
        <f>AL50</f>
        <v>4</v>
      </c>
      <c r="G56" s="39">
        <f t="shared" ref="G56:G61" si="38">D56^2</f>
        <v>0.18257804566978855</v>
      </c>
      <c r="H56" s="39">
        <f t="shared" si="37"/>
        <v>0.26785887532764313</v>
      </c>
      <c r="I56" s="46">
        <f t="shared" ref="I56:I61" si="39">AA46</f>
        <v>-7.9283467814983671E-3</v>
      </c>
      <c r="J56" s="39">
        <f>I57</f>
        <v>-1.678781106236445E-2</v>
      </c>
      <c r="K56" s="46">
        <f t="shared" ref="K56:K61" si="40">X46</f>
        <v>71.443985063506801</v>
      </c>
      <c r="L56" s="39">
        <f>K57</f>
        <v>67.09219691914916</v>
      </c>
      <c r="M56" s="46">
        <f t="shared" ref="M56:M61" si="41">AB46</f>
        <v>-23.747539185121127</v>
      </c>
      <c r="N56" s="39">
        <f>M57</f>
        <v>-37.074645478336727</v>
      </c>
      <c r="O56" s="39"/>
      <c r="P56" s="39">
        <f t="shared" ref="P56:P61" si="42">J56*180/PI()</f>
        <v>-0.96187072113651795</v>
      </c>
      <c r="Q56" s="46">
        <f t="shared" ref="Q56:Q61" si="43">I46</f>
        <v>6.5</v>
      </c>
      <c r="R56" s="39">
        <f>Q57</f>
        <v>7.5</v>
      </c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0.48615725824678063</v>
      </c>
      <c r="E57" s="39">
        <f>AK49</f>
        <v>2.9514485168266557E-2</v>
      </c>
      <c r="F57" s="39">
        <f>AL49</f>
        <v>4.8</v>
      </c>
      <c r="G57" s="39">
        <f t="shared" si="38"/>
        <v>0.23634887974602695</v>
      </c>
      <c r="H57" s="39">
        <f t="shared" si="37"/>
        <v>0.3020610770684618</v>
      </c>
      <c r="I57" s="46">
        <f t="shared" si="39"/>
        <v>-1.678781106236445E-2</v>
      </c>
      <c r="J57" s="39">
        <f>I56</f>
        <v>-7.9283467814983671E-3</v>
      </c>
      <c r="K57" s="46">
        <f t="shared" si="40"/>
        <v>67.09219691914916</v>
      </c>
      <c r="L57" s="39">
        <f>K56</f>
        <v>71.443985063506801</v>
      </c>
      <c r="M57" s="46">
        <f t="shared" si="41"/>
        <v>-37.074645478336727</v>
      </c>
      <c r="N57" s="39">
        <f>M56</f>
        <v>-23.747539185121127</v>
      </c>
      <c r="O57" s="39"/>
      <c r="P57" s="39">
        <f t="shared" si="42"/>
        <v>-0.45426080909598632</v>
      </c>
      <c r="Q57" s="46">
        <f t="shared" si="43"/>
        <v>7.5</v>
      </c>
      <c r="R57" s="39">
        <f>Q56</f>
        <v>6.5</v>
      </c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 t="shared" ref="D58:F61" si="44">AJ45</f>
        <v>0.55941741270475198</v>
      </c>
      <c r="E58" s="39">
        <f t="shared" si="44"/>
        <v>3.4387945526984272E-2</v>
      </c>
      <c r="F58" s="39">
        <f t="shared" si="44"/>
        <v>5.5</v>
      </c>
      <c r="G58" s="39">
        <f t="shared" si="38"/>
        <v>0.31294784163727879</v>
      </c>
      <c r="H58" s="39">
        <f t="shared" si="37"/>
        <v>0.34327498833305448</v>
      </c>
      <c r="I58" s="46">
        <f t="shared" si="39"/>
        <v>-2.7426886948065964E-2</v>
      </c>
      <c r="J58" s="39">
        <f>I55</f>
        <v>-2.5705467511496485E-3</v>
      </c>
      <c r="K58" s="46">
        <f t="shared" si="40"/>
        <v>62.257791602744703</v>
      </c>
      <c r="L58" s="39">
        <f>K55</f>
        <v>76.715397358423132</v>
      </c>
      <c r="M58" s="46">
        <f t="shared" si="41"/>
        <v>-47.611468522407421</v>
      </c>
      <c r="N58" s="39">
        <f>M55</f>
        <v>-0.94844419320330109</v>
      </c>
      <c r="O58" s="39"/>
      <c r="P58" s="39">
        <f t="shared" si="42"/>
        <v>-0.14728147988194035</v>
      </c>
      <c r="Q58" s="46">
        <f t="shared" si="43"/>
        <v>9.1</v>
      </c>
      <c r="R58" s="39">
        <f>Q55</f>
        <v>5.5</v>
      </c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 t="shared" si="44"/>
        <v>0.64501485394680125</v>
      </c>
      <c r="E59" s="39">
        <f t="shared" si="44"/>
        <v>4.0422116826135043E-2</v>
      </c>
      <c r="F59" s="39">
        <f t="shared" si="44"/>
        <v>6.5</v>
      </c>
      <c r="G59" s="39">
        <f t="shared" si="38"/>
        <v>0.41604416181201337</v>
      </c>
      <c r="H59" s="39">
        <f t="shared" si="37"/>
        <v>0.38823689926015237</v>
      </c>
      <c r="I59" s="46">
        <f t="shared" si="39"/>
        <v>4.6075010208796391E-3</v>
      </c>
      <c r="J59" s="39">
        <f>I59</f>
        <v>4.6075010208796391E-3</v>
      </c>
      <c r="K59" s="46">
        <f t="shared" si="40"/>
        <v>82.292857340384487</v>
      </c>
      <c r="L59" s="39">
        <f>K59</f>
        <v>82.292857340384487</v>
      </c>
      <c r="M59" s="46">
        <f t="shared" si="41"/>
        <v>27.661133313611767</v>
      </c>
      <c r="N59" s="39">
        <f>M59</f>
        <v>27.661133313611767</v>
      </c>
      <c r="O59" s="39"/>
      <c r="P59" s="39">
        <f t="shared" si="42"/>
        <v>0.26399036259862152</v>
      </c>
      <c r="Q59" s="46">
        <f t="shared" si="43"/>
        <v>4.8</v>
      </c>
      <c r="R59" s="39">
        <f>Q59</f>
        <v>4.8</v>
      </c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 t="shared" si="44"/>
        <v>0.73140349636633073</v>
      </c>
      <c r="E60" s="39">
        <f t="shared" si="44"/>
        <v>4.6535053976125493E-2</v>
      </c>
      <c r="F60" s="39">
        <f t="shared" si="44"/>
        <v>7.5</v>
      </c>
      <c r="G60" s="39">
        <f t="shared" si="38"/>
        <v>0.53495107449689316</v>
      </c>
      <c r="H60" s="39">
        <f t="shared" si="37"/>
        <v>0.43362096613045287</v>
      </c>
      <c r="I60" s="46">
        <f t="shared" si="39"/>
        <v>9.9490584900654849E-3</v>
      </c>
      <c r="J60" s="39">
        <f t="shared" ref="J60:L61" si="45">I60</f>
        <v>9.9490584900654849E-3</v>
      </c>
      <c r="K60" s="46">
        <f t="shared" si="40"/>
        <v>87.778547573001845</v>
      </c>
      <c r="L60" s="39">
        <f t="shared" si="45"/>
        <v>87.778547573001845</v>
      </c>
      <c r="M60" s="46">
        <f t="shared" si="41"/>
        <v>41.069511064533195</v>
      </c>
      <c r="N60" s="39">
        <f t="shared" ref="N60" si="46">M60</f>
        <v>41.069511064533195</v>
      </c>
      <c r="O60" s="39"/>
      <c r="P60" s="39">
        <f t="shared" si="42"/>
        <v>0.57003906160955176</v>
      </c>
      <c r="Q60" s="46">
        <f t="shared" si="43"/>
        <v>4</v>
      </c>
      <c r="R60" s="39">
        <f t="shared" ref="R60:R61" si="47">Q60</f>
        <v>4</v>
      </c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 t="shared" si="44"/>
        <v>0.84940269628579812</v>
      </c>
      <c r="E61" s="39">
        <f t="shared" si="44"/>
        <v>5.5110823015101264E-2</v>
      </c>
      <c r="F61" s="39">
        <f t="shared" si="44"/>
        <v>9.1</v>
      </c>
      <c r="G61" s="39">
        <f t="shared" si="38"/>
        <v>0.72148494045758382</v>
      </c>
      <c r="H61" s="39">
        <f t="shared" si="37"/>
        <v>0.4938178727504377</v>
      </c>
      <c r="I61" s="46">
        <f t="shared" si="39"/>
        <v>1.5273754760565555E-2</v>
      </c>
      <c r="J61" s="39">
        <f t="shared" si="45"/>
        <v>1.5273754760565555E-2</v>
      </c>
      <c r="K61" s="46">
        <f t="shared" si="40"/>
        <v>92.194748535195046</v>
      </c>
      <c r="L61" s="39">
        <f t="shared" si="45"/>
        <v>92.194748535195046</v>
      </c>
      <c r="M61" s="46">
        <f t="shared" si="41"/>
        <v>75.639206908179787</v>
      </c>
      <c r="N61" s="39">
        <f t="shared" ref="N61" si="48">M61</f>
        <v>75.639206908179787</v>
      </c>
      <c r="O61" s="39"/>
      <c r="P61" s="39">
        <f t="shared" si="42"/>
        <v>0.87512168509825561</v>
      </c>
      <c r="Q61" s="46">
        <f t="shared" si="43"/>
        <v>3.6</v>
      </c>
      <c r="R61" s="39">
        <f t="shared" si="47"/>
        <v>3.6</v>
      </c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129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128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>101325*(1+((-0.00649*D72)/288.15))^(-9.80665/(-0.00649*287))</f>
        <v>82739.035873671543</v>
      </c>
      <c r="F72" s="9"/>
      <c r="G72" s="12">
        <f>'Imperial Units'!E75*0.514444</f>
        <v>81.796596000000008</v>
      </c>
      <c r="H72" s="9">
        <f t="shared" ref="H72:H73" si="49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273.58684740766807</v>
      </c>
      <c r="R72" s="34">
        <f>SQRT(2/0.4*((1+101325/E72*((1+0.4/2.8*1.225/101325*H72^2)^(1.4/0.4)-1))^(0.4/1.4)-1))</f>
        <v>0.26224867893139758</v>
      </c>
      <c r="S72" s="9">
        <f>R72*SQRT(1.4*287*Q72)</f>
        <v>86.949258524697825</v>
      </c>
      <c r="T72" s="9">
        <f>S72*SQRT(E72/101325)</f>
        <v>78.571094798499431</v>
      </c>
      <c r="U72" s="9">
        <f>288.15-0.00649*D72</f>
        <v>277.27016399999997</v>
      </c>
      <c r="V72" s="33">
        <f>Q72-U72</f>
        <v>-3.6833165923318916</v>
      </c>
      <c r="W72">
        <v>3905.43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50">AG72*9.80665</f>
        <v>63055.207317363442</v>
      </c>
      <c r="AI72" s="18"/>
      <c r="AJ72" s="26">
        <f>2*AH72/(1.225*$T72^2*$O$2)</f>
        <v>0.55586329952817115</v>
      </c>
      <c r="AK72" s="26" t="e">
        <f>2*#REF!/(1.225*$T72^2*$O$2)</f>
        <v>#REF!</v>
      </c>
      <c r="AL72" s="35">
        <f>I72</f>
        <v>5.7</v>
      </c>
      <c r="AM72" s="28">
        <f>AJ72^2</f>
        <v>0.3089840077623453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>101325*(1+((-0.00649*D73)/288.15))^(-9.80665/(-0.00649*287))</f>
        <v>82521.717427235679</v>
      </c>
      <c r="F73" s="9"/>
      <c r="G73" s="12">
        <f>'Imperial Units'!E76*0.514444</f>
        <v>81.282151999999996</v>
      </c>
      <c r="H73" s="9">
        <f t="shared" si="49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273.62435737843623</v>
      </c>
      <c r="R73" s="34">
        <f>SQRT(2/0.4*((1+101325/E73*((1+0.4/2.8*1.225/101325*H73^2)^(1.4/0.4)-1))^(0.4/1.4)-1))</f>
        <v>0.26092051167233943</v>
      </c>
      <c r="S73" s="9">
        <f>R73*SQRT(1.4*287*Q73)</f>
        <v>86.514831252922036</v>
      </c>
      <c r="T73" s="9">
        <f>S73*SQRT(E73/101325)</f>
        <v>78.075790084413057</v>
      </c>
      <c r="U73" s="9">
        <f>288.15-0.00649*D73</f>
        <v>277.13169335999999</v>
      </c>
      <c r="V73" s="33">
        <f>Q73-U73</f>
        <v>-3.5073359815637559</v>
      </c>
      <c r="W73">
        <v>3916.01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50"/>
        <v>62935.105333751402</v>
      </c>
      <c r="AI73" s="18"/>
      <c r="AJ73" s="26">
        <f>2*AH73/(1.225*$T73^2*$O$2)</f>
        <v>0.56186611329952674</v>
      </c>
      <c r="AK73" s="26">
        <f>2*W73/(1.225*$T73^2*$O$2)</f>
        <v>3.4960985711770906E-2</v>
      </c>
      <c r="AL73" s="35">
        <f>I73</f>
        <v>5.9</v>
      </c>
      <c r="AM73" s="28">
        <f>AJ73^2</f>
        <v>0.3156935292743166</v>
      </c>
    </row>
    <row r="75" spans="1:39" ht="18.3" x14ac:dyDescent="0.7">
      <c r="S75" s="48" t="s">
        <v>130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131</v>
      </c>
      <c r="T77" s="50">
        <f>X72</f>
        <v>0.50170000000000003</v>
      </c>
      <c r="U77" s="50"/>
      <c r="V77" s="50"/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132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133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124</v>
      </c>
      <c r="T82" s="51">
        <f>-1/RADIANS(J73-J72)*AVERAGE(AJ72:AJ73)*(X73-X72)/O3</f>
        <v>-1.4555520789328533</v>
      </c>
      <c r="U82" s="50"/>
      <c r="V82" s="50"/>
      <c r="W82" s="50"/>
      <c r="X82" s="50"/>
      <c r="Y82" s="50"/>
      <c r="Z82" s="50"/>
    </row>
    <row r="83" spans="1:26" x14ac:dyDescent="0.55000000000000004">
      <c r="S83" s="50" t="s">
        <v>137</v>
      </c>
      <c r="T83" s="50">
        <f>T82*0.4368</f>
        <v>-0.63578514807787034</v>
      </c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ignoredErrors>
    <ignoredError sqref="K55 K56:K61 M55:M6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2020-03-23T17:32:18Z</dcterms:modified>
</cp:coreProperties>
</file>