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ishra9\OneDrive - Capgemini\New_Personal\"/>
    </mc:Choice>
  </mc:AlternateContent>
  <bookViews>
    <workbookView xWindow="0" yWindow="0" windowWidth="19200" windowHeight="6690" tabRatio="875" activeTab="5"/>
  </bookViews>
  <sheets>
    <sheet name="MonthlyExpense" sheetId="1" r:id="rId1"/>
    <sheet name="TotalInvestment" sheetId="10" r:id="rId2"/>
    <sheet name="SchoolFeeComparison" sheetId="2" r:id="rId3"/>
    <sheet name="Kid_School" sheetId="7" r:id="rId4"/>
    <sheet name="JOBComparison" sheetId="11" r:id="rId5"/>
    <sheet name="SalaryComparison" sheetId="12" r:id="rId6"/>
    <sheet name="CanadaPR" sheetId="13" r:id="rId7"/>
    <sheet name="WithdrawalPlan" sheetId="1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2" l="1"/>
  <c r="E13" i="12" s="1"/>
  <c r="F13" i="12" s="1"/>
  <c r="G13" i="12" s="1"/>
  <c r="L11" i="12" l="1"/>
  <c r="C14" i="12" l="1"/>
  <c r="D14" i="12" s="1"/>
  <c r="C13" i="12"/>
  <c r="E14" i="12" l="1"/>
  <c r="F14" i="12" s="1"/>
  <c r="G14" i="12" s="1"/>
  <c r="W5" i="14"/>
  <c r="W8" i="14"/>
  <c r="J10" i="12" l="1"/>
  <c r="J11" i="12"/>
  <c r="R8" i="14" l="1"/>
  <c r="P3" i="14" l="1"/>
  <c r="O4" i="14" s="1"/>
  <c r="P4" i="14" s="1"/>
  <c r="M9" i="11" l="1"/>
  <c r="K13" i="11"/>
  <c r="L13" i="11"/>
  <c r="K12" i="11"/>
  <c r="K11" i="11"/>
  <c r="K9" i="11"/>
  <c r="K8" i="11"/>
  <c r="K7" i="11"/>
  <c r="T19" i="14" l="1"/>
  <c r="T18" i="14"/>
  <c r="T17" i="14"/>
  <c r="T16" i="14"/>
  <c r="T15" i="14"/>
  <c r="T14" i="14"/>
  <c r="T13" i="14"/>
  <c r="T12" i="14"/>
  <c r="T11" i="14"/>
  <c r="T10" i="14"/>
  <c r="T9" i="14"/>
  <c r="H12" i="14"/>
  <c r="K3" i="14"/>
  <c r="J4" i="14" s="1"/>
  <c r="K4" i="14" s="1"/>
  <c r="J5" i="14" s="1"/>
  <c r="F4" i="14"/>
  <c r="E5" i="14" s="1"/>
  <c r="F3" i="14"/>
  <c r="E4" i="14" s="1"/>
  <c r="T8" i="14"/>
  <c r="T7" i="14"/>
  <c r="T6" i="14"/>
  <c r="T5" i="14"/>
  <c r="T4" i="14"/>
  <c r="O5" i="14"/>
  <c r="P5" i="14" s="1"/>
  <c r="F19" i="10"/>
  <c r="O6" i="14" l="1"/>
  <c r="K5" i="14"/>
  <c r="J6" i="14" s="1"/>
  <c r="E6" i="14"/>
  <c r="F5" i="14"/>
  <c r="V13" i="14"/>
  <c r="B13" i="1"/>
  <c r="J7" i="14" l="1"/>
  <c r="K6" i="14"/>
  <c r="E7" i="14"/>
  <c r="F6" i="14"/>
  <c r="L3" i="12"/>
  <c r="L9" i="12"/>
  <c r="J21" i="12"/>
  <c r="K7" i="14" l="1"/>
  <c r="J8" i="14" s="1"/>
  <c r="E8" i="14"/>
  <c r="F7" i="14"/>
  <c r="P6" i="14"/>
  <c r="O7" i="14" s="1"/>
  <c r="B21" i="13"/>
  <c r="K8" i="14" l="1"/>
  <c r="J9" i="14" s="1"/>
  <c r="E9" i="14"/>
  <c r="F8" i="14"/>
  <c r="P7" i="14"/>
  <c r="O8" i="14" s="1"/>
  <c r="B12" i="1"/>
  <c r="C10" i="12"/>
  <c r="C12" i="12"/>
  <c r="C9" i="12"/>
  <c r="C8" i="12"/>
  <c r="J9" i="12"/>
  <c r="G7" i="12"/>
  <c r="F7" i="12"/>
  <c r="E7" i="12"/>
  <c r="C7" i="12"/>
  <c r="C6" i="12"/>
  <c r="C5" i="12"/>
  <c r="D5" i="12" s="1"/>
  <c r="D3" i="12"/>
  <c r="D8" i="12" s="1"/>
  <c r="K9" i="14" l="1"/>
  <c r="J10" i="14" s="1"/>
  <c r="E10" i="14"/>
  <c r="F9" i="14"/>
  <c r="D6" i="12"/>
  <c r="D10" i="12"/>
  <c r="D9" i="12"/>
  <c r="D12" i="12"/>
  <c r="F12" i="12" s="1"/>
  <c r="L10" i="12"/>
  <c r="C11" i="12"/>
  <c r="D11" i="12" s="1"/>
  <c r="F11" i="12" s="1"/>
  <c r="G5" i="12"/>
  <c r="F5" i="12"/>
  <c r="E5" i="12"/>
  <c r="E3" i="12"/>
  <c r="F3" i="12" s="1"/>
  <c r="G3" i="12" s="1"/>
  <c r="K10" i="14" l="1"/>
  <c r="J11" i="14" s="1"/>
  <c r="E11" i="14"/>
  <c r="F10" i="14"/>
  <c r="W2" i="14"/>
  <c r="P8" i="14"/>
  <c r="O9" i="14" s="1"/>
  <c r="E9" i="12"/>
  <c r="F9" i="12" s="1"/>
  <c r="G9" i="12" s="1"/>
  <c r="E8" i="12"/>
  <c r="F8" i="12" s="1"/>
  <c r="G8" i="12" s="1"/>
  <c r="G12" i="12"/>
  <c r="E12" i="12"/>
  <c r="E11" i="12"/>
  <c r="G11" i="12"/>
  <c r="E10" i="12"/>
  <c r="F10" i="12" s="1"/>
  <c r="G10" i="12" s="1"/>
  <c r="E6" i="12"/>
  <c r="F6" i="12" s="1"/>
  <c r="G6" i="12" s="1"/>
  <c r="K11" i="14" l="1"/>
  <c r="J12" i="14" s="1"/>
  <c r="F11" i="14"/>
  <c r="E12" i="14" s="1"/>
  <c r="I6" i="11"/>
  <c r="I5" i="11"/>
  <c r="K5" i="11" s="1"/>
  <c r="I4" i="11"/>
  <c r="I3" i="11"/>
  <c r="I2" i="11"/>
  <c r="I7" i="11" s="1"/>
  <c r="K12" i="14" l="1"/>
  <c r="J13" i="14" s="1"/>
  <c r="F12" i="14"/>
  <c r="P9" i="14"/>
  <c r="L12" i="11"/>
  <c r="O10" i="14" l="1"/>
  <c r="K13" i="14"/>
  <c r="L9" i="11"/>
  <c r="P10" i="14" l="1"/>
  <c r="D15" i="2"/>
  <c r="D14" i="2"/>
  <c r="D13" i="2"/>
  <c r="F7" i="1"/>
  <c r="F13" i="1" s="1"/>
  <c r="B8" i="1" s="1"/>
  <c r="B4" i="1"/>
  <c r="I11" i="2"/>
  <c r="I12" i="2" s="1"/>
  <c r="H11" i="2"/>
  <c r="H12" i="2" s="1"/>
  <c r="B10" i="1"/>
  <c r="B7" i="1"/>
  <c r="O11" i="14" l="1"/>
  <c r="E13" i="14"/>
  <c r="B15" i="1"/>
  <c r="C15" i="2"/>
  <c r="C14" i="2"/>
  <c r="C13" i="2"/>
  <c r="D9" i="2"/>
  <c r="D10" i="2" s="1"/>
  <c r="C9" i="2"/>
  <c r="C10" i="2" s="1"/>
  <c r="P11" i="14" l="1"/>
  <c r="O12" i="14" s="1"/>
  <c r="F13" i="14"/>
  <c r="E14" i="14" s="1"/>
  <c r="M13" i="14"/>
  <c r="C18" i="2"/>
  <c r="C19" i="2" s="1"/>
  <c r="P12" i="14" l="1"/>
  <c r="O13" i="14" s="1"/>
  <c r="J14" i="14"/>
  <c r="F14" i="14"/>
  <c r="E15" i="14" s="1"/>
  <c r="P13" i="14" l="1"/>
  <c r="R13" i="14"/>
  <c r="K14" i="14"/>
  <c r="J15" i="14" s="1"/>
  <c r="F15" i="14"/>
  <c r="E16" i="14" s="1"/>
  <c r="K15" i="14" l="1"/>
  <c r="O14" i="14"/>
  <c r="P14" i="14" s="1"/>
  <c r="F16" i="14"/>
  <c r="E17" i="14" s="1"/>
  <c r="J16" i="14" l="1"/>
  <c r="M16" i="14" s="1"/>
  <c r="O15" i="14"/>
  <c r="F17" i="14"/>
  <c r="E18" i="14" s="1"/>
  <c r="H17" i="14"/>
  <c r="W9" i="14" s="1"/>
  <c r="P15" i="14" l="1"/>
  <c r="E19" i="14"/>
  <c r="F18" i="14"/>
  <c r="O16" i="14" l="1"/>
  <c r="F19" i="14"/>
  <c r="E20" i="14" s="1"/>
  <c r="P16" i="14" l="1"/>
  <c r="O17" i="14" s="1"/>
  <c r="F20" i="14"/>
  <c r="E21" i="14" s="1"/>
  <c r="P17" i="14" l="1"/>
  <c r="O18" i="14" s="1"/>
  <c r="F21" i="14"/>
  <c r="E22" i="14" s="1"/>
  <c r="R18" i="14" l="1"/>
  <c r="W10" i="14" s="1"/>
  <c r="W13" i="14" s="1"/>
  <c r="P18" i="14"/>
  <c r="F22" i="14"/>
  <c r="E23" i="14" s="1"/>
  <c r="O19" i="14" l="1"/>
  <c r="P19" i="14" s="1"/>
  <c r="O20" i="14" s="1"/>
  <c r="P20" i="14" s="1"/>
  <c r="O21" i="14" s="1"/>
  <c r="P21" i="14" s="1"/>
  <c r="O22" i="14" s="1"/>
  <c r="P22" i="14" s="1"/>
  <c r="O23" i="14" s="1"/>
  <c r="P23" i="14" s="1"/>
  <c r="O24" i="14" s="1"/>
  <c r="P24" i="14" s="1"/>
  <c r="F23" i="14"/>
  <c r="E24" i="14" s="1"/>
  <c r="F24" i="14" s="1"/>
</calcChain>
</file>

<file path=xl/sharedStrings.xml><?xml version="1.0" encoding="utf-8"?>
<sst xmlns="http://schemas.openxmlformats.org/spreadsheetml/2006/main" count="375" uniqueCount="220">
  <si>
    <t>Rent + Maintenance</t>
  </si>
  <si>
    <t>House Expense (Food + Veg)</t>
  </si>
  <si>
    <t>Weekend Taxi</t>
  </si>
  <si>
    <t>Dance + Cook + Maid</t>
  </si>
  <si>
    <t>Office Taxi</t>
  </si>
  <si>
    <t>Manthan</t>
  </si>
  <si>
    <t>Deeksha</t>
  </si>
  <si>
    <t>Vinay</t>
  </si>
  <si>
    <t xml:space="preserve"> Academic Fee Per Annum</t>
  </si>
  <si>
    <t>Tuition &amp; Activity Fee Per Annum</t>
  </si>
  <si>
    <t>Food Per Annum</t>
  </si>
  <si>
    <t>Bus Fee</t>
  </si>
  <si>
    <t>Activity Fee</t>
  </si>
  <si>
    <t>Study Material</t>
  </si>
  <si>
    <t xml:space="preserve">Sancta Maria </t>
  </si>
  <si>
    <t>office Lunch and tea</t>
  </si>
  <si>
    <t>SNO.</t>
  </si>
  <si>
    <t>LKG-UKG</t>
  </si>
  <si>
    <t>Admission Fee (one time)</t>
  </si>
  <si>
    <t>Prospectus &amp; Registration</t>
  </si>
  <si>
    <t>Annual Fee</t>
  </si>
  <si>
    <t>Transport</t>
  </si>
  <si>
    <t>III - V</t>
  </si>
  <si>
    <t>Per Month</t>
  </si>
  <si>
    <t>Glendale (Suncity)</t>
  </si>
  <si>
    <t>Value added services</t>
  </si>
  <si>
    <t>Per year</t>
  </si>
  <si>
    <t>Deeksha - II</t>
  </si>
  <si>
    <t>2.     Hyderabad public school = From PP1 =  https://hpsbegumpet.org.in/admissions/#process</t>
  </si>
  <si>
    <t>3.     Bharthi Vidya Bhavan – jubilee Hills = From LKG =  http://bvbpsjh.com/admissions/</t>
  </si>
  <si>
    <t>4.     Jubilee Hills Public school = From LKG =  http://jhpublicschool.com/index.php/admissions/admission-policy-procedure/   </t>
  </si>
  <si>
    <t>5.     NASR Boys / Girls =  http://www.nasrschool.in/  </t>
  </si>
  <si>
    <t>6.     Air force school = from LKG =  http://www.airforceschoolbegumpet.edu.in/english-admission</t>
  </si>
  <si>
    <t>7.     P Obul Reddy – Jubilee hills = from LKG =  http://www.amsporps.org/admissions.php  </t>
  </si>
  <si>
    <t>9.     Meridian Madhapur or Jubliee Hills =  https://www.meridianschool.in/admissionprocedure.php </t>
  </si>
  <si>
    <t>13.   Maharishi Vidya Mandir, Hyderabad</t>
  </si>
  <si>
    <t>16.   Sanghamitra School =  http://registration.sanghamitraschool.co.in/Welcome.aspx    </t>
  </si>
  <si>
    <t>18.  Kendirya Vidayalaya = https://kvsangathan.nic.in/academic/admission-guidelines</t>
  </si>
  <si>
    <t>SSY</t>
  </si>
  <si>
    <t>For</t>
  </si>
  <si>
    <t>Me + Wife</t>
  </si>
  <si>
    <t>Term Insurance</t>
  </si>
  <si>
    <t>Health Insurance</t>
  </si>
  <si>
    <t>APY</t>
  </si>
  <si>
    <t>Fee (Deeksha + Vinay)</t>
  </si>
  <si>
    <t>Meena's GYM</t>
  </si>
  <si>
    <t>Saving (PPF + SSY + Atal P R &amp; M + term Insurance)</t>
  </si>
  <si>
    <t>Shares + Mutual Funds</t>
  </si>
  <si>
    <t>Deeksha + Vinay 50% each</t>
  </si>
  <si>
    <t>Gold</t>
  </si>
  <si>
    <t>Scheme</t>
  </si>
  <si>
    <t>Family</t>
  </si>
  <si>
    <t>EPF + VPF</t>
  </si>
  <si>
    <t>CG Shares ESOP</t>
  </si>
  <si>
    <t>LIC Annuity</t>
  </si>
  <si>
    <t>NPS</t>
  </si>
  <si>
    <t>APY + APY</t>
  </si>
  <si>
    <t>Fixed Deposit</t>
  </si>
  <si>
    <t>Meadows + SARK</t>
  </si>
  <si>
    <t>ING Policy</t>
  </si>
  <si>
    <t>LIC Policy</t>
  </si>
  <si>
    <t>Retirement</t>
  </si>
  <si>
    <t>Retirement || Maturity Year = 2066</t>
  </si>
  <si>
    <t>Education</t>
  </si>
  <si>
    <t>Emergency</t>
  </si>
  <si>
    <t>Re-investment || survival Benefit = 2021 = 80K</t>
  </si>
  <si>
    <t>Re-investment || Maturity = 10/11/2020</t>
  </si>
  <si>
    <t>Needed on (Year)</t>
  </si>
  <si>
    <t>NA</t>
  </si>
  <si>
    <t>Emergency || Education</t>
  </si>
  <si>
    <t>Emergency || Deeksha's Marriage</t>
  </si>
  <si>
    <t>Value as on 31-Mar-2020</t>
  </si>
  <si>
    <t>Job Security</t>
  </si>
  <si>
    <t>Enough Money</t>
  </si>
  <si>
    <t>JP Morgan</t>
  </si>
  <si>
    <t>Onsite expousre - Me</t>
  </si>
  <si>
    <t>Onsite exposure - Kids</t>
  </si>
  <si>
    <t>Staying with Kids</t>
  </si>
  <si>
    <t>Work from home option</t>
  </si>
  <si>
    <t>Infosys Offshore</t>
  </si>
  <si>
    <t>Infosys Onsite</t>
  </si>
  <si>
    <t>Start side business in India</t>
  </si>
  <si>
    <t>Banking Exposure</t>
  </si>
  <si>
    <t>Holidays - National</t>
  </si>
  <si>
    <t>Holidays - International</t>
  </si>
  <si>
    <t>Priority</t>
  </si>
  <si>
    <t>ü</t>
  </si>
  <si>
    <t>û</t>
  </si>
  <si>
    <t xml:space="preserve">No Location changes </t>
  </si>
  <si>
    <t>easy Job change after 2 - 3 Years</t>
  </si>
  <si>
    <t>????</t>
  </si>
  <si>
    <t>Basic Salary</t>
  </si>
  <si>
    <t>Housing Allowance</t>
  </si>
  <si>
    <t>Special Allowance</t>
  </si>
  <si>
    <t>Leave Travel Allowance</t>
  </si>
  <si>
    <t>Provident Fund</t>
  </si>
  <si>
    <t>Tax</t>
  </si>
  <si>
    <t>Salary Month</t>
  </si>
  <si>
    <t>Saving Yearly</t>
  </si>
  <si>
    <t>expense increase by 10%</t>
  </si>
  <si>
    <t>Rent</t>
  </si>
  <si>
    <t>India expense</t>
  </si>
  <si>
    <t xml:space="preserve">Our Monthly Expense Today </t>
  </si>
  <si>
    <t>Monthly Saving</t>
  </si>
  <si>
    <t>1 Year Saving</t>
  </si>
  <si>
    <t>Total Saving in 2 Years</t>
  </si>
  <si>
    <t>Total Saving in 3 Years</t>
  </si>
  <si>
    <t>Total Saving in 4 Years</t>
  </si>
  <si>
    <t>Fee</t>
  </si>
  <si>
    <t>My Rent in SG</t>
  </si>
  <si>
    <t>CG Monthly Credit</t>
  </si>
  <si>
    <t>Food</t>
  </si>
  <si>
    <t>My food</t>
  </si>
  <si>
    <t>CG Monthly Credit with Variable</t>
  </si>
  <si>
    <t>Travel</t>
  </si>
  <si>
    <t>Infosys Monthly Credit</t>
  </si>
  <si>
    <t>IN Investment</t>
  </si>
  <si>
    <t>Infosys Monthly Credit with Variable</t>
  </si>
  <si>
    <t>J P Morgan Monthly Credit</t>
  </si>
  <si>
    <t>Total Expense</t>
  </si>
  <si>
    <t>J P Morgan Monthly Credit with Variable</t>
  </si>
  <si>
    <t>Infosys Singapore with Family</t>
  </si>
  <si>
    <t>Infosys Singapore withOut Family</t>
  </si>
  <si>
    <t>with 
Family</t>
  </si>
  <si>
    <t>without 
Family</t>
  </si>
  <si>
    <t>Total</t>
  </si>
  <si>
    <t>Internet + Tata Sky</t>
  </si>
  <si>
    <r>
      <t>1.</t>
    </r>
    <r>
      <rPr>
        <sz val="9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DPS Hyderabad = from LKG =  </t>
    </r>
    <r>
      <rPr>
        <sz val="9"/>
        <color rgb="FF4285F4"/>
        <rFont val="Arial"/>
        <family val="2"/>
      </rPr>
      <t>http://www.dpshyderabad.in/admission-process.aspx</t>
    </r>
    <r>
      <rPr>
        <sz val="9"/>
        <color theme="1"/>
        <rFont val="Arial"/>
        <family val="2"/>
      </rPr>
      <t> and  </t>
    </r>
    <r>
      <rPr>
        <sz val="9"/>
        <color rgb="FF4285F4"/>
        <rFont val="Arial"/>
        <family val="2"/>
      </rPr>
      <t>https://www.dpshcampuscare.in/Registration/OnlineEnquiry</t>
    </r>
    <r>
      <rPr>
        <sz val="9"/>
        <color theme="1"/>
        <rFont val="Arial"/>
        <family val="2"/>
      </rPr>
      <t>  </t>
    </r>
  </si>
  <si>
    <r>
      <t>8.</t>
    </r>
    <r>
      <rPr>
        <sz val="9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Army public schools = From 1</t>
    </r>
    <r>
      <rPr>
        <vertAlign val="superscript"/>
        <sz val="9"/>
        <color theme="1"/>
        <rFont val="Arial"/>
        <family val="2"/>
      </rPr>
      <t>st</t>
    </r>
    <r>
      <rPr>
        <sz val="9"/>
        <color theme="1"/>
        <rFont val="Arial"/>
        <family val="2"/>
      </rPr>
      <t> Standard</t>
    </r>
    <r>
      <rPr>
        <sz val="9"/>
        <color rgb="FF1F497D"/>
        <rFont val="Arial"/>
        <family val="2"/>
      </rPr>
      <t xml:space="preserve"> </t>
    </r>
    <r>
      <rPr>
        <sz val="9"/>
        <color theme="1"/>
        <rFont val="Times New Roman"/>
        <family val="1"/>
      </rPr>
      <t>http://apsbolarum.edu.in/ || https://apsgolconda.edu.in/home.html</t>
    </r>
  </si>
  <si>
    <r>
      <t>10.</t>
    </r>
    <r>
      <rPr>
        <sz val="9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Geetanjali = From Nursery</t>
    </r>
  </si>
  <si>
    <r>
      <t>11.</t>
    </r>
    <r>
      <rPr>
        <sz val="9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DAV KUKATPALLY = From LKG</t>
    </r>
  </si>
  <si>
    <r>
      <t>12.</t>
    </r>
    <r>
      <rPr>
        <sz val="9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 xml:space="preserve">Jain heritage school = </t>
    </r>
    <r>
      <rPr>
        <sz val="9"/>
        <color theme="1"/>
        <rFont val="Times New Roman"/>
        <family val="1"/>
      </rPr>
      <t>http://www.jgischools.in/ Admission:  +91 9393 676702 || admissionskp@jgischools.in</t>
    </r>
  </si>
  <si>
    <r>
      <t>14.</t>
    </r>
    <r>
      <rPr>
        <sz val="9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Silver Oaks</t>
    </r>
  </si>
  <si>
    <r>
      <t>15.</t>
    </r>
    <r>
      <rPr>
        <sz val="9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Kennedy High </t>
    </r>
  </si>
  <si>
    <r>
      <t xml:space="preserve">17.  </t>
    </r>
    <r>
      <rPr>
        <b/>
        <sz val="9"/>
        <color rgb="FF333333"/>
        <rFont val="Segoe UI"/>
        <family val="2"/>
      </rPr>
      <t>Glendale academy</t>
    </r>
  </si>
  <si>
    <t>Category/Stream</t>
  </si>
  <si>
    <t>Aligned with EE?</t>
  </si>
  <si>
    <t>Job Offer Required?</t>
  </si>
  <si>
    <t>Recent update</t>
  </si>
  <si>
    <t>International Skilled Worker (ISW): Express Entry</t>
  </si>
  <si>
    <t>Yes</t>
  </si>
  <si>
    <t>No</t>
  </si>
  <si>
    <t>Oct 24: 372 invitations issued (69+ points required)</t>
  </si>
  <si>
    <t>ISW: Occupations In-Demand</t>
  </si>
  <si>
    <t>Oct 24: 550 invitations issued (69+ points required)</t>
  </si>
  <si>
    <t>Saskatchewan Immigrant Nominee Program (SINP).</t>
  </si>
  <si>
    <t>British Columbia Provincial Nominee Program</t>
  </si>
  <si>
    <t>Nova Scotia Nominee Program (NSNP)</t>
  </si>
  <si>
    <t>Express Entry Labour Market Priorities</t>
  </si>
  <si>
    <t>Experience: Express Entry</t>
  </si>
  <si>
    <t>Demand: Express Entry (Category B)</t>
  </si>
  <si>
    <t>Quebec immigration</t>
  </si>
  <si>
    <t>Quebec Skilled Worker Program</t>
  </si>
  <si>
    <t>Quebec Experience Program</t>
  </si>
  <si>
    <t>Manitoba Provincial Nominee Program (MPNP)</t>
  </si>
  <si>
    <t>Skilled Workers Overseas (SWO)</t>
  </si>
  <si>
    <t>SWO: Express Entry Pathway</t>
  </si>
  <si>
    <t>SWO: Human Capital Pathway</t>
  </si>
  <si>
    <t>Alberta Immigrant Nominee Program (AINP)</t>
  </si>
  <si>
    <t>Express Entry</t>
  </si>
  <si>
    <t>115 candidates were invited with a minimum CRS score of 350 points or higher.</t>
  </si>
  <si>
    <t>British Columbia Provincial Nominee Program (BC PNP)</t>
  </si>
  <si>
    <t>Prince Edward Island Provincial Nominee Program (PEIPNP)</t>
  </si>
  <si>
    <t>https://moving2canada.com/pnp-canada-live-tracker/#PEI</t>
  </si>
  <si>
    <t xml:space="preserve">Province Nominee Program </t>
  </si>
  <si>
    <t>Yearly Bonus</t>
  </si>
  <si>
    <t>Maid</t>
  </si>
  <si>
    <t>My SG travel</t>
  </si>
  <si>
    <t>IN Travel</t>
  </si>
  <si>
    <t xml:space="preserve">I NEED this SG salary </t>
  </si>
  <si>
    <t>School Fee</t>
  </si>
  <si>
    <t>Ravi PPF or Meena PPF</t>
  </si>
  <si>
    <t>Planned Saving Per Month</t>
  </si>
  <si>
    <t>Planned Monthly Expense</t>
  </si>
  <si>
    <t>Mobile</t>
  </si>
  <si>
    <t>Bike Petrol</t>
  </si>
  <si>
    <t>Gold Coins in SBI Locker</t>
  </si>
  <si>
    <t>Gold (RBI Schemes + PayTM)</t>
  </si>
  <si>
    <t>Ravi's PPF or Vinay's PPF</t>
  </si>
  <si>
    <t>Need to take Star Health Insurance</t>
  </si>
  <si>
    <t>Build House on Meadows</t>
  </si>
  <si>
    <t>5K + 5K Pension + 35K</t>
  </si>
  <si>
    <t>2027 - 10 Start</t>
  </si>
  <si>
    <t>2028 - 11 Start</t>
  </si>
  <si>
    <t>2029 - 12 Start</t>
  </si>
  <si>
    <t>Withdraw</t>
  </si>
  <si>
    <t>Amount Required</t>
  </si>
  <si>
    <t>2 Lacs for Tution</t>
  </si>
  <si>
    <t>2 Lacs for Engg Coaching</t>
  </si>
  <si>
    <t>10 Lac Engg Fee</t>
  </si>
  <si>
    <t>As on 1st April</t>
  </si>
  <si>
    <t>EPF+SSY+ PPF</t>
  </si>
  <si>
    <t>EPF</t>
  </si>
  <si>
    <t>PPF</t>
  </si>
  <si>
    <t>PPF in 2025 then FD @7% for 2 years</t>
  </si>
  <si>
    <t>Withdrawal Plan</t>
  </si>
  <si>
    <t>Amt as on 31-Mar</t>
  </si>
  <si>
    <t>Amt. as on 31-Mar</t>
  </si>
  <si>
    <t>2031 - 10 Start</t>
  </si>
  <si>
    <t>2032 - 11 Start</t>
  </si>
  <si>
    <t>2033 - 12 Start</t>
  </si>
  <si>
    <t>2030 -  1st Sem</t>
  </si>
  <si>
    <t>2031 -  3rd Sem</t>
  </si>
  <si>
    <t>2032 -  5th Sem</t>
  </si>
  <si>
    <t>2033 -  7th Sem</t>
  </si>
  <si>
    <t>2034 -  1st Sem</t>
  </si>
  <si>
    <t>2035 -  3rd Sem</t>
  </si>
  <si>
    <t>2036 -  5th Sem</t>
  </si>
  <si>
    <t>2037 -  7th Sem</t>
  </si>
  <si>
    <t>Per Y</t>
  </si>
  <si>
    <t>Per Y Int</t>
  </si>
  <si>
    <t>Year</t>
  </si>
  <si>
    <t>Amount</t>
  </si>
  <si>
    <r>
      <t xml:space="preserve">FD or NSC </t>
    </r>
    <r>
      <rPr>
        <b/>
        <sz val="6"/>
        <color theme="1"/>
        <rFont val="Calibri"/>
        <family val="2"/>
        <scheme val="minor"/>
      </rPr>
      <t>(National Savings Certificate)</t>
    </r>
  </si>
  <si>
    <t>* - PPF and NSC (National saving certificate) interest is non taxable. NSC has blocking of 5 Years.</t>
  </si>
  <si>
    <t>PPF (Ravi + Meena)
Target 3 Lacs Per year</t>
  </si>
  <si>
    <t>Monthly need to Invest</t>
  </si>
  <si>
    <t>SSY 
Target 1.5 lacs per year</t>
  </si>
  <si>
    <t>Infosys Monthly Credit with 28 Lacs Package</t>
  </si>
  <si>
    <t>Infosys Monthly Credit with Variable with 28 Lacs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</si>
</sst>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"/>
      <color rgb="FF565656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9"/>
      <color theme="1"/>
      <name val="Times New Roman"/>
      <family val="1"/>
    </font>
    <font>
      <sz val="9"/>
      <color rgb="FF4285F4"/>
      <name val="Arial"/>
      <family val="2"/>
    </font>
    <font>
      <u/>
      <sz val="9"/>
      <color theme="10"/>
      <name val="Calibri"/>
      <family val="2"/>
      <scheme val="minor"/>
    </font>
    <font>
      <vertAlign val="superscript"/>
      <sz val="9"/>
      <color theme="1"/>
      <name val="Arial"/>
      <family val="2"/>
    </font>
    <font>
      <sz val="9"/>
      <color rgb="FF1F497D"/>
      <name val="Arial"/>
      <family val="2"/>
    </font>
    <font>
      <sz val="9"/>
      <color rgb="FF1F497D"/>
      <name val="Times New Roman"/>
      <family val="1"/>
    </font>
    <font>
      <b/>
      <sz val="9"/>
      <color rgb="FF333333"/>
      <name val="Segoe UI"/>
      <family val="2"/>
    </font>
    <font>
      <b/>
      <sz val="9"/>
      <color rgb="FF43454B"/>
      <name val="Calibri"/>
      <family val="2"/>
      <scheme val="minor"/>
    </font>
    <font>
      <b/>
      <sz val="9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A4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9F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0" xfId="0" applyFont="1"/>
    <xf numFmtId="3" fontId="4" fillId="0" borderId="0" xfId="0" applyNumberFormat="1" applyFont="1"/>
    <xf numFmtId="43" fontId="4" fillId="0" borderId="0" xfId="2" applyFont="1"/>
    <xf numFmtId="0" fontId="3" fillId="0" borderId="0" xfId="0" applyFont="1"/>
    <xf numFmtId="0" fontId="4" fillId="0" borderId="0" xfId="0" applyFont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3" fontId="4" fillId="0" borderId="1" xfId="0" applyNumberFormat="1" applyFont="1" applyBorder="1" applyAlignment="1">
      <alignment vertical="top"/>
    </xf>
    <xf numFmtId="0" fontId="4" fillId="5" borderId="1" xfId="0" applyFont="1" applyFill="1" applyBorder="1" applyAlignment="1">
      <alignment vertical="top"/>
    </xf>
    <xf numFmtId="43" fontId="4" fillId="0" borderId="1" xfId="2" applyFont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43" fontId="3" fillId="0" borderId="1" xfId="2" applyFont="1" applyBorder="1" applyAlignment="1">
      <alignment vertical="top"/>
    </xf>
    <xf numFmtId="43" fontId="6" fillId="3" borderId="1" xfId="2" applyFont="1" applyFill="1" applyBorder="1" applyAlignment="1">
      <alignment horizontal="center" vertical="top" wrapText="1"/>
    </xf>
    <xf numFmtId="43" fontId="4" fillId="0" borderId="0" xfId="0" applyNumberFormat="1" applyFont="1" applyAlignment="1">
      <alignment vertical="top"/>
    </xf>
    <xf numFmtId="9" fontId="4" fillId="0" borderId="0" xfId="1" applyFont="1" applyAlignment="1">
      <alignment vertical="top"/>
    </xf>
    <xf numFmtId="9" fontId="4" fillId="0" borderId="0" xfId="1" applyFont="1"/>
    <xf numFmtId="43" fontId="4" fillId="0" borderId="0" xfId="0" applyNumberFormat="1" applyFont="1"/>
    <xf numFmtId="9" fontId="4" fillId="0" borderId="0" xfId="1" applyFont="1" applyAlignment="1">
      <alignment horizontal="left" vertical="top"/>
    </xf>
    <xf numFmtId="9" fontId="4" fillId="0" borderId="1" xfId="1" applyFont="1" applyBorder="1"/>
    <xf numFmtId="0" fontId="4" fillId="0" borderId="1" xfId="0" applyFont="1" applyBorder="1"/>
    <xf numFmtId="43" fontId="4" fillId="0" borderId="1" xfId="2" applyFont="1" applyBorder="1"/>
    <xf numFmtId="0" fontId="4" fillId="0" borderId="1" xfId="0" quotePrefix="1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top"/>
    </xf>
    <xf numFmtId="43" fontId="4" fillId="0" borderId="0" xfId="2" applyFont="1" applyAlignment="1">
      <alignment vertical="top"/>
    </xf>
    <xf numFmtId="4" fontId="4" fillId="0" borderId="1" xfId="0" applyNumberFormat="1" applyFont="1" applyBorder="1" applyAlignment="1">
      <alignment vertical="top"/>
    </xf>
    <xf numFmtId="43" fontId="4" fillId="0" borderId="1" xfId="0" applyNumberFormat="1" applyFont="1" applyBorder="1" applyAlignment="1">
      <alignment vertical="top"/>
    </xf>
    <xf numFmtId="9" fontId="4" fillId="0" borderId="1" xfId="1" applyFont="1" applyBorder="1" applyAlignment="1">
      <alignment vertical="top"/>
    </xf>
    <xf numFmtId="43" fontId="3" fillId="6" borderId="1" xfId="2" applyFont="1" applyFill="1" applyBorder="1" applyAlignment="1">
      <alignment vertical="top"/>
    </xf>
    <xf numFmtId="43" fontId="4" fillId="5" borderId="1" xfId="2" applyFont="1" applyFill="1" applyBorder="1" applyAlignment="1">
      <alignment vertical="top"/>
    </xf>
    <xf numFmtId="0" fontId="9" fillId="0" borderId="0" xfId="0" applyFont="1" applyFill="1" applyBorder="1" applyAlignment="1">
      <alignment vertical="top" wrapText="1"/>
    </xf>
    <xf numFmtId="43" fontId="9" fillId="0" borderId="0" xfId="2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43" fontId="9" fillId="0" borderId="0" xfId="0" applyNumberFormat="1" applyFont="1" applyFill="1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43" fontId="9" fillId="0" borderId="1" xfId="2" applyFont="1" applyFill="1" applyBorder="1" applyAlignment="1">
      <alignment vertical="top"/>
    </xf>
    <xf numFmtId="43" fontId="9" fillId="0" borderId="1" xfId="0" applyNumberFormat="1" applyFont="1" applyFill="1" applyBorder="1" applyAlignment="1">
      <alignment vertical="top"/>
    </xf>
    <xf numFmtId="43" fontId="9" fillId="7" borderId="1" xfId="0" applyNumberFormat="1" applyFont="1" applyFill="1" applyBorder="1" applyAlignment="1">
      <alignment vertical="top"/>
    </xf>
    <xf numFmtId="43" fontId="4" fillId="5" borderId="1" xfId="2" applyFont="1" applyFill="1" applyBorder="1"/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13" fillId="0" borderId="0" xfId="3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9" fontId="4" fillId="0" borderId="0" xfId="1" applyFont="1" applyAlignment="1">
      <alignment wrapText="1"/>
    </xf>
    <xf numFmtId="43" fontId="4" fillId="2" borderId="1" xfId="2" applyFont="1" applyFill="1" applyBorder="1" applyAlignment="1">
      <alignment vertical="top"/>
    </xf>
    <xf numFmtId="0" fontId="19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top"/>
    </xf>
    <xf numFmtId="43" fontId="19" fillId="10" borderId="1" xfId="2" applyFont="1" applyFill="1" applyBorder="1" applyAlignment="1">
      <alignment vertical="top" wrapText="1"/>
    </xf>
    <xf numFmtId="43" fontId="19" fillId="10" borderId="1" xfId="2" applyFont="1" applyFill="1" applyBorder="1" applyAlignment="1">
      <alignment horizontal="center" vertical="center" wrapText="1"/>
    </xf>
    <xf numFmtId="43" fontId="9" fillId="10" borderId="1" xfId="2" applyFont="1" applyFill="1" applyBorder="1" applyAlignment="1">
      <alignment vertical="top"/>
    </xf>
    <xf numFmtId="43" fontId="19" fillId="10" borderId="1" xfId="2" applyFont="1" applyFill="1" applyBorder="1" applyAlignment="1">
      <alignment vertical="top"/>
    </xf>
    <xf numFmtId="43" fontId="4" fillId="0" borderId="1" xfId="0" applyNumberFormat="1" applyFont="1" applyBorder="1"/>
    <xf numFmtId="9" fontId="4" fillId="10" borderId="1" xfId="1" applyFont="1" applyFill="1" applyBorder="1" applyAlignment="1">
      <alignment vertical="top"/>
    </xf>
    <xf numFmtId="0" fontId="4" fillId="10" borderId="1" xfId="0" applyFont="1" applyFill="1" applyBorder="1" applyAlignment="1">
      <alignment vertical="top"/>
    </xf>
    <xf numFmtId="0" fontId="4" fillId="10" borderId="1" xfId="0" applyFont="1" applyFill="1" applyBorder="1" applyAlignment="1">
      <alignment vertical="top" wrapText="1"/>
    </xf>
    <xf numFmtId="43" fontId="4" fillId="10" borderId="1" xfId="2" applyFont="1" applyFill="1" applyBorder="1" applyAlignment="1">
      <alignment vertical="top" wrapText="1"/>
    </xf>
    <xf numFmtId="0" fontId="20" fillId="0" borderId="1" xfId="0" applyFont="1" applyBorder="1" applyAlignment="1">
      <alignment vertical="top"/>
    </xf>
    <xf numFmtId="0" fontId="20" fillId="10" borderId="1" xfId="0" applyFont="1" applyFill="1" applyBorder="1" applyAlignment="1">
      <alignment vertical="top" wrapText="1"/>
    </xf>
    <xf numFmtId="0" fontId="20" fillId="10" borderId="1" xfId="0" applyFont="1" applyFill="1" applyBorder="1" applyAlignment="1">
      <alignment vertical="top"/>
    </xf>
    <xf numFmtId="0" fontId="20" fillId="0" borderId="0" xfId="0" applyFont="1" applyAlignment="1">
      <alignment vertical="top"/>
    </xf>
    <xf numFmtId="0" fontId="20" fillId="0" borderId="1" xfId="0" applyFont="1" applyBorder="1" applyAlignment="1">
      <alignment vertical="top" wrapText="1"/>
    </xf>
    <xf numFmtId="0" fontId="21" fillId="10" borderId="1" xfId="0" applyFont="1" applyFill="1" applyBorder="1" applyAlignment="1">
      <alignment vertical="top"/>
    </xf>
    <xf numFmtId="15" fontId="20" fillId="0" borderId="1" xfId="0" applyNumberFormat="1" applyFont="1" applyBorder="1" applyAlignment="1">
      <alignment vertical="top"/>
    </xf>
    <xf numFmtId="0" fontId="20" fillId="0" borderId="0" xfId="0" applyFont="1" applyAlignment="1">
      <alignment vertical="top" wrapText="1"/>
    </xf>
    <xf numFmtId="2" fontId="20" fillId="0" borderId="1" xfId="0" applyNumberFormat="1" applyFont="1" applyBorder="1" applyAlignment="1">
      <alignment vertical="top"/>
    </xf>
    <xf numFmtId="2" fontId="20" fillId="11" borderId="1" xfId="0" applyNumberFormat="1" applyFont="1" applyFill="1" applyBorder="1" applyAlignment="1">
      <alignment vertical="top"/>
    </xf>
    <xf numFmtId="2" fontId="20" fillId="0" borderId="0" xfId="0" applyNumberFormat="1" applyFont="1" applyAlignment="1">
      <alignment vertical="top"/>
    </xf>
    <xf numFmtId="15" fontId="20" fillId="0" borderId="3" xfId="0" applyNumberFormat="1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9" borderId="1" xfId="0" applyFont="1" applyFill="1" applyBorder="1" applyAlignment="1">
      <alignment vertical="top"/>
    </xf>
    <xf numFmtId="2" fontId="20" fillId="9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43" fontId="4" fillId="0" borderId="1" xfId="2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3" fontId="4" fillId="5" borderId="0" xfId="2" applyFont="1" applyFill="1" applyAlignment="1">
      <alignment vertical="top"/>
    </xf>
    <xf numFmtId="0" fontId="20" fillId="5" borderId="1" xfId="0" applyFont="1" applyFill="1" applyBorder="1" applyAlignment="1">
      <alignment vertical="top"/>
    </xf>
    <xf numFmtId="2" fontId="20" fillId="5" borderId="1" xfId="0" applyNumberFormat="1" applyFont="1" applyFill="1" applyBorder="1" applyAlignment="1">
      <alignment vertical="top"/>
    </xf>
    <xf numFmtId="2" fontId="21" fillId="5" borderId="1" xfId="0" applyNumberFormat="1" applyFont="1" applyFill="1" applyBorder="1" applyAlignment="1">
      <alignment vertical="top"/>
    </xf>
    <xf numFmtId="0" fontId="19" fillId="0" borderId="1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43" fontId="19" fillId="0" borderId="1" xfId="0" applyNumberFormat="1" applyFont="1" applyFill="1" applyBorder="1" applyAlignment="1">
      <alignment vertical="top"/>
    </xf>
    <xf numFmtId="43" fontId="19" fillId="7" borderId="1" xfId="0" applyNumberFormat="1" applyFont="1" applyFill="1" applyBorder="1" applyAlignment="1">
      <alignment vertical="top"/>
    </xf>
    <xf numFmtId="0" fontId="9" fillId="13" borderId="1" xfId="0" applyFont="1" applyFill="1" applyBorder="1" applyAlignment="1">
      <alignment vertical="top" wrapText="1"/>
    </xf>
    <xf numFmtId="43" fontId="9" fillId="13" borderId="1" xfId="2" applyFont="1" applyFill="1" applyBorder="1" applyAlignment="1">
      <alignment vertical="top"/>
    </xf>
    <xf numFmtId="43" fontId="9" fillId="13" borderId="1" xfId="0" applyNumberFormat="1" applyFont="1" applyFill="1" applyBorder="1" applyAlignment="1">
      <alignment vertical="top"/>
    </xf>
    <xf numFmtId="43" fontId="9" fillId="14" borderId="1" xfId="0" applyNumberFormat="1" applyFont="1" applyFill="1" applyBorder="1" applyAlignment="1">
      <alignment vertical="top"/>
    </xf>
    <xf numFmtId="43" fontId="20" fillId="0" borderId="0" xfId="2" applyFont="1" applyAlignment="1">
      <alignment vertical="top"/>
    </xf>
    <xf numFmtId="43" fontId="20" fillId="0" borderId="0" xfId="0" applyNumberFormat="1" applyFont="1" applyAlignment="1">
      <alignment vertical="top"/>
    </xf>
    <xf numFmtId="0" fontId="4" fillId="1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0" fontId="2" fillId="0" borderId="1" xfId="3" applyBorder="1" applyAlignment="1">
      <alignment horizontal="center" vertical="center" wrapText="1"/>
    </xf>
    <xf numFmtId="0" fontId="21" fillId="0" borderId="0" xfId="0" applyFont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 wrapText="1"/>
    </xf>
    <xf numFmtId="15" fontId="21" fillId="12" borderId="2" xfId="0" applyNumberFormat="1" applyFont="1" applyFill="1" applyBorder="1" applyAlignment="1">
      <alignment horizontal="center" vertical="top"/>
    </xf>
    <xf numFmtId="15" fontId="21" fillId="12" borderId="4" xfId="0" applyNumberFormat="1" applyFont="1" applyFill="1" applyBorder="1" applyAlignment="1">
      <alignment horizontal="center" vertical="top"/>
    </xf>
    <xf numFmtId="15" fontId="21" fillId="12" borderId="3" xfId="0" applyNumberFormat="1" applyFont="1" applyFill="1" applyBorder="1" applyAlignment="1">
      <alignment horizontal="center" vertical="top"/>
    </xf>
    <xf numFmtId="0" fontId="21" fillId="0" borderId="2" xfId="0" applyFont="1" applyFill="1" applyBorder="1" applyAlignment="1">
      <alignment horizontal="center" vertical="top" wrapText="1"/>
    </xf>
    <xf numFmtId="0" fontId="21" fillId="0" borderId="3" xfId="0" applyFont="1" applyFill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 wrapText="1"/>
    </xf>
    <xf numFmtId="0" fontId="21" fillId="10" borderId="2" xfId="0" applyFont="1" applyFill="1" applyBorder="1" applyAlignment="1">
      <alignment horizontal="center" vertical="top"/>
    </xf>
    <xf numFmtId="0" fontId="21" fillId="10" borderId="3" xfId="0" applyFont="1" applyFill="1" applyBorder="1" applyAlignment="1">
      <alignment horizontal="center" vertical="top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ucationworld.in/maharishi-vidya-mandir-hyderabad/" TargetMode="External"/><Relationship Id="rId3" Type="http://schemas.openxmlformats.org/officeDocument/2006/relationships/hyperlink" Target="http://jhpublicschool.com/index.php/admissions/admission-policy-procedure/" TargetMode="External"/><Relationship Id="rId7" Type="http://schemas.openxmlformats.org/officeDocument/2006/relationships/hyperlink" Target="https://www.meridianschool.in/admissionprocedure.php" TargetMode="External"/><Relationship Id="rId2" Type="http://schemas.openxmlformats.org/officeDocument/2006/relationships/hyperlink" Target="http://bvbpsjh.com/admissions/" TargetMode="External"/><Relationship Id="rId1" Type="http://schemas.openxmlformats.org/officeDocument/2006/relationships/hyperlink" Target="https://hpsbegumpet.org.in/admissions/" TargetMode="External"/><Relationship Id="rId6" Type="http://schemas.openxmlformats.org/officeDocument/2006/relationships/hyperlink" Target="http://www.amsporps.org/admissions.php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airforceschoolbegumpet.edu.in/english-admission" TargetMode="External"/><Relationship Id="rId10" Type="http://schemas.openxmlformats.org/officeDocument/2006/relationships/hyperlink" Target="https://kvsangathan.nic.in/academic/admission-guidelines" TargetMode="External"/><Relationship Id="rId4" Type="http://schemas.openxmlformats.org/officeDocument/2006/relationships/hyperlink" Target="http://www.nasrschool.in/" TargetMode="External"/><Relationship Id="rId9" Type="http://schemas.openxmlformats.org/officeDocument/2006/relationships/hyperlink" Target="http://registration.sanghamitraschool.co.in/Welcome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oving2canada.com/pnp-canada-live-tracker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4" sqref="C14"/>
    </sheetView>
  </sheetViews>
  <sheetFormatPr defaultRowHeight="12" x14ac:dyDescent="0.3"/>
  <cols>
    <col min="1" max="1" width="34.36328125" style="1" bestFit="1" customWidth="1"/>
    <col min="2" max="2" width="9.08984375" style="1" bestFit="1" customWidth="1"/>
    <col min="3" max="3" width="11.26953125" style="1" bestFit="1" customWidth="1"/>
    <col min="4" max="4" width="18.54296875" style="1" bestFit="1" customWidth="1"/>
    <col min="5" max="5" width="15.7265625" style="1" bestFit="1" customWidth="1"/>
    <col min="6" max="6" width="8.26953125" style="1" bestFit="1" customWidth="1"/>
    <col min="7" max="7" width="8.7265625" style="1"/>
    <col min="8" max="8" width="9.08984375" style="1" bestFit="1" customWidth="1"/>
    <col min="9" max="9" width="8.7265625" style="1"/>
    <col min="10" max="10" width="9.08984375" style="1" bestFit="1" customWidth="1"/>
    <col min="11" max="16384" width="8.7265625" style="1"/>
  </cols>
  <sheetData>
    <row r="1" spans="1:10" x14ac:dyDescent="0.3">
      <c r="D1" s="105" t="s">
        <v>172</v>
      </c>
      <c r="E1" s="105"/>
      <c r="F1" s="105"/>
    </row>
    <row r="2" spans="1:10" x14ac:dyDescent="0.3">
      <c r="A2" s="105" t="s">
        <v>173</v>
      </c>
      <c r="B2" s="105"/>
      <c r="D2" s="24" t="s">
        <v>39</v>
      </c>
      <c r="E2" s="24"/>
      <c r="F2" s="24" t="s">
        <v>23</v>
      </c>
    </row>
    <row r="3" spans="1:10" x14ac:dyDescent="0.3">
      <c r="A3" s="24" t="s">
        <v>44</v>
      </c>
      <c r="B3" s="25">
        <v>50000</v>
      </c>
      <c r="D3" s="23" t="s">
        <v>6</v>
      </c>
      <c r="E3" s="24" t="s">
        <v>38</v>
      </c>
      <c r="F3" s="25">
        <v>4500</v>
      </c>
    </row>
    <row r="4" spans="1:10" x14ac:dyDescent="0.3">
      <c r="A4" s="24" t="s">
        <v>0</v>
      </c>
      <c r="B4" s="25">
        <f>22000+4200</f>
        <v>26200</v>
      </c>
      <c r="D4" s="24" t="s">
        <v>7</v>
      </c>
      <c r="E4" s="24" t="s">
        <v>171</v>
      </c>
      <c r="F4" s="66">
        <v>4500</v>
      </c>
    </row>
    <row r="5" spans="1:10" x14ac:dyDescent="0.3">
      <c r="A5" s="24" t="s">
        <v>1</v>
      </c>
      <c r="B5" s="25">
        <v>10000</v>
      </c>
      <c r="D5" s="24" t="s">
        <v>40</v>
      </c>
      <c r="E5" s="24" t="s">
        <v>41</v>
      </c>
      <c r="F5" s="66">
        <v>1600</v>
      </c>
    </row>
    <row r="6" spans="1:10" x14ac:dyDescent="0.3">
      <c r="A6" s="24" t="s">
        <v>2</v>
      </c>
      <c r="B6" s="25">
        <v>5000</v>
      </c>
      <c r="D6" s="24"/>
      <c r="E6" s="24" t="s">
        <v>42</v>
      </c>
      <c r="F6" s="66">
        <v>1250</v>
      </c>
      <c r="J6" s="4"/>
    </row>
    <row r="7" spans="1:10" x14ac:dyDescent="0.3">
      <c r="A7" s="24" t="s">
        <v>3</v>
      </c>
      <c r="B7" s="25">
        <f>1200+3500+2600</f>
        <v>7300</v>
      </c>
      <c r="D7" s="24" t="s">
        <v>40</v>
      </c>
      <c r="E7" s="24" t="s">
        <v>43</v>
      </c>
      <c r="F7" s="66">
        <f>906+906</f>
        <v>1812</v>
      </c>
    </row>
    <row r="8" spans="1:10" x14ac:dyDescent="0.3">
      <c r="A8" s="24" t="s">
        <v>46</v>
      </c>
      <c r="B8" s="25">
        <f>F13</f>
        <v>13662</v>
      </c>
      <c r="D8" s="24" t="s">
        <v>48</v>
      </c>
      <c r="E8" s="24" t="s">
        <v>47</v>
      </c>
      <c r="F8" s="66"/>
    </row>
    <row r="9" spans="1:10" x14ac:dyDescent="0.3">
      <c r="A9" s="24" t="s">
        <v>4</v>
      </c>
      <c r="B9" s="25">
        <v>4000</v>
      </c>
      <c r="C9" s="20"/>
      <c r="D9" s="24" t="s">
        <v>49</v>
      </c>
      <c r="E9" s="24" t="s">
        <v>7</v>
      </c>
      <c r="F9" s="24"/>
    </row>
    <row r="10" spans="1:10" x14ac:dyDescent="0.3">
      <c r="A10" s="24" t="s">
        <v>15</v>
      </c>
      <c r="B10" s="25">
        <f>20*(100+12)</f>
        <v>2240</v>
      </c>
      <c r="D10" s="24"/>
      <c r="E10" s="24"/>
      <c r="F10" s="24"/>
    </row>
    <row r="11" spans="1:10" x14ac:dyDescent="0.3">
      <c r="A11" s="24" t="s">
        <v>45</v>
      </c>
      <c r="B11" s="25">
        <v>2000</v>
      </c>
      <c r="D11" s="24"/>
      <c r="E11" s="24"/>
      <c r="F11" s="24"/>
      <c r="G11" s="2"/>
    </row>
    <row r="12" spans="1:10" x14ac:dyDescent="0.3">
      <c r="A12" s="24" t="s">
        <v>126</v>
      </c>
      <c r="B12" s="25">
        <f>800+200</f>
        <v>1000</v>
      </c>
      <c r="D12" s="24"/>
      <c r="E12" s="24"/>
      <c r="F12" s="24"/>
    </row>
    <row r="13" spans="1:10" x14ac:dyDescent="0.3">
      <c r="A13" s="24" t="s">
        <v>174</v>
      </c>
      <c r="B13" s="25">
        <f>(399+399)/3</f>
        <v>266</v>
      </c>
      <c r="D13" s="24"/>
      <c r="E13" s="24"/>
      <c r="F13" s="66">
        <f>SUM(F3:F7)</f>
        <v>13662</v>
      </c>
      <c r="J13" s="3"/>
    </row>
    <row r="14" spans="1:10" x14ac:dyDescent="0.3">
      <c r="A14" s="24" t="s">
        <v>175</v>
      </c>
      <c r="B14" s="24">
        <v>900</v>
      </c>
      <c r="H14" s="3"/>
      <c r="J14" s="21"/>
    </row>
    <row r="15" spans="1:10" x14ac:dyDescent="0.3">
      <c r="A15" s="24" t="s">
        <v>125</v>
      </c>
      <c r="B15" s="48">
        <f>SUM(B3:B14)</f>
        <v>122568</v>
      </c>
      <c r="H15" s="21"/>
    </row>
    <row r="17" spans="3:5" x14ac:dyDescent="0.3">
      <c r="E17" s="20"/>
    </row>
    <row r="18" spans="3:5" x14ac:dyDescent="0.3">
      <c r="C18" s="20"/>
    </row>
    <row r="19" spans="3:5" x14ac:dyDescent="0.3">
      <c r="C19" s="20"/>
    </row>
  </sheetData>
  <mergeCells count="2">
    <mergeCell ref="D1:F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90" zoomScaleNormal="90" workbookViewId="0">
      <selection activeCell="C9" sqref="C9"/>
    </sheetView>
  </sheetViews>
  <sheetFormatPr defaultRowHeight="12" x14ac:dyDescent="0.35"/>
  <cols>
    <col min="1" max="1" width="18.54296875" style="5" bestFit="1" customWidth="1"/>
    <col min="2" max="2" width="19.90625" style="5" bestFit="1" customWidth="1"/>
    <col min="3" max="3" width="32.453125" style="90" bestFit="1" customWidth="1"/>
    <col min="4" max="4" width="12.90625" style="5" bestFit="1" customWidth="1"/>
    <col min="5" max="5" width="24.26953125" style="5" bestFit="1" customWidth="1"/>
    <col min="6" max="6" width="17.1796875" style="5" bestFit="1" customWidth="1"/>
    <col min="7" max="16384" width="8.7265625" style="5"/>
  </cols>
  <sheetData>
    <row r="1" spans="1:6" s="88" customFormat="1" x14ac:dyDescent="0.35">
      <c r="A1" s="86" t="s">
        <v>39</v>
      </c>
      <c r="B1" s="86" t="s">
        <v>50</v>
      </c>
      <c r="C1" s="87"/>
      <c r="D1" s="86" t="s">
        <v>67</v>
      </c>
      <c r="E1" s="86" t="s">
        <v>71</v>
      </c>
      <c r="F1" s="86" t="s">
        <v>216</v>
      </c>
    </row>
    <row r="2" spans="1:6" x14ac:dyDescent="0.35">
      <c r="A2" s="36" t="s">
        <v>6</v>
      </c>
      <c r="B2" s="7" t="s">
        <v>38</v>
      </c>
      <c r="C2" s="89" t="s">
        <v>63</v>
      </c>
      <c r="D2" s="7">
        <v>2027</v>
      </c>
      <c r="E2" s="7"/>
      <c r="F2" s="10">
        <v>8500</v>
      </c>
    </row>
    <row r="3" spans="1:6" x14ac:dyDescent="0.35">
      <c r="A3" s="36" t="s">
        <v>48</v>
      </c>
      <c r="B3" s="7" t="s">
        <v>47</v>
      </c>
      <c r="C3" s="89" t="s">
        <v>63</v>
      </c>
      <c r="D3" s="7">
        <v>2027</v>
      </c>
      <c r="E3" s="7"/>
      <c r="F3" s="10">
        <v>5000</v>
      </c>
    </row>
    <row r="4" spans="1:6" x14ac:dyDescent="0.35">
      <c r="A4" s="36" t="s">
        <v>48</v>
      </c>
      <c r="B4" s="7" t="s">
        <v>53</v>
      </c>
      <c r="C4" s="89" t="s">
        <v>63</v>
      </c>
      <c r="D4" s="7">
        <v>2027</v>
      </c>
      <c r="E4" s="7"/>
      <c r="F4" s="10" t="s">
        <v>68</v>
      </c>
    </row>
    <row r="5" spans="1:6" x14ac:dyDescent="0.35">
      <c r="A5" s="67" t="s">
        <v>51</v>
      </c>
      <c r="B5" s="68" t="s">
        <v>42</v>
      </c>
      <c r="C5" s="70" t="s">
        <v>64</v>
      </c>
      <c r="D5" s="68" t="s">
        <v>68</v>
      </c>
      <c r="E5" s="69" t="s">
        <v>179</v>
      </c>
      <c r="F5" s="10">
        <v>1667</v>
      </c>
    </row>
    <row r="6" spans="1:6" x14ac:dyDescent="0.35">
      <c r="A6" s="36" t="s">
        <v>51</v>
      </c>
      <c r="B6" s="7" t="s">
        <v>57</v>
      </c>
      <c r="C6" s="89" t="s">
        <v>69</v>
      </c>
      <c r="D6" s="7">
        <v>2027</v>
      </c>
      <c r="E6" s="7"/>
      <c r="F6" s="10"/>
    </row>
    <row r="7" spans="1:6" x14ac:dyDescent="0.35">
      <c r="A7" s="36" t="s">
        <v>51</v>
      </c>
      <c r="B7" s="7" t="s">
        <v>59</v>
      </c>
      <c r="C7" s="89" t="s">
        <v>65</v>
      </c>
      <c r="D7" s="7">
        <v>2027</v>
      </c>
      <c r="E7" s="7"/>
      <c r="F7" s="10" t="s">
        <v>68</v>
      </c>
    </row>
    <row r="8" spans="1:6" x14ac:dyDescent="0.35">
      <c r="A8" s="36" t="s">
        <v>51</v>
      </c>
      <c r="B8" s="7" t="s">
        <v>58</v>
      </c>
      <c r="C8" s="89" t="s">
        <v>61</v>
      </c>
      <c r="D8" s="7">
        <v>2041</v>
      </c>
      <c r="E8" s="7" t="s">
        <v>180</v>
      </c>
      <c r="F8" s="10" t="s">
        <v>68</v>
      </c>
    </row>
    <row r="9" spans="1:6" x14ac:dyDescent="0.35">
      <c r="A9" s="36" t="s">
        <v>51</v>
      </c>
      <c r="B9" s="7" t="s">
        <v>176</v>
      </c>
      <c r="C9" s="89" t="s">
        <v>70</v>
      </c>
      <c r="D9" s="7">
        <v>2037</v>
      </c>
      <c r="E9" s="7"/>
      <c r="F9" s="10" t="s">
        <v>68</v>
      </c>
    </row>
    <row r="10" spans="1:6" x14ac:dyDescent="0.35">
      <c r="A10" s="36" t="s">
        <v>51</v>
      </c>
      <c r="B10" s="7" t="s">
        <v>60</v>
      </c>
      <c r="C10" s="89" t="s">
        <v>66</v>
      </c>
      <c r="D10" s="7">
        <v>2027</v>
      </c>
      <c r="E10" s="7"/>
      <c r="F10" s="10" t="s">
        <v>68</v>
      </c>
    </row>
    <row r="11" spans="1:6" x14ac:dyDescent="0.35">
      <c r="A11" s="36" t="s">
        <v>40</v>
      </c>
      <c r="B11" s="7" t="s">
        <v>41</v>
      </c>
      <c r="C11" s="89" t="s">
        <v>64</v>
      </c>
      <c r="D11" s="7">
        <v>2041</v>
      </c>
      <c r="E11" s="7"/>
      <c r="F11" s="10">
        <v>1600</v>
      </c>
    </row>
    <row r="12" spans="1:6" x14ac:dyDescent="0.35">
      <c r="A12" s="36" t="s">
        <v>40</v>
      </c>
      <c r="B12" s="7" t="s">
        <v>56</v>
      </c>
      <c r="C12" s="89" t="s">
        <v>61</v>
      </c>
      <c r="D12" s="7">
        <v>2041</v>
      </c>
      <c r="E12" s="7" t="s">
        <v>181</v>
      </c>
      <c r="F12" s="10">
        <v>2000</v>
      </c>
    </row>
    <row r="13" spans="1:6" x14ac:dyDescent="0.35">
      <c r="A13" s="36" t="s">
        <v>40</v>
      </c>
      <c r="B13" s="7" t="s">
        <v>52</v>
      </c>
      <c r="C13" s="89" t="s">
        <v>61</v>
      </c>
      <c r="D13" s="7">
        <v>2041</v>
      </c>
      <c r="E13" s="7"/>
      <c r="F13" s="10">
        <v>15000</v>
      </c>
    </row>
    <row r="14" spans="1:6" x14ac:dyDescent="0.35">
      <c r="A14" s="36" t="s">
        <v>40</v>
      </c>
      <c r="B14" s="7" t="s">
        <v>54</v>
      </c>
      <c r="C14" s="89" t="s">
        <v>61</v>
      </c>
      <c r="D14" s="7">
        <v>2041</v>
      </c>
      <c r="E14" s="7"/>
      <c r="F14" s="10" t="s">
        <v>68</v>
      </c>
    </row>
    <row r="15" spans="1:6" x14ac:dyDescent="0.35">
      <c r="A15" s="36" t="s">
        <v>40</v>
      </c>
      <c r="B15" s="7" t="s">
        <v>55</v>
      </c>
      <c r="C15" s="89" t="s">
        <v>61</v>
      </c>
      <c r="D15" s="7">
        <v>2041</v>
      </c>
      <c r="E15" s="7"/>
      <c r="F15" s="10">
        <v>4167</v>
      </c>
    </row>
    <row r="16" spans="1:6" x14ac:dyDescent="0.35">
      <c r="A16" s="36" t="s">
        <v>40</v>
      </c>
      <c r="B16" s="7" t="s">
        <v>59</v>
      </c>
      <c r="C16" s="89" t="s">
        <v>62</v>
      </c>
      <c r="D16" s="7">
        <v>2041</v>
      </c>
      <c r="E16" s="7"/>
      <c r="F16" s="10" t="s">
        <v>68</v>
      </c>
    </row>
    <row r="17" spans="1:6" x14ac:dyDescent="0.35">
      <c r="A17" s="36" t="s">
        <v>7</v>
      </c>
      <c r="B17" s="7" t="s">
        <v>178</v>
      </c>
      <c r="C17" s="89" t="s">
        <v>63</v>
      </c>
      <c r="D17" s="7">
        <v>2031</v>
      </c>
      <c r="E17" s="7"/>
      <c r="F17" s="10">
        <v>25000</v>
      </c>
    </row>
    <row r="18" spans="1:6" x14ac:dyDescent="0.35">
      <c r="A18" s="36" t="s">
        <v>7</v>
      </c>
      <c r="B18" s="7" t="s">
        <v>177</v>
      </c>
      <c r="C18" s="89" t="s">
        <v>63</v>
      </c>
      <c r="D18" s="7">
        <v>2031</v>
      </c>
      <c r="E18" s="7"/>
      <c r="F18" s="10">
        <v>3500</v>
      </c>
    </row>
    <row r="19" spans="1:6" x14ac:dyDescent="0.35">
      <c r="F19" s="91">
        <f>SUM(F2:F18)</f>
        <v>66434</v>
      </c>
    </row>
  </sheetData>
  <sortState ref="A3:E19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1"/>
  <sheetViews>
    <sheetView workbookViewId="0">
      <selection activeCell="E17" sqref="E17"/>
    </sheetView>
  </sheetViews>
  <sheetFormatPr defaultRowHeight="12" x14ac:dyDescent="0.35"/>
  <cols>
    <col min="1" max="1" width="8.7265625" style="5"/>
    <col min="2" max="2" width="22.7265625" style="5" bestFit="1" customWidth="1"/>
    <col min="3" max="3" width="9.36328125" style="5" bestFit="1" customWidth="1"/>
    <col min="4" max="4" width="8.26953125" style="5" bestFit="1" customWidth="1"/>
    <col min="5" max="5" width="8.7265625" style="5"/>
    <col min="6" max="6" width="4.26953125" style="5" bestFit="1" customWidth="1"/>
    <col min="7" max="7" width="18.08984375" style="13" bestFit="1" customWidth="1"/>
    <col min="8" max="9" width="9.08984375" style="5" bestFit="1" customWidth="1"/>
    <col min="10" max="16384" width="8.7265625" style="5"/>
  </cols>
  <sheetData>
    <row r="4" spans="2:16" x14ac:dyDescent="0.35">
      <c r="B4" s="6" t="s">
        <v>5</v>
      </c>
      <c r="C4" s="6" t="s">
        <v>6</v>
      </c>
      <c r="D4" s="6" t="s">
        <v>7</v>
      </c>
      <c r="F4" s="11" t="s">
        <v>16</v>
      </c>
      <c r="G4" s="14" t="s">
        <v>24</v>
      </c>
      <c r="H4" s="11" t="s">
        <v>17</v>
      </c>
      <c r="I4" s="11" t="s">
        <v>22</v>
      </c>
    </row>
    <row r="5" spans="2:16" x14ac:dyDescent="0.35">
      <c r="B5" s="7" t="s">
        <v>8</v>
      </c>
      <c r="C5" s="8">
        <v>48000</v>
      </c>
      <c r="D5" s="8">
        <v>48000</v>
      </c>
      <c r="F5" s="12">
        <v>1</v>
      </c>
      <c r="G5" s="15" t="s">
        <v>18</v>
      </c>
      <c r="H5" s="17">
        <v>5000</v>
      </c>
      <c r="I5" s="10">
        <v>5000</v>
      </c>
      <c r="O5" s="19"/>
    </row>
    <row r="6" spans="2:16" x14ac:dyDescent="0.35">
      <c r="B6" s="7" t="s">
        <v>9</v>
      </c>
      <c r="C6" s="8">
        <v>143000</v>
      </c>
      <c r="D6" s="8">
        <v>124000</v>
      </c>
      <c r="F6" s="12">
        <v>2</v>
      </c>
      <c r="G6" s="15" t="s">
        <v>19</v>
      </c>
      <c r="H6" s="17">
        <v>1000</v>
      </c>
      <c r="I6" s="10">
        <v>1000</v>
      </c>
      <c r="O6" s="19"/>
      <c r="P6" s="19"/>
    </row>
    <row r="7" spans="2:16" x14ac:dyDescent="0.35">
      <c r="B7" s="7" t="s">
        <v>10</v>
      </c>
      <c r="C7" s="8">
        <v>30000</v>
      </c>
      <c r="D7" s="8">
        <v>28000</v>
      </c>
      <c r="F7" s="12">
        <v>3</v>
      </c>
      <c r="G7" s="15" t="s">
        <v>20</v>
      </c>
      <c r="H7" s="17">
        <v>78000</v>
      </c>
      <c r="I7" s="10">
        <v>132000</v>
      </c>
    </row>
    <row r="8" spans="2:16" x14ac:dyDescent="0.35">
      <c r="B8" s="7" t="s">
        <v>11</v>
      </c>
      <c r="C8" s="8">
        <v>44000</v>
      </c>
      <c r="D8" s="8">
        <v>44000</v>
      </c>
      <c r="F8" s="12">
        <v>4</v>
      </c>
      <c r="G8" s="15" t="s">
        <v>12</v>
      </c>
      <c r="H8" s="17">
        <v>7000</v>
      </c>
      <c r="I8" s="10">
        <v>7000</v>
      </c>
    </row>
    <row r="9" spans="2:16" x14ac:dyDescent="0.35">
      <c r="B9" s="9" t="s">
        <v>26</v>
      </c>
      <c r="C9" s="8">
        <f>SUM(C5:C8)</f>
        <v>265000</v>
      </c>
      <c r="D9" s="8">
        <f>SUM(D5:D8)</f>
        <v>244000</v>
      </c>
      <c r="F9" s="12">
        <v>5</v>
      </c>
      <c r="G9" s="15" t="s">
        <v>21</v>
      </c>
      <c r="H9" s="17">
        <v>14000</v>
      </c>
      <c r="I9" s="10">
        <v>14000</v>
      </c>
    </row>
    <row r="10" spans="2:16" x14ac:dyDescent="0.35">
      <c r="B10" s="9" t="s">
        <v>23</v>
      </c>
      <c r="C10" s="10">
        <f>C9/12</f>
        <v>22083.333333333332</v>
      </c>
      <c r="D10" s="10">
        <f>D9/12</f>
        <v>20333.333333333332</v>
      </c>
      <c r="F10" s="12">
        <v>6</v>
      </c>
      <c r="G10" s="15" t="s">
        <v>25</v>
      </c>
      <c r="H10" s="17">
        <v>4000</v>
      </c>
      <c r="I10" s="10">
        <v>4000</v>
      </c>
    </row>
    <row r="11" spans="2:16" x14ac:dyDescent="0.35">
      <c r="F11" s="7"/>
      <c r="G11" s="9" t="s">
        <v>26</v>
      </c>
      <c r="H11" s="10">
        <f>SUM(H5:H10)</f>
        <v>109000</v>
      </c>
      <c r="I11" s="10">
        <f>SUM(I5:I10)</f>
        <v>163000</v>
      </c>
    </row>
    <row r="12" spans="2:16" x14ac:dyDescent="0.35">
      <c r="B12" s="6" t="s">
        <v>14</v>
      </c>
      <c r="C12" s="6" t="s">
        <v>27</v>
      </c>
      <c r="F12" s="7"/>
      <c r="G12" s="9" t="s">
        <v>23</v>
      </c>
      <c r="H12" s="10">
        <f>H11/12</f>
        <v>9083.3333333333339</v>
      </c>
      <c r="I12" s="10">
        <f>I11/12</f>
        <v>13583.333333333334</v>
      </c>
    </row>
    <row r="13" spans="2:16" x14ac:dyDescent="0.35">
      <c r="B13" s="7" t="s">
        <v>11</v>
      </c>
      <c r="C13" s="16">
        <f>12500*3</f>
        <v>37500</v>
      </c>
      <c r="D13" s="18">
        <f>C13/3</f>
        <v>12500</v>
      </c>
    </row>
    <row r="14" spans="2:16" x14ac:dyDescent="0.35">
      <c r="B14" s="7" t="s">
        <v>10</v>
      </c>
      <c r="C14" s="16">
        <f>12471*3</f>
        <v>37413</v>
      </c>
      <c r="D14" s="18">
        <f>C14/3</f>
        <v>12471</v>
      </c>
    </row>
    <row r="15" spans="2:16" x14ac:dyDescent="0.35">
      <c r="B15" s="7" t="s">
        <v>9</v>
      </c>
      <c r="C15" s="16">
        <f>78804*3</f>
        <v>236412</v>
      </c>
      <c r="D15" s="18">
        <f>C15/3</f>
        <v>78804</v>
      </c>
    </row>
    <row r="16" spans="2:16" x14ac:dyDescent="0.35">
      <c r="B16" s="7" t="s">
        <v>12</v>
      </c>
      <c r="C16" s="10">
        <v>12912</v>
      </c>
    </row>
    <row r="17" spans="2:12" x14ac:dyDescent="0.35">
      <c r="B17" s="7" t="s">
        <v>13</v>
      </c>
      <c r="C17" s="10">
        <v>15935</v>
      </c>
    </row>
    <row r="18" spans="2:12" x14ac:dyDescent="0.35">
      <c r="B18" s="9" t="s">
        <v>26</v>
      </c>
      <c r="C18" s="10">
        <f>SUM(C13:C17)</f>
        <v>340172</v>
      </c>
    </row>
    <row r="19" spans="2:12" x14ac:dyDescent="0.35">
      <c r="B19" s="9" t="s">
        <v>23</v>
      </c>
      <c r="C19" s="10">
        <f>C18/12</f>
        <v>28347.666666666668</v>
      </c>
      <c r="G19" s="5"/>
    </row>
    <row r="20" spans="2:12" x14ac:dyDescent="0.35">
      <c r="G20" s="5"/>
    </row>
    <row r="21" spans="2:12" x14ac:dyDescent="0.35">
      <c r="G21" s="22"/>
      <c r="J21" s="19"/>
      <c r="L21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zoomScale="90" zoomScaleNormal="90" workbookViewId="0">
      <selection activeCell="A21" sqref="A21"/>
    </sheetView>
  </sheetViews>
  <sheetFormatPr defaultRowHeight="12" x14ac:dyDescent="0.3"/>
  <cols>
    <col min="1" max="1" width="111.26953125" style="50" bestFit="1" customWidth="1"/>
    <col min="2" max="16384" width="8.7265625" style="50"/>
  </cols>
  <sheetData>
    <row r="2" spans="1:1" ht="23" x14ac:dyDescent="0.3">
      <c r="A2" s="49" t="s">
        <v>127</v>
      </c>
    </row>
    <row r="3" spans="1:1" x14ac:dyDescent="0.3">
      <c r="A3" s="51" t="s">
        <v>28</v>
      </c>
    </row>
    <row r="4" spans="1:1" x14ac:dyDescent="0.3">
      <c r="A4" s="51" t="s">
        <v>29</v>
      </c>
    </row>
    <row r="5" spans="1:1" x14ac:dyDescent="0.3">
      <c r="A5" s="51" t="s">
        <v>30</v>
      </c>
    </row>
    <row r="6" spans="1:1" x14ac:dyDescent="0.3">
      <c r="A6" s="51" t="s">
        <v>31</v>
      </c>
    </row>
    <row r="7" spans="1:1" x14ac:dyDescent="0.3">
      <c r="A7" s="51" t="s">
        <v>32</v>
      </c>
    </row>
    <row r="8" spans="1:1" x14ac:dyDescent="0.3">
      <c r="A8" s="51" t="s">
        <v>33</v>
      </c>
    </row>
    <row r="9" spans="1:1" ht="13.5" x14ac:dyDescent="0.3">
      <c r="A9" s="49" t="s">
        <v>128</v>
      </c>
    </row>
    <row r="10" spans="1:1" x14ac:dyDescent="0.3">
      <c r="A10" s="51" t="s">
        <v>34</v>
      </c>
    </row>
    <row r="11" spans="1:1" x14ac:dyDescent="0.3">
      <c r="A11" s="49" t="s">
        <v>129</v>
      </c>
    </row>
    <row r="12" spans="1:1" x14ac:dyDescent="0.3">
      <c r="A12" s="49" t="s">
        <v>130</v>
      </c>
    </row>
    <row r="13" spans="1:1" x14ac:dyDescent="0.3">
      <c r="A13" s="49" t="s">
        <v>131</v>
      </c>
    </row>
    <row r="14" spans="1:1" x14ac:dyDescent="0.3">
      <c r="A14" s="51" t="s">
        <v>35</v>
      </c>
    </row>
    <row r="15" spans="1:1" x14ac:dyDescent="0.3">
      <c r="A15" s="49" t="s">
        <v>132</v>
      </c>
    </row>
    <row r="16" spans="1:1" x14ac:dyDescent="0.3">
      <c r="A16" s="49" t="s">
        <v>133</v>
      </c>
    </row>
    <row r="17" spans="1:1" x14ac:dyDescent="0.3">
      <c r="A17" s="51" t="s">
        <v>36</v>
      </c>
    </row>
    <row r="18" spans="1:1" ht="14" x14ac:dyDescent="0.3">
      <c r="A18" s="52" t="s">
        <v>134</v>
      </c>
    </row>
    <row r="19" spans="1:1" x14ac:dyDescent="0.3">
      <c r="A19" s="51" t="s">
        <v>37</v>
      </c>
    </row>
  </sheetData>
  <hyperlinks>
    <hyperlink ref="A3" r:id="rId1" location="process" display="https://hpsbegumpet.org.in/admissions/ - process"/>
    <hyperlink ref="A4" r:id="rId2" display="http://bvbpsjh.com/admissions/"/>
    <hyperlink ref="A5" r:id="rId3" display="http://jhpublicschool.com/index.php/admissions/admission-policy-procedure/"/>
    <hyperlink ref="A6" r:id="rId4" display="http://www.nasrschool.in/"/>
    <hyperlink ref="A7" r:id="rId5" display="http://www.airforceschoolbegumpet.edu.in/english-admission"/>
    <hyperlink ref="A8" r:id="rId6" display="http://www.amsporps.org/admissions.php"/>
    <hyperlink ref="A10" r:id="rId7" display="https://www.meridianschool.in/admissionprocedure.php"/>
    <hyperlink ref="A14" r:id="rId8" display="https://www.educationworld.in/maharishi-vidya-mandir-hyderabad/"/>
    <hyperlink ref="A17" r:id="rId9" display="http://registration.sanghamitraschool.co.in/Welcome.aspx"/>
    <hyperlink ref="A19" r:id="rId10" display="https://kvsangathan.nic.in/academic/admission-guidelines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I16" sqref="I16"/>
    </sheetView>
  </sheetViews>
  <sheetFormatPr defaultRowHeight="12" x14ac:dyDescent="0.35"/>
  <cols>
    <col min="1" max="1" width="5.6328125" style="28" bestFit="1" customWidth="1"/>
    <col min="2" max="2" width="22.7265625" style="5" bestFit="1" customWidth="1"/>
    <col min="3" max="3" width="11.81640625" style="5" bestFit="1" customWidth="1"/>
    <col min="4" max="4" width="10.1796875" style="5" bestFit="1" customWidth="1"/>
    <col min="5" max="5" width="7.7265625" style="5" bestFit="1" customWidth="1"/>
    <col min="6" max="6" width="5.453125" style="5" customWidth="1"/>
    <col min="7" max="7" width="16.54296875" style="5" bestFit="1" customWidth="1"/>
    <col min="8" max="8" width="9.36328125" style="5" bestFit="1" customWidth="1"/>
    <col min="9" max="9" width="8.1796875" style="5" bestFit="1" customWidth="1"/>
    <col min="10" max="10" width="9.36328125" style="5" bestFit="1" customWidth="1"/>
    <col min="11" max="11" width="11.1796875" style="5" bestFit="1" customWidth="1"/>
    <col min="12" max="12" width="11" style="5" bestFit="1" customWidth="1"/>
    <col min="13" max="13" width="10.26953125" style="5" bestFit="1" customWidth="1"/>
    <col min="14" max="14" width="13.26953125" style="5" bestFit="1" customWidth="1"/>
    <col min="15" max="16384" width="8.7265625" style="5"/>
  </cols>
  <sheetData>
    <row r="1" spans="1:13" x14ac:dyDescent="0.35">
      <c r="G1" s="106" t="s">
        <v>74</v>
      </c>
      <c r="H1" s="106"/>
      <c r="I1" s="106"/>
      <c r="J1" s="106"/>
      <c r="K1" s="37" t="s">
        <v>97</v>
      </c>
      <c r="L1" s="37" t="s">
        <v>98</v>
      </c>
    </row>
    <row r="2" spans="1:13" x14ac:dyDescent="0.35">
      <c r="A2" s="31" t="s">
        <v>85</v>
      </c>
      <c r="B2" s="32"/>
      <c r="C2" s="31" t="s">
        <v>79</v>
      </c>
      <c r="D2" s="31" t="s">
        <v>80</v>
      </c>
      <c r="E2" s="31" t="s">
        <v>74</v>
      </c>
      <c r="G2" s="7" t="s">
        <v>91</v>
      </c>
      <c r="H2" s="34">
        <v>1520000</v>
      </c>
      <c r="I2" s="34">
        <f>H2/12</f>
        <v>126666.66666666667</v>
      </c>
      <c r="J2" s="7"/>
      <c r="K2" s="10">
        <v>126666.66666666667</v>
      </c>
      <c r="L2" s="10"/>
    </row>
    <row r="3" spans="1:13" ht="15" x14ac:dyDescent="0.35">
      <c r="A3" s="27">
        <v>1</v>
      </c>
      <c r="B3" s="26" t="s">
        <v>72</v>
      </c>
      <c r="C3" s="29" t="s">
        <v>86</v>
      </c>
      <c r="D3" s="29" t="s">
        <v>86</v>
      </c>
      <c r="E3" s="29" t="s">
        <v>86</v>
      </c>
      <c r="G3" s="7" t="s">
        <v>92</v>
      </c>
      <c r="H3" s="34">
        <v>760000</v>
      </c>
      <c r="I3" s="34">
        <f>H3/12</f>
        <v>63333.333333333336</v>
      </c>
      <c r="J3" s="7"/>
      <c r="K3" s="10">
        <v>63333.333333333336</v>
      </c>
      <c r="L3" s="10"/>
    </row>
    <row r="4" spans="1:13" ht="15" x14ac:dyDescent="0.35">
      <c r="A4" s="27">
        <v>2</v>
      </c>
      <c r="B4" s="7" t="s">
        <v>73</v>
      </c>
      <c r="C4" s="29" t="s">
        <v>87</v>
      </c>
      <c r="D4" s="29" t="s">
        <v>86</v>
      </c>
      <c r="E4" s="29" t="s">
        <v>86</v>
      </c>
      <c r="G4" s="7" t="s">
        <v>93</v>
      </c>
      <c r="H4" s="34">
        <v>1277600</v>
      </c>
      <c r="I4" s="34">
        <f>H4/12</f>
        <v>106466.66666666667</v>
      </c>
      <c r="J4" s="7"/>
      <c r="K4" s="10">
        <v>106466.66666666667</v>
      </c>
      <c r="L4" s="10"/>
    </row>
    <row r="5" spans="1:13" ht="15.5" x14ac:dyDescent="0.35">
      <c r="A5" s="27">
        <v>3</v>
      </c>
      <c r="B5" s="7" t="s">
        <v>77</v>
      </c>
      <c r="C5" s="29" t="s">
        <v>86</v>
      </c>
      <c r="D5" s="30" t="s">
        <v>90</v>
      </c>
      <c r="E5" s="29" t="s">
        <v>86</v>
      </c>
      <c r="G5" s="7" t="s">
        <v>94</v>
      </c>
      <c r="H5" s="34">
        <v>60000</v>
      </c>
      <c r="I5" s="34">
        <f>H5/12</f>
        <v>5000</v>
      </c>
      <c r="J5" s="7"/>
      <c r="K5" s="10">
        <f>I5*0.7</f>
        <v>3500</v>
      </c>
      <c r="L5" s="10"/>
    </row>
    <row r="6" spans="1:13" ht="15" x14ac:dyDescent="0.35">
      <c r="A6" s="27">
        <v>4</v>
      </c>
      <c r="B6" s="7" t="s">
        <v>78</v>
      </c>
      <c r="C6" s="29" t="s">
        <v>86</v>
      </c>
      <c r="D6" s="29" t="s">
        <v>86</v>
      </c>
      <c r="E6" s="29" t="s">
        <v>86</v>
      </c>
      <c r="G6" s="7" t="s">
        <v>95</v>
      </c>
      <c r="H6" s="34">
        <v>182400</v>
      </c>
      <c r="I6" s="34">
        <f>H6/12</f>
        <v>15200</v>
      </c>
      <c r="J6" s="7"/>
      <c r="K6" s="10"/>
      <c r="L6" s="10"/>
    </row>
    <row r="7" spans="1:13" ht="15" x14ac:dyDescent="0.35">
      <c r="A7" s="27">
        <v>5</v>
      </c>
      <c r="B7" s="7" t="s">
        <v>82</v>
      </c>
      <c r="C7" s="29" t="s">
        <v>87</v>
      </c>
      <c r="D7" s="29" t="s">
        <v>87</v>
      </c>
      <c r="E7" s="29" t="s">
        <v>86</v>
      </c>
      <c r="G7" s="7"/>
      <c r="H7" s="7"/>
      <c r="I7" s="34">
        <f>SUM(I2:I6)</f>
        <v>316666.66666666669</v>
      </c>
      <c r="J7" s="7"/>
      <c r="K7" s="10">
        <f>SUM(K2:K6)</f>
        <v>299966.66666666669</v>
      </c>
      <c r="L7" s="10"/>
      <c r="M7" s="18"/>
    </row>
    <row r="8" spans="1:13" ht="15" x14ac:dyDescent="0.35">
      <c r="A8" s="27">
        <v>6</v>
      </c>
      <c r="B8" s="7" t="s">
        <v>88</v>
      </c>
      <c r="C8" s="29" t="s">
        <v>86</v>
      </c>
      <c r="D8" s="29" t="s">
        <v>87</v>
      </c>
      <c r="E8" s="29" t="s">
        <v>86</v>
      </c>
      <c r="G8" s="7"/>
      <c r="H8" s="7"/>
      <c r="I8" s="7"/>
      <c r="J8" s="7"/>
      <c r="K8" s="10">
        <f>K7*0.7</f>
        <v>209976.66666666666</v>
      </c>
      <c r="L8" s="10"/>
    </row>
    <row r="9" spans="1:13" ht="15" x14ac:dyDescent="0.35">
      <c r="A9" s="27">
        <v>7</v>
      </c>
      <c r="B9" s="7" t="s">
        <v>75</v>
      </c>
      <c r="C9" s="29" t="s">
        <v>87</v>
      </c>
      <c r="D9" s="29" t="s">
        <v>86</v>
      </c>
      <c r="E9" s="29" t="s">
        <v>87</v>
      </c>
      <c r="G9" s="7"/>
      <c r="H9" s="7"/>
      <c r="I9" s="7"/>
      <c r="J9" s="7"/>
      <c r="K9" s="10">
        <f>K8-125000</f>
        <v>84976.666666666657</v>
      </c>
      <c r="L9" s="38">
        <f>K9*12</f>
        <v>1019719.9999999999</v>
      </c>
      <c r="M9" s="57">
        <f>L9+K13</f>
        <v>1369720</v>
      </c>
    </row>
    <row r="10" spans="1:13" ht="15.5" x14ac:dyDescent="0.35">
      <c r="A10" s="27">
        <v>8</v>
      </c>
      <c r="B10" s="7" t="s">
        <v>76</v>
      </c>
      <c r="C10" s="29" t="s">
        <v>87</v>
      </c>
      <c r="D10" s="30" t="s">
        <v>90</v>
      </c>
      <c r="E10" s="29" t="s">
        <v>87</v>
      </c>
      <c r="G10" s="7"/>
      <c r="H10" s="10"/>
      <c r="I10" s="10"/>
      <c r="J10" s="7" t="s">
        <v>96</v>
      </c>
      <c r="K10" s="10">
        <v>68000</v>
      </c>
      <c r="L10" s="10"/>
    </row>
    <row r="11" spans="1:13" ht="15.5" x14ac:dyDescent="0.35">
      <c r="A11" s="27">
        <v>9</v>
      </c>
      <c r="B11" s="7" t="s">
        <v>89</v>
      </c>
      <c r="C11" s="29" t="s">
        <v>86</v>
      </c>
      <c r="D11" s="29" t="s">
        <v>86</v>
      </c>
      <c r="E11" s="30" t="s">
        <v>90</v>
      </c>
      <c r="G11" s="7"/>
      <c r="H11" s="35"/>
      <c r="I11" s="35"/>
      <c r="J11" s="7"/>
      <c r="K11" s="10">
        <f>K7-K10</f>
        <v>231966.66666666669</v>
      </c>
      <c r="L11" s="10"/>
      <c r="M11" s="18"/>
    </row>
    <row r="12" spans="1:13" ht="15" x14ac:dyDescent="0.35">
      <c r="A12" s="27">
        <v>10</v>
      </c>
      <c r="B12" s="7" t="s">
        <v>81</v>
      </c>
      <c r="C12" s="29" t="s">
        <v>86</v>
      </c>
      <c r="D12" s="29" t="s">
        <v>87</v>
      </c>
      <c r="E12" s="29" t="s">
        <v>86</v>
      </c>
      <c r="G12" s="7"/>
      <c r="H12" s="34"/>
      <c r="I12" s="36"/>
      <c r="J12" s="7"/>
      <c r="K12" s="10">
        <f>K11-125000</f>
        <v>106966.66666666669</v>
      </c>
      <c r="L12" s="38">
        <f>K12*12</f>
        <v>1283600.0000000002</v>
      </c>
    </row>
    <row r="13" spans="1:13" ht="15" x14ac:dyDescent="0.35">
      <c r="A13" s="27">
        <v>11</v>
      </c>
      <c r="B13" s="7" t="s">
        <v>83</v>
      </c>
      <c r="C13" s="29" t="s">
        <v>87</v>
      </c>
      <c r="D13" s="29" t="s">
        <v>87</v>
      </c>
      <c r="E13" s="29" t="s">
        <v>86</v>
      </c>
      <c r="G13" s="7"/>
      <c r="H13" s="7"/>
      <c r="I13" s="7"/>
      <c r="J13" s="7" t="s">
        <v>165</v>
      </c>
      <c r="K13" s="10">
        <f>500000*0.7</f>
        <v>350000</v>
      </c>
      <c r="L13" s="57">
        <f>K13+L12</f>
        <v>1633600.0000000002</v>
      </c>
      <c r="M13" s="18"/>
    </row>
    <row r="14" spans="1:13" ht="15" x14ac:dyDescent="0.35">
      <c r="A14" s="27">
        <v>12</v>
      </c>
      <c r="B14" s="7" t="s">
        <v>84</v>
      </c>
      <c r="C14" s="29" t="s">
        <v>87</v>
      </c>
      <c r="D14" s="29" t="s">
        <v>86</v>
      </c>
      <c r="E14" s="29" t="s">
        <v>86</v>
      </c>
      <c r="L14" s="33"/>
    </row>
    <row r="17" spans="12:12" x14ac:dyDescent="0.35">
      <c r="L17" s="18"/>
    </row>
  </sheetData>
  <sortState ref="A4:E14">
    <sortCondition ref="A3"/>
  </sortState>
  <mergeCells count="1"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90" zoomScaleNormal="90" workbookViewId="0">
      <selection activeCell="E14" sqref="E14"/>
    </sheetView>
  </sheetViews>
  <sheetFormatPr defaultColWidth="8.81640625" defaultRowHeight="14.5" x14ac:dyDescent="0.35"/>
  <cols>
    <col min="1" max="1" width="27.81640625" bestFit="1" customWidth="1"/>
    <col min="2" max="2" width="9.81640625" bestFit="1" customWidth="1"/>
    <col min="3" max="3" width="10.90625" bestFit="1" customWidth="1"/>
    <col min="4" max="4" width="17.453125" bestFit="1" customWidth="1"/>
    <col min="5" max="7" width="15.6328125" bestFit="1" customWidth="1"/>
    <col min="9" max="9" width="11.08984375" bestFit="1" customWidth="1"/>
    <col min="10" max="10" width="8.7265625" bestFit="1" customWidth="1"/>
    <col min="11" max="11" width="10" bestFit="1" customWidth="1"/>
    <col min="12" max="12" width="9.08984375" bestFit="1" customWidth="1"/>
    <col min="13" max="14" width="9.54296875" bestFit="1" customWidth="1"/>
  </cols>
  <sheetData>
    <row r="1" spans="1:12" ht="24" x14ac:dyDescent="0.35">
      <c r="A1" s="39"/>
      <c r="B1" s="40"/>
      <c r="C1" s="41"/>
      <c r="D1" s="41"/>
      <c r="E1" s="41"/>
      <c r="F1" s="41"/>
      <c r="G1" s="41"/>
      <c r="H1" s="41"/>
      <c r="I1" s="42">
        <v>8500</v>
      </c>
      <c r="J1" s="59" t="s">
        <v>123</v>
      </c>
      <c r="K1" s="60"/>
      <c r="L1" s="59" t="s">
        <v>124</v>
      </c>
    </row>
    <row r="2" spans="1:12" x14ac:dyDescent="0.35">
      <c r="A2" s="39"/>
      <c r="B2" s="40"/>
      <c r="C2" s="41"/>
      <c r="D2" s="41" t="s">
        <v>99</v>
      </c>
      <c r="E2" s="41"/>
      <c r="F2" s="41"/>
      <c r="G2" s="41"/>
      <c r="H2" s="41"/>
      <c r="I2" s="42" t="s">
        <v>100</v>
      </c>
      <c r="J2" s="42">
        <v>2600</v>
      </c>
      <c r="K2" s="42" t="s">
        <v>101</v>
      </c>
      <c r="L2" s="42">
        <v>2400</v>
      </c>
    </row>
    <row r="3" spans="1:12" x14ac:dyDescent="0.35">
      <c r="A3" s="39" t="s">
        <v>102</v>
      </c>
      <c r="B3" s="40">
        <v>125000</v>
      </c>
      <c r="C3" s="41"/>
      <c r="D3" s="43">
        <f>B3*0.1</f>
        <v>12500</v>
      </c>
      <c r="E3" s="43">
        <f>($B$3+D3)*0.1</f>
        <v>13750</v>
      </c>
      <c r="F3" s="43">
        <f>($B$3+E3)*0.1</f>
        <v>13875</v>
      </c>
      <c r="G3" s="43">
        <f>($B$3+F3)*0.1</f>
        <v>13887.5</v>
      </c>
      <c r="H3" s="41"/>
      <c r="I3" s="61" t="s">
        <v>96</v>
      </c>
      <c r="J3" s="61">
        <v>465</v>
      </c>
      <c r="K3" s="61" t="s">
        <v>96</v>
      </c>
      <c r="L3" s="61">
        <f>465+110</f>
        <v>575</v>
      </c>
    </row>
    <row r="4" spans="1:12" x14ac:dyDescent="0.35">
      <c r="A4" s="44"/>
      <c r="B4" s="45"/>
      <c r="C4" s="42" t="s">
        <v>103</v>
      </c>
      <c r="D4" s="42" t="s">
        <v>104</v>
      </c>
      <c r="E4" s="42" t="s">
        <v>105</v>
      </c>
      <c r="F4" s="42" t="s">
        <v>106</v>
      </c>
      <c r="G4" s="42" t="s">
        <v>107</v>
      </c>
      <c r="H4" s="41"/>
      <c r="I4" s="42" t="s">
        <v>108</v>
      </c>
      <c r="J4" s="58">
        <v>4000</v>
      </c>
      <c r="K4" s="42" t="s">
        <v>109</v>
      </c>
      <c r="L4" s="42">
        <v>1000</v>
      </c>
    </row>
    <row r="5" spans="1:12" x14ac:dyDescent="0.35">
      <c r="A5" s="44" t="s">
        <v>110</v>
      </c>
      <c r="B5" s="45">
        <v>125410</v>
      </c>
      <c r="C5" s="46">
        <f t="shared" ref="C5:C10" si="0">B5-$B$3</f>
        <v>410</v>
      </c>
      <c r="D5" s="46">
        <f>C5*12</f>
        <v>4920</v>
      </c>
      <c r="E5" s="46">
        <f>D5*2</f>
        <v>9840</v>
      </c>
      <c r="F5" s="46">
        <f>D5*3</f>
        <v>14760</v>
      </c>
      <c r="G5" s="46">
        <f>D5*4</f>
        <v>19680</v>
      </c>
      <c r="H5" s="41"/>
      <c r="I5" s="42" t="s">
        <v>111</v>
      </c>
      <c r="J5" s="42">
        <v>2000</v>
      </c>
      <c r="K5" s="42" t="s">
        <v>112</v>
      </c>
      <c r="L5" s="42">
        <v>900</v>
      </c>
    </row>
    <row r="6" spans="1:12" x14ac:dyDescent="0.35">
      <c r="A6" s="44" t="s">
        <v>113</v>
      </c>
      <c r="B6" s="45">
        <v>141552.49</v>
      </c>
      <c r="C6" s="46">
        <f t="shared" si="0"/>
        <v>16552.489999999991</v>
      </c>
      <c r="D6" s="47">
        <f>C6*12-D3</f>
        <v>186129.87999999989</v>
      </c>
      <c r="E6" s="47">
        <f>D6+($C$6*12-$E$3)</f>
        <v>371009.75999999978</v>
      </c>
      <c r="F6" s="47">
        <f>E6+($C$6*12-$F$3)</f>
        <v>555764.63999999966</v>
      </c>
      <c r="G6" s="47">
        <f>F6+($C$6*12-$G$3)</f>
        <v>740507.01999999955</v>
      </c>
      <c r="H6" s="41"/>
      <c r="I6" s="42" t="s">
        <v>114</v>
      </c>
      <c r="J6" s="42">
        <v>500</v>
      </c>
      <c r="K6" s="42" t="s">
        <v>167</v>
      </c>
      <c r="L6" s="42">
        <v>300</v>
      </c>
    </row>
    <row r="7" spans="1:12" x14ac:dyDescent="0.35">
      <c r="A7" s="44" t="s">
        <v>115</v>
      </c>
      <c r="B7" s="42">
        <v>120884.0333741225</v>
      </c>
      <c r="C7" s="46">
        <f t="shared" si="0"/>
        <v>-4115.966625877496</v>
      </c>
      <c r="D7" s="46"/>
      <c r="E7" s="46">
        <f>D7*2</f>
        <v>0</v>
      </c>
      <c r="F7" s="46">
        <f>D7*3</f>
        <v>0</v>
      </c>
      <c r="G7" s="46">
        <f>D7*4</f>
        <v>0</v>
      </c>
      <c r="H7" s="41"/>
      <c r="I7" s="46" t="s">
        <v>116</v>
      </c>
      <c r="J7" s="42"/>
      <c r="K7" s="42" t="s">
        <v>168</v>
      </c>
      <c r="L7" s="42">
        <v>900</v>
      </c>
    </row>
    <row r="8" spans="1:12" x14ac:dyDescent="0.35">
      <c r="A8" s="44" t="s">
        <v>117</v>
      </c>
      <c r="B8" s="42">
        <v>145675.89837412251</v>
      </c>
      <c r="C8" s="46">
        <f t="shared" si="0"/>
        <v>20675.898374122509</v>
      </c>
      <c r="D8" s="47">
        <f>C8*12-D$3</f>
        <v>235610.78048947011</v>
      </c>
      <c r="E8" s="47">
        <f>D8+($C$8*12-$E$3)</f>
        <v>469971.56097894022</v>
      </c>
      <c r="F8" s="47">
        <f>E8+($C$8*12-$F$3)</f>
        <v>704207.34146841033</v>
      </c>
      <c r="G8" s="47">
        <f>F8+($C$8*12-$G$3)</f>
        <v>938430.62195788044</v>
      </c>
      <c r="H8" s="41"/>
      <c r="I8" s="46" t="s">
        <v>166</v>
      </c>
      <c r="J8" s="42"/>
      <c r="K8" s="42"/>
      <c r="L8" s="42"/>
    </row>
    <row r="9" spans="1:12" x14ac:dyDescent="0.35">
      <c r="A9" s="99" t="s">
        <v>118</v>
      </c>
      <c r="B9" s="100">
        <v>201695.156394238</v>
      </c>
      <c r="C9" s="101">
        <f t="shared" si="0"/>
        <v>76695.156394238002</v>
      </c>
      <c r="D9" s="102">
        <f>C9*12-D$3</f>
        <v>907841.87673085602</v>
      </c>
      <c r="E9" s="102">
        <f>D9+($C$9*12-$E$3)</f>
        <v>1814433.753461712</v>
      </c>
      <c r="F9" s="102">
        <f>E9+($C$9*12-$F$3)</f>
        <v>2720900.6301925681</v>
      </c>
      <c r="G9" s="102">
        <f>F9+($C$9*12-$G$3)</f>
        <v>3627355.0069234241</v>
      </c>
      <c r="H9" s="41"/>
      <c r="I9" s="42" t="s">
        <v>119</v>
      </c>
      <c r="J9" s="42">
        <f>SUM(J2:J8)</f>
        <v>9565</v>
      </c>
      <c r="K9" s="42"/>
      <c r="L9" s="42">
        <f>SUM(L2:L8)</f>
        <v>6075</v>
      </c>
    </row>
    <row r="10" spans="1:12" x14ac:dyDescent="0.35">
      <c r="A10" s="99" t="s">
        <v>120</v>
      </c>
      <c r="B10" s="100">
        <v>226487.02139423799</v>
      </c>
      <c r="C10" s="101">
        <f t="shared" si="0"/>
        <v>101487.02139423799</v>
      </c>
      <c r="D10" s="102">
        <f>C10*12-D$3</f>
        <v>1205344.2567308559</v>
      </c>
      <c r="E10" s="102">
        <f>D10+($C$10*12-$E$3)</f>
        <v>2409438.5134617118</v>
      </c>
      <c r="F10" s="102">
        <f>E10+($C$10*12-$F$3)</f>
        <v>3613407.7701925677</v>
      </c>
      <c r="G10" s="102">
        <f>F10+($C$10*12-$G$3)</f>
        <v>4817364.5269234236</v>
      </c>
      <c r="H10" s="41"/>
      <c r="I10" s="41"/>
      <c r="J10" s="41">
        <f>8500-J9</f>
        <v>-1065</v>
      </c>
      <c r="K10" s="41"/>
      <c r="L10" s="41">
        <f>8500-L9</f>
        <v>2425</v>
      </c>
    </row>
    <row r="11" spans="1:12" x14ac:dyDescent="0.35">
      <c r="A11" s="44" t="s">
        <v>121</v>
      </c>
      <c r="B11" s="45">
        <v>8500</v>
      </c>
      <c r="C11" s="46">
        <f>B11-J9</f>
        <v>-1065</v>
      </c>
      <c r="D11" s="46">
        <f>C11*50</f>
        <v>-53250</v>
      </c>
      <c r="E11" s="46">
        <f>D11*2</f>
        <v>-106500</v>
      </c>
      <c r="F11" s="46">
        <f>D11*3</f>
        <v>-159750</v>
      </c>
      <c r="G11" s="46">
        <f>D11*4</f>
        <v>-213000</v>
      </c>
      <c r="H11" s="41"/>
      <c r="I11" s="41"/>
      <c r="J11" s="40">
        <f>(J10+J7)*52</f>
        <v>-55380</v>
      </c>
      <c r="K11" s="41"/>
      <c r="L11" s="40">
        <f>L10*52</f>
        <v>126100</v>
      </c>
    </row>
    <row r="12" spans="1:12" x14ac:dyDescent="0.35">
      <c r="A12" s="44" t="s">
        <v>122</v>
      </c>
      <c r="B12" s="45">
        <v>8500</v>
      </c>
      <c r="C12" s="46">
        <f>B12-L9</f>
        <v>2425</v>
      </c>
      <c r="D12" s="46">
        <f>C12*50*12</f>
        <v>1455000</v>
      </c>
      <c r="E12" s="46">
        <f>D12*2</f>
        <v>2910000</v>
      </c>
      <c r="F12" s="46">
        <f>D12*3</f>
        <v>4365000</v>
      </c>
      <c r="G12" s="46">
        <f>D12*4</f>
        <v>5820000</v>
      </c>
      <c r="H12" s="41"/>
      <c r="I12" s="41"/>
      <c r="J12" s="41"/>
      <c r="K12" s="41"/>
      <c r="L12" s="41"/>
    </row>
    <row r="13" spans="1:12" ht="24" x14ac:dyDescent="0.35">
      <c r="A13" s="95" t="s">
        <v>218</v>
      </c>
      <c r="B13" s="96">
        <v>134000</v>
      </c>
      <c r="C13" s="97">
        <f t="shared" ref="C13:C14" si="1">B13-$B$3</f>
        <v>9000</v>
      </c>
      <c r="D13" s="97">
        <f>C13*12-D$3</f>
        <v>95500</v>
      </c>
      <c r="E13" s="97">
        <f>D13+($C$8*12-$E$3)</f>
        <v>329860.78048947011</v>
      </c>
      <c r="F13" s="97">
        <f>E13+($C$8*12-$F$3)</f>
        <v>564096.56097894022</v>
      </c>
      <c r="G13" s="97">
        <f>F13+($C$8*12-$G$3)</f>
        <v>798319.84146841033</v>
      </c>
      <c r="H13" s="41"/>
      <c r="I13" s="62" t="s">
        <v>169</v>
      </c>
      <c r="J13" s="63" t="s">
        <v>123</v>
      </c>
      <c r="K13" s="41"/>
    </row>
    <row r="14" spans="1:12" ht="24" x14ac:dyDescent="0.35">
      <c r="A14" s="95" t="s">
        <v>219</v>
      </c>
      <c r="B14" s="96">
        <v>161766</v>
      </c>
      <c r="C14" s="97">
        <f t="shared" si="1"/>
        <v>36766</v>
      </c>
      <c r="D14" s="98">
        <f>C14*12-D$3</f>
        <v>428692</v>
      </c>
      <c r="E14" s="98">
        <f>D14+($C$8*12-$E$3)</f>
        <v>663052.78048947011</v>
      </c>
      <c r="F14" s="98">
        <f>E14+($C$8*12-$F$3)</f>
        <v>897288.56097894022</v>
      </c>
      <c r="G14" s="98">
        <f>F14+($C$8*12-$G$3)</f>
        <v>1131511.8414684103</v>
      </c>
      <c r="H14" s="41"/>
      <c r="I14" s="64" t="s">
        <v>100</v>
      </c>
      <c r="J14" s="64">
        <v>2600</v>
      </c>
      <c r="K14" s="41"/>
    </row>
    <row r="15" spans="1:12" x14ac:dyDescent="0.35">
      <c r="A15" s="39"/>
      <c r="B15" s="39"/>
      <c r="C15" s="39"/>
      <c r="D15" s="39"/>
      <c r="E15" s="39"/>
      <c r="F15" s="39"/>
      <c r="G15" s="39"/>
      <c r="I15" s="64" t="s">
        <v>96</v>
      </c>
      <c r="J15" s="64">
        <v>465</v>
      </c>
    </row>
    <row r="16" spans="1:12" x14ac:dyDescent="0.35">
      <c r="A16" s="39"/>
      <c r="B16" s="39"/>
      <c r="C16" s="39"/>
      <c r="D16" s="39"/>
      <c r="E16" s="39"/>
      <c r="F16" s="39"/>
      <c r="G16" s="39"/>
      <c r="I16" s="64" t="s">
        <v>170</v>
      </c>
      <c r="J16" s="65">
        <v>4000</v>
      </c>
    </row>
    <row r="17" spans="1:10" x14ac:dyDescent="0.35">
      <c r="A17" s="39"/>
      <c r="B17" s="39"/>
      <c r="C17" s="39"/>
      <c r="D17" s="39"/>
      <c r="E17" s="39"/>
      <c r="F17" s="39"/>
      <c r="G17" s="39"/>
      <c r="I17" s="64" t="s">
        <v>111</v>
      </c>
      <c r="J17" s="64">
        <v>2000</v>
      </c>
    </row>
    <row r="18" spans="1:10" x14ac:dyDescent="0.35">
      <c r="A18" s="39"/>
      <c r="B18" s="39"/>
      <c r="C18" s="39"/>
      <c r="D18" s="39"/>
      <c r="E18" s="39"/>
      <c r="F18" s="39"/>
      <c r="G18" s="39"/>
      <c r="I18" s="64" t="s">
        <v>114</v>
      </c>
      <c r="J18" s="64">
        <v>1000</v>
      </c>
    </row>
    <row r="19" spans="1:10" x14ac:dyDescent="0.35">
      <c r="A19" s="39"/>
      <c r="B19" s="39"/>
      <c r="C19" s="39"/>
      <c r="D19" s="39"/>
      <c r="E19" s="39"/>
      <c r="F19" s="39"/>
      <c r="G19" s="39"/>
      <c r="I19" s="64" t="s">
        <v>116</v>
      </c>
      <c r="J19" s="64">
        <v>1000</v>
      </c>
    </row>
    <row r="20" spans="1:10" x14ac:dyDescent="0.35">
      <c r="A20" s="39"/>
      <c r="B20" s="39"/>
      <c r="C20" s="39"/>
      <c r="D20" s="39"/>
      <c r="E20" s="39"/>
      <c r="F20" s="39"/>
      <c r="G20" s="39"/>
      <c r="I20" s="64" t="s">
        <v>166</v>
      </c>
      <c r="J20" s="64">
        <v>1000</v>
      </c>
    </row>
    <row r="21" spans="1:10" x14ac:dyDescent="0.35">
      <c r="A21" s="39"/>
      <c r="B21" s="39"/>
      <c r="C21" s="39"/>
      <c r="D21" s="39"/>
      <c r="E21" s="39"/>
      <c r="F21" s="39"/>
      <c r="G21" s="39"/>
      <c r="I21" s="64" t="s">
        <v>119</v>
      </c>
      <c r="J21" s="64">
        <f>SUM(J14:J20)</f>
        <v>12065</v>
      </c>
    </row>
    <row r="22" spans="1:10" x14ac:dyDescent="0.35">
      <c r="A22" s="39"/>
      <c r="B22" s="39"/>
      <c r="C22" s="39"/>
      <c r="D22" s="39"/>
      <c r="E22" s="39"/>
      <c r="F22" s="39"/>
      <c r="G22" s="39"/>
    </row>
    <row r="23" spans="1:10" x14ac:dyDescent="0.35">
      <c r="A23" s="39"/>
      <c r="B23" s="39"/>
      <c r="C23" s="39"/>
      <c r="D23" s="39"/>
      <c r="E23" s="39"/>
      <c r="F23" s="39"/>
      <c r="G23" s="3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B14" sqref="B14"/>
    </sheetView>
  </sheetViews>
  <sheetFormatPr defaultRowHeight="12" x14ac:dyDescent="0.3"/>
  <cols>
    <col min="1" max="1" width="40.54296875" style="1" bestFit="1" customWidth="1"/>
    <col min="2" max="2" width="33.453125" style="1" bestFit="1" customWidth="1"/>
    <col min="3" max="3" width="6.54296875" style="1" bestFit="1" customWidth="1"/>
    <col min="4" max="4" width="14.453125" style="1" bestFit="1" customWidth="1"/>
    <col min="5" max="5" width="34.81640625" style="50" bestFit="1" customWidth="1"/>
    <col min="6" max="6" width="25.36328125" style="1" customWidth="1"/>
    <col min="7" max="16384" width="8.7265625" style="1"/>
  </cols>
  <sheetData>
    <row r="2" spans="1:6" ht="24" x14ac:dyDescent="0.3">
      <c r="A2" s="53" t="s">
        <v>164</v>
      </c>
      <c r="B2" s="54" t="s">
        <v>135</v>
      </c>
      <c r="C2" s="54" t="s">
        <v>136</v>
      </c>
      <c r="D2" s="54" t="s">
        <v>137</v>
      </c>
      <c r="E2" s="54" t="s">
        <v>138</v>
      </c>
      <c r="F2" s="53"/>
    </row>
    <row r="3" spans="1:6" x14ac:dyDescent="0.3">
      <c r="A3" s="24" t="s">
        <v>145</v>
      </c>
      <c r="B3" s="24" t="s">
        <v>139</v>
      </c>
      <c r="C3" s="24" t="s">
        <v>140</v>
      </c>
      <c r="D3" s="24" t="s">
        <v>141</v>
      </c>
      <c r="E3" s="55" t="s">
        <v>142</v>
      </c>
      <c r="F3" s="107" t="s">
        <v>163</v>
      </c>
    </row>
    <row r="4" spans="1:6" x14ac:dyDescent="0.3">
      <c r="A4" s="24" t="s">
        <v>145</v>
      </c>
      <c r="B4" s="24" t="s">
        <v>143</v>
      </c>
      <c r="C4" s="24" t="s">
        <v>141</v>
      </c>
      <c r="D4" s="24" t="s">
        <v>141</v>
      </c>
      <c r="E4" s="55" t="s">
        <v>144</v>
      </c>
      <c r="F4" s="107"/>
    </row>
    <row r="5" spans="1:6" x14ac:dyDescent="0.3">
      <c r="A5" s="24" t="s">
        <v>146</v>
      </c>
      <c r="B5" s="24"/>
      <c r="C5" s="24"/>
      <c r="D5" s="24"/>
      <c r="E5" s="55"/>
      <c r="F5" s="107"/>
    </row>
    <row r="6" spans="1:6" x14ac:dyDescent="0.3">
      <c r="A6" s="24" t="s">
        <v>147</v>
      </c>
      <c r="B6" s="24" t="s">
        <v>148</v>
      </c>
      <c r="C6" s="24" t="s">
        <v>140</v>
      </c>
      <c r="D6" s="24" t="s">
        <v>141</v>
      </c>
      <c r="E6" s="55"/>
      <c r="F6" s="107"/>
    </row>
    <row r="7" spans="1:6" x14ac:dyDescent="0.3">
      <c r="A7" s="24" t="s">
        <v>147</v>
      </c>
      <c r="B7" s="24" t="s">
        <v>149</v>
      </c>
      <c r="C7" s="24" t="s">
        <v>140</v>
      </c>
      <c r="D7" s="24" t="s">
        <v>141</v>
      </c>
      <c r="E7" s="55"/>
      <c r="F7" s="107"/>
    </row>
    <row r="8" spans="1:6" x14ac:dyDescent="0.3">
      <c r="A8" s="24" t="s">
        <v>147</v>
      </c>
      <c r="B8" s="24" t="s">
        <v>150</v>
      </c>
      <c r="C8" s="24" t="s">
        <v>140</v>
      </c>
      <c r="D8" s="24" t="s">
        <v>141</v>
      </c>
      <c r="E8" s="55"/>
      <c r="F8" s="107"/>
    </row>
    <row r="9" spans="1:6" x14ac:dyDescent="0.3">
      <c r="A9" s="24" t="s">
        <v>151</v>
      </c>
      <c r="B9" s="24" t="s">
        <v>152</v>
      </c>
      <c r="C9" s="24" t="s">
        <v>141</v>
      </c>
      <c r="D9" s="24" t="s">
        <v>141</v>
      </c>
      <c r="E9" s="55"/>
      <c r="F9" s="107"/>
    </row>
    <row r="10" spans="1:6" x14ac:dyDescent="0.3">
      <c r="A10" s="24" t="s">
        <v>151</v>
      </c>
      <c r="B10" s="24" t="s">
        <v>153</v>
      </c>
      <c r="C10" s="24" t="s">
        <v>141</v>
      </c>
      <c r="D10" s="24" t="s">
        <v>141</v>
      </c>
      <c r="E10" s="55"/>
      <c r="F10" s="107"/>
    </row>
    <row r="11" spans="1:6" x14ac:dyDescent="0.3">
      <c r="A11" s="24" t="s">
        <v>154</v>
      </c>
      <c r="B11" s="24" t="s">
        <v>155</v>
      </c>
      <c r="C11" s="24" t="s">
        <v>141</v>
      </c>
      <c r="D11" s="24" t="s">
        <v>141</v>
      </c>
      <c r="E11" s="55"/>
      <c r="F11" s="107"/>
    </row>
    <row r="12" spans="1:6" x14ac:dyDescent="0.3">
      <c r="A12" s="24" t="s">
        <v>154</v>
      </c>
      <c r="B12" s="24" t="s">
        <v>156</v>
      </c>
      <c r="C12" s="24" t="s">
        <v>140</v>
      </c>
      <c r="D12" s="24" t="s">
        <v>141</v>
      </c>
      <c r="E12" s="55"/>
      <c r="F12" s="107"/>
    </row>
    <row r="13" spans="1:6" x14ac:dyDescent="0.3">
      <c r="A13" s="24" t="s">
        <v>154</v>
      </c>
      <c r="B13" s="24" t="s">
        <v>157</v>
      </c>
      <c r="C13" s="24" t="s">
        <v>141</v>
      </c>
      <c r="D13" s="24" t="s">
        <v>141</v>
      </c>
      <c r="E13" s="55"/>
      <c r="F13" s="107"/>
    </row>
    <row r="14" spans="1:6" ht="24" x14ac:dyDescent="0.3">
      <c r="A14" s="24" t="s">
        <v>158</v>
      </c>
      <c r="B14" s="24" t="s">
        <v>159</v>
      </c>
      <c r="C14" s="24" t="s">
        <v>140</v>
      </c>
      <c r="D14" s="24" t="s">
        <v>141</v>
      </c>
      <c r="E14" s="55" t="s">
        <v>160</v>
      </c>
      <c r="F14" s="107"/>
    </row>
    <row r="15" spans="1:6" x14ac:dyDescent="0.3">
      <c r="A15" s="55" t="s">
        <v>161</v>
      </c>
      <c r="B15" s="24"/>
      <c r="C15" s="24"/>
      <c r="D15" s="24"/>
      <c r="E15" s="55"/>
      <c r="F15" s="107"/>
    </row>
    <row r="16" spans="1:6" x14ac:dyDescent="0.3">
      <c r="A16" s="24" t="s">
        <v>162</v>
      </c>
      <c r="B16" s="24"/>
      <c r="C16" s="24"/>
      <c r="D16" s="24"/>
      <c r="E16" s="55"/>
      <c r="F16" s="107"/>
    </row>
    <row r="19" spans="2:5" x14ac:dyDescent="0.3">
      <c r="E19" s="56"/>
    </row>
    <row r="20" spans="2:5" x14ac:dyDescent="0.3">
      <c r="B20" s="1">
        <v>320000</v>
      </c>
    </row>
    <row r="21" spans="2:5" x14ac:dyDescent="0.3">
      <c r="B21" s="1">
        <f>B20-150000</f>
        <v>170000</v>
      </c>
    </row>
  </sheetData>
  <mergeCells count="1">
    <mergeCell ref="F3:F16"/>
  </mergeCells>
  <hyperlinks>
    <hyperlink ref="F3" r:id="rId1" location="PEI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Normal="100" workbookViewId="0">
      <selection activeCell="V20" sqref="V20"/>
    </sheetView>
  </sheetViews>
  <sheetFormatPr defaultColWidth="9.90625" defaultRowHeight="10.5" x14ac:dyDescent="0.35"/>
  <cols>
    <col min="1" max="1" width="5.7265625" style="74" bestFit="1" customWidth="1"/>
    <col min="2" max="2" width="9.81640625" style="78" bestFit="1" customWidth="1"/>
    <col min="3" max="3" width="15.54296875" style="74" bestFit="1" customWidth="1"/>
    <col min="4" max="4" width="3.54296875" style="74" bestFit="1" customWidth="1"/>
    <col min="5" max="5" width="9.08984375" style="74" customWidth="1"/>
    <col min="6" max="6" width="5.90625" style="74" bestFit="1" customWidth="1"/>
    <col min="7" max="7" width="3.6328125" style="74" bestFit="1" customWidth="1"/>
    <col min="8" max="8" width="8.6328125" style="74" bestFit="1" customWidth="1"/>
    <col min="9" max="9" width="3.54296875" style="74" bestFit="1" customWidth="1"/>
    <col min="10" max="10" width="8.6328125" style="74" bestFit="1" customWidth="1"/>
    <col min="11" max="11" width="5.90625" style="74" bestFit="1" customWidth="1"/>
    <col min="12" max="12" width="3.6328125" style="74" bestFit="1" customWidth="1"/>
    <col min="13" max="13" width="6.90625" style="74" bestFit="1" customWidth="1"/>
    <col min="14" max="14" width="3.54296875" style="74" bestFit="1" customWidth="1"/>
    <col min="15" max="15" width="8.6328125" style="74" bestFit="1" customWidth="1"/>
    <col min="16" max="16" width="5.90625" style="74" bestFit="1" customWidth="1"/>
    <col min="17" max="17" width="3.6328125" style="74" bestFit="1" customWidth="1"/>
    <col min="18" max="18" width="6.90625" style="74" bestFit="1" customWidth="1"/>
    <col min="19" max="19" width="3.54296875" style="74" bestFit="1" customWidth="1"/>
    <col min="20" max="20" width="5.7265625" style="74" bestFit="1" customWidth="1"/>
    <col min="21" max="23" width="8.6328125" style="74" bestFit="1" customWidth="1"/>
    <col min="24" max="24" width="11.453125" style="74" customWidth="1"/>
    <col min="25" max="16384" width="9.90625" style="74"/>
  </cols>
  <sheetData>
    <row r="1" spans="1:24" ht="34" customHeight="1" x14ac:dyDescent="0.35">
      <c r="B1" s="72" t="s">
        <v>190</v>
      </c>
      <c r="C1" s="73" t="s">
        <v>186</v>
      </c>
      <c r="D1" s="117" t="s">
        <v>52</v>
      </c>
      <c r="E1" s="117"/>
      <c r="F1" s="117"/>
      <c r="G1" s="117"/>
      <c r="H1" s="117"/>
      <c r="I1" s="118" t="s">
        <v>217</v>
      </c>
      <c r="J1" s="117"/>
      <c r="K1" s="117"/>
      <c r="L1" s="117"/>
      <c r="M1" s="117"/>
      <c r="N1" s="118" t="s">
        <v>215</v>
      </c>
      <c r="O1" s="117"/>
      <c r="P1" s="117"/>
      <c r="Q1" s="117"/>
      <c r="R1" s="117"/>
      <c r="S1" s="115" t="s">
        <v>213</v>
      </c>
      <c r="T1" s="116"/>
      <c r="U1" s="112" t="s">
        <v>195</v>
      </c>
      <c r="V1" s="113"/>
      <c r="W1" s="113"/>
      <c r="X1" s="114"/>
    </row>
    <row r="2" spans="1:24" x14ac:dyDescent="0.35">
      <c r="A2" s="74" t="s">
        <v>6</v>
      </c>
      <c r="B2" s="75" t="s">
        <v>182</v>
      </c>
      <c r="C2" s="71" t="s">
        <v>187</v>
      </c>
      <c r="D2" s="119" t="s">
        <v>196</v>
      </c>
      <c r="E2" s="120"/>
      <c r="F2" s="76" t="s">
        <v>210</v>
      </c>
      <c r="G2" s="76" t="s">
        <v>209</v>
      </c>
      <c r="H2" s="76" t="s">
        <v>185</v>
      </c>
      <c r="I2" s="119" t="s">
        <v>197</v>
      </c>
      <c r="J2" s="120"/>
      <c r="K2" s="76" t="s">
        <v>210</v>
      </c>
      <c r="L2" s="76" t="s">
        <v>209</v>
      </c>
      <c r="M2" s="76" t="s">
        <v>185</v>
      </c>
      <c r="N2" s="119" t="s">
        <v>197</v>
      </c>
      <c r="O2" s="120"/>
      <c r="P2" s="76" t="s">
        <v>210</v>
      </c>
      <c r="Q2" s="76" t="s">
        <v>209</v>
      </c>
      <c r="R2" s="76" t="s">
        <v>185</v>
      </c>
      <c r="S2" s="76" t="s">
        <v>211</v>
      </c>
      <c r="T2" s="76" t="s">
        <v>212</v>
      </c>
      <c r="U2" s="77">
        <v>46478</v>
      </c>
      <c r="V2" s="71">
        <v>2</v>
      </c>
      <c r="W2" s="110">
        <f>R8*1.07*1.07</f>
        <v>5.3955225336241499</v>
      </c>
      <c r="X2" s="111" t="s">
        <v>194</v>
      </c>
    </row>
    <row r="3" spans="1:24" x14ac:dyDescent="0.35">
      <c r="A3" s="74" t="s">
        <v>6</v>
      </c>
      <c r="B3" s="75" t="s">
        <v>183</v>
      </c>
      <c r="C3" s="71" t="s">
        <v>188</v>
      </c>
      <c r="D3" s="71">
        <v>2020</v>
      </c>
      <c r="E3" s="79">
        <v>16</v>
      </c>
      <c r="F3" s="79">
        <f>E3*0.0865</f>
        <v>1.3839999999999999</v>
      </c>
      <c r="G3" s="71">
        <v>1.8</v>
      </c>
      <c r="H3" s="71"/>
      <c r="I3" s="71">
        <v>2020</v>
      </c>
      <c r="J3" s="71">
        <v>2</v>
      </c>
      <c r="K3" s="79">
        <f>J3*0.084</f>
        <v>0.16800000000000001</v>
      </c>
      <c r="L3" s="71">
        <v>1.5</v>
      </c>
      <c r="M3" s="71"/>
      <c r="N3" s="71">
        <v>2020</v>
      </c>
      <c r="O3" s="71">
        <v>2</v>
      </c>
      <c r="P3" s="79">
        <f>O3*0.079</f>
        <v>0.158</v>
      </c>
      <c r="Q3" s="71">
        <v>3</v>
      </c>
      <c r="R3" s="71"/>
      <c r="S3" s="71">
        <v>2020</v>
      </c>
      <c r="T3" s="79">
        <v>5</v>
      </c>
      <c r="U3" s="82">
        <v>46844</v>
      </c>
      <c r="V3" s="71">
        <v>2</v>
      </c>
      <c r="W3" s="110"/>
      <c r="X3" s="111"/>
    </row>
    <row r="4" spans="1:24" x14ac:dyDescent="0.35">
      <c r="A4" s="74" t="s">
        <v>6</v>
      </c>
      <c r="B4" s="75" t="s">
        <v>184</v>
      </c>
      <c r="C4" s="71" t="s">
        <v>188</v>
      </c>
      <c r="D4" s="71">
        <v>2021</v>
      </c>
      <c r="E4" s="79">
        <f>E3+F3+G3-H3</f>
        <v>19.184000000000001</v>
      </c>
      <c r="F4" s="79">
        <f>E4*0.0865</f>
        <v>1.659416</v>
      </c>
      <c r="G4" s="71">
        <v>1.8</v>
      </c>
      <c r="H4" s="71"/>
      <c r="I4" s="71">
        <v>2021</v>
      </c>
      <c r="J4" s="79">
        <f>J3+K3+L3-M3</f>
        <v>3.6680000000000001</v>
      </c>
      <c r="K4" s="79">
        <f>J4*0.0865</f>
        <v>0.31728200000000001</v>
      </c>
      <c r="L4" s="71">
        <v>1.5</v>
      </c>
      <c r="M4" s="71"/>
      <c r="N4" s="71">
        <v>2021</v>
      </c>
      <c r="O4" s="79">
        <f>O3+P3+Q3-R3</f>
        <v>5.1579999999999995</v>
      </c>
      <c r="P4" s="79">
        <f>O4*0.079</f>
        <v>0.40748199999999996</v>
      </c>
      <c r="Q4" s="71">
        <v>3</v>
      </c>
      <c r="R4" s="71"/>
      <c r="S4" s="71">
        <v>2021</v>
      </c>
      <c r="T4" s="79">
        <f t="shared" ref="T4:T19" si="0">(T3*(1+(0.07*0.7)))+5</f>
        <v>10.244999999999999</v>
      </c>
      <c r="U4" s="82">
        <v>47209</v>
      </c>
      <c r="V4" s="71">
        <v>2</v>
      </c>
      <c r="W4" s="110"/>
      <c r="X4" s="111"/>
    </row>
    <row r="5" spans="1:24" x14ac:dyDescent="0.35">
      <c r="A5" s="74" t="s">
        <v>6</v>
      </c>
      <c r="B5" s="75" t="s">
        <v>201</v>
      </c>
      <c r="C5" s="71" t="s">
        <v>189</v>
      </c>
      <c r="D5" s="71">
        <v>2022</v>
      </c>
      <c r="E5" s="79">
        <f t="shared" ref="E5:E24" si="1">E4+F4+G4-H4</f>
        <v>22.643416000000002</v>
      </c>
      <c r="F5" s="79">
        <f t="shared" ref="F5:F24" si="2">E5*0.0865</f>
        <v>1.9586554840000001</v>
      </c>
      <c r="G5" s="71">
        <v>1.8</v>
      </c>
      <c r="H5" s="71"/>
      <c r="I5" s="71">
        <v>2022</v>
      </c>
      <c r="J5" s="79">
        <f t="shared" ref="J5:J16" si="3">J4+K4+L4-M4</f>
        <v>5.4852819999999998</v>
      </c>
      <c r="K5" s="79">
        <f t="shared" ref="K5:K15" si="4">J5*0.0865</f>
        <v>0.47447689299999996</v>
      </c>
      <c r="L5" s="71">
        <v>1.5</v>
      </c>
      <c r="M5" s="71"/>
      <c r="N5" s="71">
        <v>2022</v>
      </c>
      <c r="O5" s="79">
        <f t="shared" ref="O5:O24" si="5">O4+P4+Q4-R4</f>
        <v>8.5654819999999994</v>
      </c>
      <c r="P5" s="79">
        <f>O5*0.079</f>
        <v>0.67667307799999998</v>
      </c>
      <c r="Q5" s="71">
        <v>3</v>
      </c>
      <c r="R5" s="71"/>
      <c r="S5" s="71">
        <v>2022</v>
      </c>
      <c r="T5" s="79">
        <f t="shared" si="0"/>
        <v>15.747004999999998</v>
      </c>
      <c r="U5" s="82">
        <v>47574</v>
      </c>
      <c r="V5" s="71">
        <v>10</v>
      </c>
      <c r="W5" s="79">
        <f>H12+M13+R13</f>
        <v>39.726217262021081</v>
      </c>
      <c r="X5" s="71" t="s">
        <v>191</v>
      </c>
    </row>
    <row r="6" spans="1:24" x14ac:dyDescent="0.35">
      <c r="A6" s="74" t="s">
        <v>6</v>
      </c>
      <c r="B6" s="75" t="s">
        <v>202</v>
      </c>
      <c r="C6" s="71" t="s">
        <v>189</v>
      </c>
      <c r="D6" s="71">
        <v>2023</v>
      </c>
      <c r="E6" s="79">
        <f t="shared" si="1"/>
        <v>26.402071484000004</v>
      </c>
      <c r="F6" s="79">
        <f t="shared" si="2"/>
        <v>2.2837791833660002</v>
      </c>
      <c r="G6" s="71">
        <v>1.8</v>
      </c>
      <c r="H6" s="71"/>
      <c r="I6" s="71">
        <v>2023</v>
      </c>
      <c r="J6" s="79">
        <f t="shared" si="3"/>
        <v>7.4597588930000001</v>
      </c>
      <c r="K6" s="79">
        <f t="shared" si="4"/>
        <v>0.64526914424449999</v>
      </c>
      <c r="L6" s="71">
        <v>1.5</v>
      </c>
      <c r="M6" s="71"/>
      <c r="N6" s="71">
        <v>2023</v>
      </c>
      <c r="O6" s="79">
        <f t="shared" si="5"/>
        <v>12.242155078</v>
      </c>
      <c r="P6" s="79">
        <f t="shared" ref="P6:P24" si="6">O6*0.079</f>
        <v>0.96713025116200002</v>
      </c>
      <c r="Q6" s="71">
        <v>3</v>
      </c>
      <c r="R6" s="71"/>
      <c r="S6" s="71">
        <v>2023</v>
      </c>
      <c r="T6" s="79">
        <f t="shared" si="0"/>
        <v>21.518608244999996</v>
      </c>
      <c r="U6" s="82">
        <v>47939</v>
      </c>
      <c r="V6" s="71">
        <v>12</v>
      </c>
      <c r="W6" s="71"/>
      <c r="X6" s="71"/>
    </row>
    <row r="7" spans="1:24" x14ac:dyDescent="0.35">
      <c r="A7" s="74" t="s">
        <v>6</v>
      </c>
      <c r="B7" s="75" t="s">
        <v>203</v>
      </c>
      <c r="C7" s="71" t="s">
        <v>189</v>
      </c>
      <c r="D7" s="71">
        <v>2024</v>
      </c>
      <c r="E7" s="79">
        <f t="shared" si="1"/>
        <v>30.485850667366005</v>
      </c>
      <c r="F7" s="79">
        <f t="shared" si="2"/>
        <v>2.6370260827271594</v>
      </c>
      <c r="G7" s="71">
        <v>1.8</v>
      </c>
      <c r="H7" s="71"/>
      <c r="I7" s="71">
        <v>2024</v>
      </c>
      <c r="J7" s="79">
        <f t="shared" si="3"/>
        <v>9.6050280372444998</v>
      </c>
      <c r="K7" s="79">
        <f t="shared" si="4"/>
        <v>0.83083492522164915</v>
      </c>
      <c r="L7" s="71">
        <v>1.5</v>
      </c>
      <c r="M7" s="71"/>
      <c r="N7" s="71">
        <v>2024</v>
      </c>
      <c r="O7" s="79">
        <f t="shared" si="5"/>
        <v>16.209285329162</v>
      </c>
      <c r="P7" s="79">
        <f t="shared" si="6"/>
        <v>1.2805335410037981</v>
      </c>
      <c r="Q7" s="71">
        <v>3</v>
      </c>
      <c r="R7" s="71"/>
      <c r="S7" s="71">
        <v>2024</v>
      </c>
      <c r="T7" s="79">
        <f t="shared" si="0"/>
        <v>27.573020049004995</v>
      </c>
      <c r="U7" s="82">
        <v>48305</v>
      </c>
      <c r="V7" s="71">
        <v>12</v>
      </c>
      <c r="W7" s="71"/>
      <c r="X7" s="71"/>
    </row>
    <row r="8" spans="1:24" x14ac:dyDescent="0.35">
      <c r="A8" s="74" t="s">
        <v>6</v>
      </c>
      <c r="B8" s="75" t="s">
        <v>204</v>
      </c>
      <c r="C8" s="71" t="s">
        <v>189</v>
      </c>
      <c r="D8" s="92">
        <v>2025</v>
      </c>
      <c r="E8" s="94">
        <f t="shared" si="1"/>
        <v>34.92287675009316</v>
      </c>
      <c r="F8" s="93">
        <f t="shared" si="2"/>
        <v>3.020828838883058</v>
      </c>
      <c r="G8" s="92">
        <v>1.8</v>
      </c>
      <c r="H8" s="92"/>
      <c r="I8" s="92">
        <v>2025</v>
      </c>
      <c r="J8" s="94">
        <f t="shared" si="3"/>
        <v>11.93586296246615</v>
      </c>
      <c r="K8" s="93">
        <f t="shared" si="4"/>
        <v>1.0324521462533218</v>
      </c>
      <c r="L8" s="92">
        <v>1.5</v>
      </c>
      <c r="M8" s="92"/>
      <c r="N8" s="92">
        <v>2025</v>
      </c>
      <c r="O8" s="94">
        <f t="shared" si="5"/>
        <v>20.489818870165799</v>
      </c>
      <c r="P8" s="93">
        <f t="shared" si="6"/>
        <v>1.618695690743098</v>
      </c>
      <c r="Q8" s="92">
        <v>0.7</v>
      </c>
      <c r="R8" s="93">
        <f>O8*0.23</f>
        <v>4.7126583401381339</v>
      </c>
      <c r="S8" s="92">
        <v>2025</v>
      </c>
      <c r="T8" s="94">
        <f t="shared" si="0"/>
        <v>33.924098031406238</v>
      </c>
      <c r="U8" s="82">
        <v>48670</v>
      </c>
      <c r="V8" s="71">
        <v>12</v>
      </c>
      <c r="W8" s="79">
        <f>M16</f>
        <v>18.451149073569631</v>
      </c>
      <c r="X8" s="71" t="s">
        <v>38</v>
      </c>
    </row>
    <row r="9" spans="1:24" x14ac:dyDescent="0.35">
      <c r="B9" s="75"/>
      <c r="C9" s="71"/>
      <c r="D9" s="71">
        <v>2026</v>
      </c>
      <c r="E9" s="79">
        <f t="shared" si="1"/>
        <v>39.743705588976212</v>
      </c>
      <c r="F9" s="79">
        <f t="shared" si="2"/>
        <v>3.4378305334464421</v>
      </c>
      <c r="G9" s="71">
        <v>1.8</v>
      </c>
      <c r="H9" s="71"/>
      <c r="I9" s="71">
        <v>2026</v>
      </c>
      <c r="J9" s="79">
        <f t="shared" si="3"/>
        <v>14.468315108719471</v>
      </c>
      <c r="K9" s="79">
        <f t="shared" si="4"/>
        <v>1.2515092569042341</v>
      </c>
      <c r="L9" s="71">
        <v>0.7</v>
      </c>
      <c r="M9" s="71"/>
      <c r="N9" s="71">
        <v>2026</v>
      </c>
      <c r="O9" s="79">
        <f t="shared" si="5"/>
        <v>18.095856220770763</v>
      </c>
      <c r="P9" s="79">
        <f t="shared" si="6"/>
        <v>1.4295726414408902</v>
      </c>
      <c r="Q9" s="71">
        <v>0.7</v>
      </c>
      <c r="R9" s="71"/>
      <c r="S9" s="71">
        <v>2026</v>
      </c>
      <c r="T9" s="79">
        <f t="shared" si="0"/>
        <v>40.586378834945144</v>
      </c>
      <c r="U9" s="82">
        <v>49035</v>
      </c>
      <c r="V9" s="71">
        <v>10</v>
      </c>
      <c r="W9" s="79">
        <f>H17</f>
        <v>19.243472651723302</v>
      </c>
      <c r="X9" s="71" t="s">
        <v>192</v>
      </c>
    </row>
    <row r="10" spans="1:24" x14ac:dyDescent="0.35">
      <c r="A10" s="74" t="s">
        <v>7</v>
      </c>
      <c r="B10" s="75" t="s">
        <v>198</v>
      </c>
      <c r="C10" s="71" t="s">
        <v>187</v>
      </c>
      <c r="D10" s="71">
        <v>2027</v>
      </c>
      <c r="E10" s="79">
        <f t="shared" si="1"/>
        <v>44.981536122422654</v>
      </c>
      <c r="F10" s="79">
        <f t="shared" si="2"/>
        <v>3.8909028745895591</v>
      </c>
      <c r="G10" s="71">
        <v>1.8</v>
      </c>
      <c r="H10" s="71"/>
      <c r="I10" s="71">
        <v>2027</v>
      </c>
      <c r="J10" s="79">
        <f t="shared" si="3"/>
        <v>16.419824365623704</v>
      </c>
      <c r="K10" s="79">
        <f t="shared" si="4"/>
        <v>1.4203148076264502</v>
      </c>
      <c r="L10" s="71">
        <v>0.7</v>
      </c>
      <c r="M10" s="71"/>
      <c r="N10" s="71">
        <v>2027</v>
      </c>
      <c r="O10" s="79">
        <f t="shared" si="5"/>
        <v>20.225428862211654</v>
      </c>
      <c r="P10" s="79">
        <f t="shared" si="6"/>
        <v>1.5978088801147208</v>
      </c>
      <c r="Q10" s="71">
        <v>0.7</v>
      </c>
      <c r="R10" s="71"/>
      <c r="S10" s="71">
        <v>2027</v>
      </c>
      <c r="T10" s="79">
        <f t="shared" si="0"/>
        <v>47.575111397857455</v>
      </c>
      <c r="U10" s="82">
        <v>49400</v>
      </c>
      <c r="V10" s="71">
        <v>10</v>
      </c>
      <c r="W10" s="79">
        <f>R18</f>
        <v>15.383813324640332</v>
      </c>
      <c r="X10" s="71" t="s">
        <v>193</v>
      </c>
    </row>
    <row r="11" spans="1:24" x14ac:dyDescent="0.35">
      <c r="A11" s="74" t="s">
        <v>7</v>
      </c>
      <c r="B11" s="75" t="s">
        <v>199</v>
      </c>
      <c r="C11" s="71" t="s">
        <v>188</v>
      </c>
      <c r="D11" s="71">
        <v>2028</v>
      </c>
      <c r="E11" s="79">
        <f t="shared" si="1"/>
        <v>50.672438997012208</v>
      </c>
      <c r="F11" s="79">
        <f t="shared" si="2"/>
        <v>4.3831659732415558</v>
      </c>
      <c r="G11" s="71">
        <v>1.8</v>
      </c>
      <c r="H11" s="71"/>
      <c r="I11" s="71">
        <v>2028</v>
      </c>
      <c r="J11" s="79">
        <f t="shared" si="3"/>
        <v>18.540139173250154</v>
      </c>
      <c r="K11" s="79">
        <f t="shared" si="4"/>
        <v>1.6037220384861381</v>
      </c>
      <c r="L11" s="71">
        <v>0.7</v>
      </c>
      <c r="M11" s="71"/>
      <c r="N11" s="71">
        <v>2028</v>
      </c>
      <c r="O11" s="79">
        <f t="shared" si="5"/>
        <v>22.523237742326373</v>
      </c>
      <c r="P11" s="79">
        <f t="shared" si="6"/>
        <v>1.7793357816437834</v>
      </c>
      <c r="Q11" s="71">
        <v>0.7</v>
      </c>
      <c r="R11" s="71"/>
      <c r="S11" s="71">
        <v>2028</v>
      </c>
      <c r="T11" s="79">
        <f t="shared" si="0"/>
        <v>54.906291856352468</v>
      </c>
      <c r="U11" s="82">
        <v>49766</v>
      </c>
      <c r="V11" s="71">
        <v>10</v>
      </c>
      <c r="W11" s="71"/>
      <c r="X11" s="71"/>
    </row>
    <row r="12" spans="1:24" x14ac:dyDescent="0.35">
      <c r="A12" s="74" t="s">
        <v>7</v>
      </c>
      <c r="B12" s="75" t="s">
        <v>200</v>
      </c>
      <c r="C12" s="71" t="s">
        <v>188</v>
      </c>
      <c r="D12" s="73">
        <v>2029</v>
      </c>
      <c r="E12" s="79">
        <f t="shared" si="1"/>
        <v>56.855604970253758</v>
      </c>
      <c r="F12" s="79">
        <f t="shared" si="2"/>
        <v>4.9180098299269499</v>
      </c>
      <c r="G12" s="71">
        <v>1.8</v>
      </c>
      <c r="H12" s="80">
        <f>E12*0.25</f>
        <v>14.213901242563439</v>
      </c>
      <c r="I12" s="71">
        <v>2029</v>
      </c>
      <c r="J12" s="79">
        <f t="shared" si="3"/>
        <v>20.843861211736293</v>
      </c>
      <c r="K12" s="79">
        <f t="shared" si="4"/>
        <v>1.8029939948151892</v>
      </c>
      <c r="L12" s="71">
        <v>0.7</v>
      </c>
      <c r="M12" s="71"/>
      <c r="N12" s="71">
        <v>2029</v>
      </c>
      <c r="O12" s="79">
        <f t="shared" si="5"/>
        <v>25.002573523970156</v>
      </c>
      <c r="P12" s="79">
        <f t="shared" si="6"/>
        <v>1.9752033083936424</v>
      </c>
      <c r="Q12" s="71">
        <v>0.7</v>
      </c>
      <c r="R12" s="71"/>
      <c r="S12" s="71">
        <v>2029</v>
      </c>
      <c r="T12" s="79">
        <f t="shared" si="0"/>
        <v>62.596700157313734</v>
      </c>
      <c r="U12" s="82">
        <v>50131</v>
      </c>
      <c r="V12" s="71">
        <v>10</v>
      </c>
      <c r="W12" s="71"/>
      <c r="X12" s="71"/>
    </row>
    <row r="13" spans="1:24" x14ac:dyDescent="0.35">
      <c r="A13" s="74" t="s">
        <v>7</v>
      </c>
      <c r="B13" s="75" t="s">
        <v>205</v>
      </c>
      <c r="C13" s="71" t="s">
        <v>189</v>
      </c>
      <c r="D13" s="71">
        <v>2030</v>
      </c>
      <c r="E13" s="79">
        <f t="shared" si="1"/>
        <v>49.359713557617269</v>
      </c>
      <c r="F13" s="79">
        <f t="shared" si="2"/>
        <v>4.2696152227338935</v>
      </c>
      <c r="G13" s="71">
        <v>1.8</v>
      </c>
      <c r="H13" s="71"/>
      <c r="I13" s="73">
        <v>2030</v>
      </c>
      <c r="J13" s="79">
        <f t="shared" si="3"/>
        <v>23.346855206551481</v>
      </c>
      <c r="K13" s="79">
        <f t="shared" si="4"/>
        <v>2.0195029753667031</v>
      </c>
      <c r="L13" s="71">
        <v>0.7</v>
      </c>
      <c r="M13" s="80">
        <f>J13*0.5</f>
        <v>11.673427603275741</v>
      </c>
      <c r="N13" s="71">
        <v>2030</v>
      </c>
      <c r="O13" s="79">
        <f t="shared" si="5"/>
        <v>27.677776832363797</v>
      </c>
      <c r="P13" s="79">
        <f t="shared" si="6"/>
        <v>2.1865443697567399</v>
      </c>
      <c r="Q13" s="71">
        <v>0.7</v>
      </c>
      <c r="R13" s="80">
        <f>O13*0.5</f>
        <v>13.838888416181899</v>
      </c>
      <c r="S13" s="71">
        <v>2030</v>
      </c>
      <c r="T13" s="79">
        <f t="shared" si="0"/>
        <v>70.663938465022099</v>
      </c>
      <c r="U13" s="83"/>
      <c r="V13" s="71">
        <f>SUM(V2:V12)</f>
        <v>92</v>
      </c>
      <c r="W13" s="71">
        <f>SUM(W2:W12)</f>
        <v>98.200174845578488</v>
      </c>
      <c r="X13" s="71"/>
    </row>
    <row r="14" spans="1:24" x14ac:dyDescent="0.35">
      <c r="A14" s="74" t="s">
        <v>7</v>
      </c>
      <c r="B14" s="75" t="s">
        <v>206</v>
      </c>
      <c r="C14" s="71" t="s">
        <v>189</v>
      </c>
      <c r="D14" s="71">
        <v>2031</v>
      </c>
      <c r="E14" s="79">
        <f t="shared" si="1"/>
        <v>55.429328780351156</v>
      </c>
      <c r="F14" s="79">
        <f t="shared" si="2"/>
        <v>4.794636939500375</v>
      </c>
      <c r="G14" s="71">
        <v>1.8</v>
      </c>
      <c r="H14" s="71"/>
      <c r="I14" s="71">
        <v>2031</v>
      </c>
      <c r="J14" s="79">
        <f t="shared" si="3"/>
        <v>14.392930578642442</v>
      </c>
      <c r="K14" s="79">
        <f t="shared" si="4"/>
        <v>1.2449884950525711</v>
      </c>
      <c r="L14" s="71">
        <v>0.7</v>
      </c>
      <c r="M14" s="71"/>
      <c r="N14" s="71">
        <v>2031</v>
      </c>
      <c r="O14" s="79">
        <f t="shared" si="5"/>
        <v>16.725432785938636</v>
      </c>
      <c r="P14" s="79">
        <f t="shared" si="6"/>
        <v>1.3213091900891523</v>
      </c>
      <c r="Q14" s="71">
        <v>0.7</v>
      </c>
      <c r="R14" s="71"/>
      <c r="S14" s="71">
        <v>2031</v>
      </c>
      <c r="T14" s="79">
        <f t="shared" si="0"/>
        <v>79.126471449808179</v>
      </c>
    </row>
    <row r="15" spans="1:24" x14ac:dyDescent="0.35">
      <c r="A15" s="74" t="s">
        <v>7</v>
      </c>
      <c r="B15" s="75" t="s">
        <v>207</v>
      </c>
      <c r="C15" s="71" t="s">
        <v>189</v>
      </c>
      <c r="D15" s="71">
        <v>2032</v>
      </c>
      <c r="E15" s="79">
        <f t="shared" si="1"/>
        <v>62.023965719851532</v>
      </c>
      <c r="F15" s="79">
        <f t="shared" si="2"/>
        <v>5.3650730347671569</v>
      </c>
      <c r="G15" s="71">
        <v>1.8</v>
      </c>
      <c r="H15" s="71"/>
      <c r="I15" s="71">
        <v>2032</v>
      </c>
      <c r="J15" s="79">
        <f t="shared" si="3"/>
        <v>16.337919073695012</v>
      </c>
      <c r="K15" s="79">
        <f t="shared" si="4"/>
        <v>1.4132299998746185</v>
      </c>
      <c r="L15" s="71">
        <v>0.7</v>
      </c>
      <c r="M15" s="71"/>
      <c r="N15" s="71">
        <v>2032</v>
      </c>
      <c r="O15" s="79">
        <f t="shared" si="5"/>
        <v>18.746741976027788</v>
      </c>
      <c r="P15" s="79">
        <f t="shared" si="6"/>
        <v>1.4809926161061953</v>
      </c>
      <c r="Q15" s="71">
        <v>0.7</v>
      </c>
      <c r="R15" s="71"/>
      <c r="S15" s="71">
        <v>2032</v>
      </c>
      <c r="T15" s="79">
        <f t="shared" si="0"/>
        <v>88.003668550848772</v>
      </c>
    </row>
    <row r="16" spans="1:24" x14ac:dyDescent="0.35">
      <c r="A16" s="74" t="s">
        <v>7</v>
      </c>
      <c r="B16" s="75" t="s">
        <v>208</v>
      </c>
      <c r="C16" s="71" t="s">
        <v>189</v>
      </c>
      <c r="D16" s="71">
        <v>2033</v>
      </c>
      <c r="E16" s="79">
        <f t="shared" si="1"/>
        <v>69.189038754618693</v>
      </c>
      <c r="F16" s="79">
        <f t="shared" si="2"/>
        <v>5.9848518522745167</v>
      </c>
      <c r="G16" s="71">
        <v>1.8</v>
      </c>
      <c r="H16" s="71"/>
      <c r="I16" s="73">
        <v>2033</v>
      </c>
      <c r="J16" s="79">
        <f t="shared" si="3"/>
        <v>18.451149073569631</v>
      </c>
      <c r="K16" s="79"/>
      <c r="L16" s="71"/>
      <c r="M16" s="80">
        <f>J16</f>
        <v>18.451149073569631</v>
      </c>
      <c r="N16" s="71">
        <v>2033</v>
      </c>
      <c r="O16" s="79">
        <f t="shared" si="5"/>
        <v>20.927734592133984</v>
      </c>
      <c r="P16" s="79">
        <f t="shared" si="6"/>
        <v>1.6532910327785848</v>
      </c>
      <c r="Q16" s="71">
        <v>1.3</v>
      </c>
      <c r="R16" s="71"/>
      <c r="S16" s="71">
        <v>2033</v>
      </c>
      <c r="T16" s="79">
        <f t="shared" si="0"/>
        <v>97.315848309840362</v>
      </c>
    </row>
    <row r="17" spans="1:23" x14ac:dyDescent="0.35">
      <c r="D17" s="71">
        <v>2034</v>
      </c>
      <c r="E17" s="79">
        <f t="shared" si="1"/>
        <v>76.973890606893207</v>
      </c>
      <c r="F17" s="79">
        <f t="shared" si="2"/>
        <v>6.658241537496262</v>
      </c>
      <c r="G17" s="71">
        <v>1.8</v>
      </c>
      <c r="H17" s="80">
        <f>E17*0.25</f>
        <v>19.243472651723302</v>
      </c>
      <c r="I17" s="71"/>
      <c r="J17" s="71"/>
      <c r="K17" s="71"/>
      <c r="L17" s="71"/>
      <c r="M17" s="71"/>
      <c r="N17" s="71">
        <v>2034</v>
      </c>
      <c r="O17" s="79">
        <f t="shared" si="5"/>
        <v>23.881025624912571</v>
      </c>
      <c r="P17" s="79">
        <f t="shared" si="6"/>
        <v>1.8866010243680931</v>
      </c>
      <c r="Q17" s="71">
        <v>5</v>
      </c>
      <c r="R17" s="71"/>
      <c r="S17" s="71">
        <v>2034</v>
      </c>
      <c r="T17" s="79">
        <f t="shared" si="0"/>
        <v>107.08432487702254</v>
      </c>
      <c r="V17" s="103"/>
    </row>
    <row r="18" spans="1:23" x14ac:dyDescent="0.35">
      <c r="A18" s="108" t="s">
        <v>214</v>
      </c>
      <c r="B18" s="108"/>
      <c r="C18" s="109"/>
      <c r="D18" s="71">
        <v>2035</v>
      </c>
      <c r="E18" s="79">
        <f t="shared" si="1"/>
        <v>66.188659492666176</v>
      </c>
      <c r="F18" s="79">
        <f t="shared" si="2"/>
        <v>5.725319046115624</v>
      </c>
      <c r="G18" s="71">
        <v>1.8</v>
      </c>
      <c r="H18" s="71"/>
      <c r="I18" s="71"/>
      <c r="J18" s="71"/>
      <c r="K18" s="71"/>
      <c r="L18" s="71"/>
      <c r="M18" s="71"/>
      <c r="N18" s="71">
        <v>2035</v>
      </c>
      <c r="O18" s="79">
        <f t="shared" si="5"/>
        <v>30.767626649280665</v>
      </c>
      <c r="P18" s="79">
        <f t="shared" si="6"/>
        <v>2.4306425052931724</v>
      </c>
      <c r="Q18" s="71">
        <v>5</v>
      </c>
      <c r="R18" s="80">
        <f>O18*0.5</f>
        <v>15.383813324640332</v>
      </c>
      <c r="S18" s="71">
        <v>2035</v>
      </c>
      <c r="T18" s="79">
        <f t="shared" si="0"/>
        <v>117.33145679599663</v>
      </c>
      <c r="W18" s="103"/>
    </row>
    <row r="19" spans="1:23" x14ac:dyDescent="0.35">
      <c r="A19" s="108"/>
      <c r="B19" s="108"/>
      <c r="C19" s="109"/>
      <c r="D19" s="71">
        <v>2036</v>
      </c>
      <c r="E19" s="79">
        <f t="shared" si="1"/>
        <v>73.713978538781802</v>
      </c>
      <c r="F19" s="79">
        <f t="shared" si="2"/>
        <v>6.3762591436046252</v>
      </c>
      <c r="G19" s="71">
        <v>1.8</v>
      </c>
      <c r="H19" s="71"/>
      <c r="I19" s="71"/>
      <c r="J19" s="71"/>
      <c r="K19" s="71"/>
      <c r="L19" s="71"/>
      <c r="M19" s="71"/>
      <c r="N19" s="71">
        <v>2036</v>
      </c>
      <c r="O19" s="79">
        <f t="shared" si="5"/>
        <v>22.814455829933504</v>
      </c>
      <c r="P19" s="79">
        <f t="shared" si="6"/>
        <v>1.8023420105647467</v>
      </c>
      <c r="Q19" s="71">
        <v>5</v>
      </c>
      <c r="R19" s="71"/>
      <c r="S19" s="71">
        <v>2036</v>
      </c>
      <c r="T19" s="79">
        <f t="shared" si="0"/>
        <v>128.08069817900045</v>
      </c>
      <c r="U19" s="81"/>
      <c r="V19" s="104"/>
      <c r="W19" s="103"/>
    </row>
    <row r="20" spans="1:23" x14ac:dyDescent="0.35">
      <c r="A20" s="108"/>
      <c r="B20" s="108"/>
      <c r="C20" s="109"/>
      <c r="D20" s="84">
        <v>2037</v>
      </c>
      <c r="E20" s="85">
        <f t="shared" si="1"/>
        <v>81.890237682386427</v>
      </c>
      <c r="F20" s="85">
        <f t="shared" si="2"/>
        <v>7.0835055595264258</v>
      </c>
      <c r="G20" s="84">
        <v>1.8</v>
      </c>
      <c r="H20" s="84"/>
      <c r="I20" s="84"/>
      <c r="J20" s="84"/>
      <c r="K20" s="84"/>
      <c r="L20" s="84"/>
      <c r="M20" s="84"/>
      <c r="N20" s="84">
        <v>2037</v>
      </c>
      <c r="O20" s="85">
        <f t="shared" si="5"/>
        <v>29.616797840498251</v>
      </c>
      <c r="P20" s="85">
        <f t="shared" si="6"/>
        <v>2.3397270293993619</v>
      </c>
      <c r="Q20" s="84">
        <v>5</v>
      </c>
      <c r="R20" s="84"/>
      <c r="S20" s="84"/>
      <c r="T20" s="84"/>
      <c r="W20" s="103"/>
    </row>
    <row r="21" spans="1:23" x14ac:dyDescent="0.35">
      <c r="A21" s="108"/>
      <c r="B21" s="108"/>
      <c r="C21" s="109"/>
      <c r="D21" s="71">
        <v>2038</v>
      </c>
      <c r="E21" s="79">
        <f t="shared" si="1"/>
        <v>90.773743241912854</v>
      </c>
      <c r="F21" s="79">
        <f t="shared" si="2"/>
        <v>7.8519287904254611</v>
      </c>
      <c r="G21" s="71">
        <v>1.8</v>
      </c>
      <c r="H21" s="71"/>
      <c r="I21" s="71"/>
      <c r="J21" s="71"/>
      <c r="K21" s="71"/>
      <c r="L21" s="71"/>
      <c r="M21" s="71"/>
      <c r="N21" s="71">
        <v>2038</v>
      </c>
      <c r="O21" s="79">
        <f t="shared" si="5"/>
        <v>36.956524869897613</v>
      </c>
      <c r="P21" s="79">
        <f t="shared" si="6"/>
        <v>2.9195654647219116</v>
      </c>
      <c r="Q21" s="71">
        <v>5</v>
      </c>
      <c r="R21" s="71"/>
      <c r="S21" s="71"/>
      <c r="T21" s="71"/>
      <c r="W21" s="103"/>
    </row>
    <row r="22" spans="1:23" x14ac:dyDescent="0.35">
      <c r="A22" s="108"/>
      <c r="B22" s="108"/>
      <c r="C22" s="109"/>
      <c r="D22" s="71">
        <v>2039</v>
      </c>
      <c r="E22" s="79">
        <f t="shared" si="1"/>
        <v>100.42567203233831</v>
      </c>
      <c r="F22" s="79">
        <f t="shared" si="2"/>
        <v>8.6868206307972642</v>
      </c>
      <c r="G22" s="71">
        <v>1.8</v>
      </c>
      <c r="H22" s="71"/>
      <c r="I22" s="71"/>
      <c r="J22" s="71"/>
      <c r="K22" s="71"/>
      <c r="L22" s="71"/>
      <c r="M22" s="71"/>
      <c r="N22" s="71">
        <v>2039</v>
      </c>
      <c r="O22" s="79">
        <f t="shared" si="5"/>
        <v>44.876090334619526</v>
      </c>
      <c r="P22" s="79">
        <f t="shared" si="6"/>
        <v>3.5452111364349426</v>
      </c>
      <c r="Q22" s="71">
        <v>5</v>
      </c>
      <c r="R22" s="71"/>
      <c r="S22" s="71"/>
      <c r="T22" s="71"/>
      <c r="W22" s="103"/>
    </row>
    <row r="23" spans="1:23" x14ac:dyDescent="0.35">
      <c r="A23" s="108"/>
      <c r="B23" s="108"/>
      <c r="C23" s="109"/>
      <c r="D23" s="71">
        <v>2040</v>
      </c>
      <c r="E23" s="79">
        <f t="shared" si="1"/>
        <v>110.91249266313558</v>
      </c>
      <c r="F23" s="79">
        <f t="shared" si="2"/>
        <v>9.5939306153612272</v>
      </c>
      <c r="G23" s="71">
        <v>1.8</v>
      </c>
      <c r="H23" s="71"/>
      <c r="I23" s="71"/>
      <c r="J23" s="71"/>
      <c r="K23" s="71"/>
      <c r="L23" s="71"/>
      <c r="M23" s="71"/>
      <c r="N23" s="71">
        <v>2040</v>
      </c>
      <c r="O23" s="79">
        <f t="shared" si="5"/>
        <v>53.42130147105447</v>
      </c>
      <c r="P23" s="79">
        <f t="shared" si="6"/>
        <v>4.2202828162133033</v>
      </c>
      <c r="Q23" s="71">
        <v>5</v>
      </c>
      <c r="R23" s="71"/>
      <c r="S23" s="71"/>
      <c r="T23" s="71"/>
      <c r="W23" s="103"/>
    </row>
    <row r="24" spans="1:23" x14ac:dyDescent="0.35">
      <c r="A24" s="108"/>
      <c r="B24" s="108"/>
      <c r="C24" s="109"/>
      <c r="D24" s="71">
        <v>2041</v>
      </c>
      <c r="E24" s="79">
        <f t="shared" si="1"/>
        <v>122.30642327849681</v>
      </c>
      <c r="F24" s="79">
        <f t="shared" si="2"/>
        <v>10.579505613589973</v>
      </c>
      <c r="G24" s="71">
        <v>1.8</v>
      </c>
      <c r="H24" s="71"/>
      <c r="I24" s="71"/>
      <c r="J24" s="71"/>
      <c r="K24" s="71"/>
      <c r="L24" s="71"/>
      <c r="M24" s="71"/>
      <c r="N24" s="71">
        <v>2041</v>
      </c>
      <c r="O24" s="79">
        <f t="shared" si="5"/>
        <v>62.641584287267776</v>
      </c>
      <c r="P24" s="79">
        <f t="shared" si="6"/>
        <v>4.948685158694154</v>
      </c>
      <c r="Q24" s="71">
        <v>5</v>
      </c>
      <c r="R24" s="71"/>
      <c r="S24" s="71"/>
      <c r="T24" s="71"/>
    </row>
  </sheetData>
  <mergeCells count="11">
    <mergeCell ref="A18:C24"/>
    <mergeCell ref="W2:W4"/>
    <mergeCell ref="X2:X4"/>
    <mergeCell ref="U1:X1"/>
    <mergeCell ref="S1:T1"/>
    <mergeCell ref="D1:H1"/>
    <mergeCell ref="I1:M1"/>
    <mergeCell ref="N1:R1"/>
    <mergeCell ref="D2:E2"/>
    <mergeCell ref="I2:J2"/>
    <mergeCell ref="N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MonthlyExpense</vt:lpstr>
      <vt:lpstr>TotalInvestment</vt:lpstr>
      <vt:lpstr>SchoolFeeComparison</vt:lpstr>
      <vt:lpstr>Kid_School</vt:lpstr>
      <vt:lpstr>JOBComparison</vt:lpstr>
      <vt:lpstr>SalaryComparison</vt:lpstr>
      <vt:lpstr>CanadaPR</vt:lpstr>
      <vt:lpstr>WithdrawalPlan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Ravi Kant</dc:creator>
  <cp:lastModifiedBy>Mishra, Ravi Kant</cp:lastModifiedBy>
  <dcterms:created xsi:type="dcterms:W3CDTF">2019-09-30T07:29:46Z</dcterms:created>
  <dcterms:modified xsi:type="dcterms:W3CDTF">2019-12-05T14:43:46Z</dcterms:modified>
</cp:coreProperties>
</file>