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5480" windowHeight="8130"/>
  </bookViews>
  <sheets>
    <sheet name="CTIS" sheetId="20" r:id="rId1"/>
    <sheet name="CTMA" sheetId="25" r:id="rId2"/>
    <sheet name="DS" sheetId="24" r:id="rId3"/>
    <sheet name="IOT" sheetId="22" r:id="rId4"/>
    <sheet name="AI" sheetId="21" r:id="rId5"/>
    <sheet name="SE" sheetId="12" r:id="rId6"/>
    <sheet name="Statestics" sheetId="30" r:id="rId7"/>
  </sheets>
  <calcPr calcId="145621"/>
</workbook>
</file>

<file path=xl/calcChain.xml><?xml version="1.0" encoding="utf-8"?>
<calcChain xmlns="http://schemas.openxmlformats.org/spreadsheetml/2006/main">
  <c r="F8" i="30" l="1"/>
  <c r="F7" i="30"/>
  <c r="F6" i="30"/>
  <c r="F5" i="30"/>
  <c r="F4" i="30"/>
  <c r="F3" i="30"/>
  <c r="AK11" i="24"/>
  <c r="AB11" i="24"/>
  <c r="AD11" i="24" s="1"/>
  <c r="AA11" i="24"/>
  <c r="F9" i="30" l="1"/>
  <c r="AK60" i="20"/>
  <c r="AB36" i="12"/>
  <c r="AD36" i="12" s="1"/>
  <c r="Y36" i="12"/>
  <c r="AA36" i="12" s="1"/>
  <c r="AK56" i="22" l="1"/>
  <c r="AB56" i="22"/>
  <c r="AD56" i="22" s="1"/>
  <c r="AA56" i="22"/>
  <c r="AK54" i="25"/>
  <c r="AB54" i="25"/>
  <c r="AD54" i="25" s="1"/>
  <c r="AA54" i="25"/>
  <c r="AK53" i="20" l="1"/>
  <c r="AB53" i="20"/>
  <c r="AD53" i="20" s="1"/>
  <c r="Y53" i="20"/>
  <c r="AA53" i="20" s="1"/>
  <c r="X53" i="20"/>
  <c r="AA57" i="22"/>
  <c r="AB57" i="22"/>
  <c r="AD57" i="22" s="1"/>
  <c r="AK57" i="22"/>
  <c r="Y59" i="24"/>
  <c r="AA59" i="24" s="1"/>
  <c r="AB59" i="24"/>
  <c r="AD59" i="24"/>
  <c r="AK59" i="24"/>
  <c r="Y55" i="22"/>
  <c r="AA55" i="22" s="1"/>
  <c r="AB55" i="22"/>
  <c r="AD55" i="22" s="1"/>
  <c r="AK55" i="22"/>
  <c r="AK35" i="12"/>
  <c r="AB35" i="12"/>
  <c r="AD35" i="12" s="1"/>
  <c r="Y35" i="12"/>
  <c r="AA35" i="12" s="1"/>
  <c r="AK53" i="25" l="1"/>
  <c r="AB53" i="25"/>
  <c r="AD53" i="25" s="1"/>
  <c r="AA53" i="25"/>
  <c r="AA7" i="21"/>
  <c r="AB7" i="21"/>
  <c r="AD7" i="21" s="1"/>
  <c r="AK7" i="21"/>
  <c r="AB5" i="12"/>
  <c r="AK67" i="21"/>
  <c r="AB67" i="21"/>
  <c r="AD67" i="21" s="1"/>
  <c r="Y67" i="21"/>
  <c r="AA67" i="21" s="1"/>
  <c r="X67" i="21"/>
  <c r="AK52" i="25"/>
  <c r="AB52" i="25"/>
  <c r="AD52" i="25" s="1"/>
  <c r="Y52" i="25"/>
  <c r="AA52" i="25" s="1"/>
  <c r="X52" i="25"/>
  <c r="AK58" i="24"/>
  <c r="AB58" i="24"/>
  <c r="AD58" i="24" s="1"/>
  <c r="Y58" i="24"/>
  <c r="AA58" i="24" s="1"/>
  <c r="AK54" i="22"/>
  <c r="AB54" i="22"/>
  <c r="AD54" i="22" s="1"/>
  <c r="Y54" i="22"/>
  <c r="AA54" i="22" s="1"/>
  <c r="AK53" i="22"/>
  <c r="AB53" i="22"/>
  <c r="AD53" i="22" s="1"/>
  <c r="Y53" i="22"/>
  <c r="AA53" i="22" s="1"/>
  <c r="X53" i="22"/>
  <c r="AK51" i="25"/>
  <c r="AB51" i="25"/>
  <c r="AD51" i="25" s="1"/>
  <c r="Y51" i="25"/>
  <c r="AA51" i="25" s="1"/>
  <c r="X51" i="25"/>
  <c r="AK50" i="25"/>
  <c r="AB50" i="25"/>
  <c r="AD50" i="25" s="1"/>
  <c r="Y50" i="25"/>
  <c r="AA50" i="25" s="1"/>
  <c r="X50" i="25"/>
  <c r="AK49" i="25"/>
  <c r="AB49" i="25"/>
  <c r="AD49" i="25" s="1"/>
  <c r="Y49" i="25"/>
  <c r="AA49" i="25" s="1"/>
  <c r="X49" i="25"/>
  <c r="AK48" i="25"/>
  <c r="AB48" i="25"/>
  <c r="AD48" i="25" s="1"/>
  <c r="Y48" i="25"/>
  <c r="AA48" i="25" s="1"/>
  <c r="X48" i="25"/>
  <c r="AK59" i="20"/>
  <c r="AB59" i="20"/>
  <c r="AD59" i="20" s="1"/>
  <c r="Y59" i="20"/>
  <c r="AA59" i="20" s="1"/>
  <c r="X59" i="20"/>
  <c r="AK34" i="12" l="1"/>
  <c r="AB34" i="12"/>
  <c r="AD34" i="12" s="1"/>
  <c r="AA34" i="12"/>
  <c r="AK33" i="12"/>
  <c r="AB33" i="12"/>
  <c r="AD33" i="12" s="1"/>
  <c r="Y33" i="12"/>
  <c r="AA33" i="12" s="1"/>
  <c r="AK32" i="12"/>
  <c r="AB32" i="12"/>
  <c r="AD32" i="12" s="1"/>
  <c r="Y32" i="12"/>
  <c r="AA32" i="12" s="1"/>
  <c r="AK31" i="12"/>
  <c r="AB31" i="12"/>
  <c r="AD31" i="12" s="1"/>
  <c r="Y31" i="12"/>
  <c r="AA31" i="12" s="1"/>
  <c r="AK30" i="12"/>
  <c r="AB30" i="12"/>
  <c r="AD30" i="12" s="1"/>
  <c r="Y30" i="12"/>
  <c r="AA30" i="12" s="1"/>
  <c r="X30" i="12"/>
  <c r="AK29" i="12"/>
  <c r="AB29" i="12"/>
  <c r="AD29" i="12" s="1"/>
  <c r="AA29" i="12"/>
  <c r="AK27" i="12"/>
  <c r="AB27" i="12"/>
  <c r="AD27" i="12" s="1"/>
  <c r="Y27" i="12"/>
  <c r="AA27" i="12" s="1"/>
  <c r="AK26" i="12"/>
  <c r="AB26" i="12"/>
  <c r="AD26" i="12" s="1"/>
  <c r="Y26" i="12"/>
  <c r="AA26" i="12" s="1"/>
  <c r="AK25" i="12"/>
  <c r="AB25" i="12"/>
  <c r="AD25" i="12" s="1"/>
  <c r="Y25" i="12"/>
  <c r="AA25" i="12" s="1"/>
  <c r="AK24" i="12"/>
  <c r="AB24" i="12"/>
  <c r="AD24" i="12" s="1"/>
  <c r="Y24" i="12"/>
  <c r="AA24" i="12" s="1"/>
  <c r="AK23" i="12"/>
  <c r="AB23" i="12"/>
  <c r="AD23" i="12" s="1"/>
  <c r="Y23" i="12"/>
  <c r="AA23" i="12" s="1"/>
  <c r="X23" i="12"/>
  <c r="AK22" i="12"/>
  <c r="AB22" i="12"/>
  <c r="AD22" i="12" s="1"/>
  <c r="Y22" i="12"/>
  <c r="AA22" i="12" s="1"/>
  <c r="AK21" i="12"/>
  <c r="AB21" i="12"/>
  <c r="AD21" i="12" s="1"/>
  <c r="Y21" i="12"/>
  <c r="AA21" i="12" s="1"/>
  <c r="AK20" i="12"/>
  <c r="AB20" i="12"/>
  <c r="AD20" i="12" s="1"/>
  <c r="AA20" i="12"/>
  <c r="AK19" i="12"/>
  <c r="AB19" i="12"/>
  <c r="AD19" i="12" s="1"/>
  <c r="Y19" i="12"/>
  <c r="AA19" i="12" s="1"/>
  <c r="AK18" i="12"/>
  <c r="AB18" i="12"/>
  <c r="AD18" i="12" s="1"/>
  <c r="Y18" i="12"/>
  <c r="AA18" i="12" s="1"/>
  <c r="AK17" i="12"/>
  <c r="AB17" i="12"/>
  <c r="AD17" i="12" s="1"/>
  <c r="AA17" i="12"/>
  <c r="AK16" i="12"/>
  <c r="AB16" i="12"/>
  <c r="AD16" i="12" s="1"/>
  <c r="Y16" i="12"/>
  <c r="AA16" i="12" s="1"/>
  <c r="AK15" i="12"/>
  <c r="AB15" i="12"/>
  <c r="AD15" i="12" s="1"/>
  <c r="Y15" i="12"/>
  <c r="AA15" i="12" s="1"/>
  <c r="AK14" i="12"/>
  <c r="AB14" i="12"/>
  <c r="AD14" i="12" s="1"/>
  <c r="Y14" i="12"/>
  <c r="AA14" i="12" s="1"/>
  <c r="AK13" i="12"/>
  <c r="AB13" i="12"/>
  <c r="AD13" i="12" s="1"/>
  <c r="Y13" i="12"/>
  <c r="AA13" i="12" s="1"/>
  <c r="AK12" i="12"/>
  <c r="AB12" i="12"/>
  <c r="AD12" i="12" s="1"/>
  <c r="Y12" i="12"/>
  <c r="AA12" i="12" s="1"/>
  <c r="W12" i="12"/>
  <c r="X12" i="12" s="1"/>
  <c r="AK11" i="12"/>
  <c r="AB11" i="12"/>
  <c r="AD11" i="12" s="1"/>
  <c r="AA11" i="12"/>
  <c r="AK10" i="12"/>
  <c r="AB10" i="12"/>
  <c r="AD10" i="12" s="1"/>
  <c r="AA10" i="12"/>
  <c r="AK9" i="12"/>
  <c r="AB9" i="12"/>
  <c r="AD9" i="12" s="1"/>
  <c r="Y9" i="12"/>
  <c r="AA9" i="12" s="1"/>
  <c r="AK8" i="12"/>
  <c r="AB8" i="12"/>
  <c r="AD8" i="12" s="1"/>
  <c r="Y8" i="12"/>
  <c r="AA8" i="12" s="1"/>
  <c r="AK7" i="12"/>
  <c r="AB7" i="12"/>
  <c r="AD7" i="12" s="1"/>
  <c r="AA7" i="12"/>
  <c r="AK6" i="12"/>
  <c r="AB6" i="12"/>
  <c r="AD6" i="12" s="1"/>
  <c r="AA6" i="12"/>
  <c r="AK5" i="12"/>
  <c r="AD5" i="12"/>
  <c r="Y5" i="12"/>
  <c r="AA5" i="12" s="1"/>
  <c r="AK4" i="12"/>
  <c r="AB4" i="12"/>
  <c r="AD4" i="12" s="1"/>
  <c r="Y4" i="12"/>
  <c r="AA4" i="12" s="1"/>
  <c r="AK3" i="12"/>
  <c r="AB3" i="12"/>
  <c r="AD3" i="12" s="1"/>
  <c r="AA3" i="12"/>
  <c r="AK57" i="20"/>
  <c r="AB57" i="20"/>
  <c r="AD57" i="20" s="1"/>
  <c r="Y57" i="20"/>
  <c r="AA57" i="20" s="1"/>
  <c r="X57" i="20"/>
  <c r="AK56" i="20"/>
  <c r="AB56" i="20"/>
  <c r="AD56" i="20" s="1"/>
  <c r="Y56" i="20"/>
  <c r="AA56" i="20" s="1"/>
  <c r="X56" i="20"/>
  <c r="AK55" i="20"/>
  <c r="AB55" i="20"/>
  <c r="AD55" i="20" s="1"/>
  <c r="Y55" i="20"/>
  <c r="AA55" i="20" s="1"/>
  <c r="X55" i="20"/>
  <c r="AK54" i="20"/>
  <c r="AB54" i="20"/>
  <c r="AD54" i="20" s="1"/>
  <c r="AA54" i="20"/>
  <c r="AK52" i="20"/>
  <c r="AB52" i="20"/>
  <c r="AD52" i="20" s="1"/>
  <c r="Y52" i="20"/>
  <c r="AA52" i="20" s="1"/>
  <c r="AK51" i="20"/>
  <c r="AB51" i="20"/>
  <c r="AD51" i="20" s="1"/>
  <c r="Y51" i="20"/>
  <c r="AA51" i="20" s="1"/>
  <c r="X51" i="20"/>
  <c r="AK50" i="20"/>
  <c r="AB50" i="20"/>
  <c r="AD50" i="20" s="1"/>
  <c r="Y50" i="20"/>
  <c r="AA50" i="20" s="1"/>
  <c r="AK49" i="20"/>
  <c r="AB49" i="20"/>
  <c r="AD49" i="20" s="1"/>
  <c r="Y49" i="20"/>
  <c r="AA49" i="20" s="1"/>
  <c r="AK48" i="20"/>
  <c r="AB48" i="20"/>
  <c r="AD48" i="20" s="1"/>
  <c r="Y48" i="20"/>
  <c r="AA48" i="20" s="1"/>
  <c r="AK47" i="20"/>
  <c r="AB47" i="20"/>
  <c r="AD47" i="20" s="1"/>
  <c r="Y47" i="20"/>
  <c r="AA47" i="20" s="1"/>
  <c r="AK46" i="20"/>
  <c r="AB46" i="20"/>
  <c r="AD46" i="20" s="1"/>
  <c r="Y46" i="20"/>
  <c r="AA46" i="20" s="1"/>
  <c r="AK45" i="20"/>
  <c r="AB45" i="20"/>
  <c r="AD45" i="20" s="1"/>
  <c r="Y45" i="20"/>
  <c r="AA45" i="20" s="1"/>
  <c r="AK44" i="20"/>
  <c r="AB44" i="20"/>
  <c r="AD44" i="20" s="1"/>
  <c r="Y44" i="20"/>
  <c r="AA44" i="20" s="1"/>
  <c r="AK43" i="20"/>
  <c r="AB43" i="20"/>
  <c r="AD43" i="20" s="1"/>
  <c r="Y43" i="20"/>
  <c r="AA43" i="20" s="1"/>
  <c r="AK42" i="20"/>
  <c r="AB42" i="20"/>
  <c r="AD42" i="20" s="1"/>
  <c r="Y42" i="20"/>
  <c r="AA42" i="20" s="1"/>
  <c r="W42" i="20"/>
  <c r="X42" i="20" s="1"/>
  <c r="AK41" i="20"/>
  <c r="AB41" i="20"/>
  <c r="AD41" i="20" s="1"/>
  <c r="Y41" i="20"/>
  <c r="AA41" i="20" s="1"/>
  <c r="AK40" i="20"/>
  <c r="AB40" i="20"/>
  <c r="AD40" i="20" s="1"/>
  <c r="Y40" i="20"/>
  <c r="AA40" i="20" s="1"/>
  <c r="AK39" i="20"/>
  <c r="AB39" i="20"/>
  <c r="AD39" i="20" s="1"/>
  <c r="AA39" i="20"/>
  <c r="AK38" i="20"/>
  <c r="AB38" i="20"/>
  <c r="AD38" i="20" s="1"/>
  <c r="AA38" i="20"/>
  <c r="AK37" i="20"/>
  <c r="AB37" i="20"/>
  <c r="AD37" i="20" s="1"/>
  <c r="Y37" i="20"/>
  <c r="AA37" i="20" s="1"/>
  <c r="X37" i="20"/>
  <c r="AK36" i="20"/>
  <c r="AB36" i="20"/>
  <c r="AD36" i="20" s="1"/>
  <c r="Y36" i="20"/>
  <c r="AA36" i="20" s="1"/>
  <c r="AK35" i="20"/>
  <c r="AB35" i="20"/>
  <c r="AD35" i="20" s="1"/>
  <c r="Y35" i="20"/>
  <c r="AA35" i="20" s="1"/>
  <c r="X35" i="20"/>
  <c r="AK34" i="20"/>
  <c r="AB34" i="20"/>
  <c r="AD34" i="20" s="1"/>
  <c r="Y34" i="20"/>
  <c r="AA34" i="20" s="1"/>
  <c r="X34" i="20"/>
  <c r="AK33" i="20"/>
  <c r="AB33" i="20"/>
  <c r="AD33" i="20" s="1"/>
  <c r="Y33" i="20"/>
  <c r="AA33" i="20" s="1"/>
  <c r="AK32" i="20"/>
  <c r="AB32" i="20"/>
  <c r="AD32" i="20" s="1"/>
  <c r="Y32" i="20"/>
  <c r="AA32" i="20" s="1"/>
  <c r="AK31" i="20"/>
  <c r="AB31" i="20"/>
  <c r="AD31" i="20" s="1"/>
  <c r="Y31" i="20"/>
  <c r="AA31" i="20" s="1"/>
  <c r="X31" i="20"/>
  <c r="AK30" i="20"/>
  <c r="AB30" i="20"/>
  <c r="AD30" i="20" s="1"/>
  <c r="Y30" i="20"/>
  <c r="AA30" i="20" s="1"/>
  <c r="X30" i="20"/>
  <c r="AK29" i="20"/>
  <c r="AB29" i="20"/>
  <c r="AD29" i="20" s="1"/>
  <c r="Y29" i="20"/>
  <c r="AA29" i="20" s="1"/>
  <c r="AK28" i="20"/>
  <c r="AB28" i="20"/>
  <c r="AD28" i="20" s="1"/>
  <c r="AA28" i="20"/>
  <c r="AK27" i="20"/>
  <c r="AB27" i="20"/>
  <c r="AD27" i="20" s="1"/>
  <c r="AA27" i="20"/>
  <c r="AK26" i="20"/>
  <c r="AB26" i="20"/>
  <c r="AD26" i="20" s="1"/>
  <c r="Y26" i="20"/>
  <c r="AA26" i="20" s="1"/>
  <c r="X26" i="20"/>
  <c r="AK25" i="20"/>
  <c r="AB25" i="20"/>
  <c r="AD25" i="20" s="1"/>
  <c r="Y25" i="20"/>
  <c r="AA25" i="20" s="1"/>
  <c r="X25" i="20"/>
  <c r="AK24" i="20"/>
  <c r="AB24" i="20"/>
  <c r="AD24" i="20" s="1"/>
  <c r="Y24" i="20"/>
  <c r="AA24" i="20" s="1"/>
  <c r="X24" i="20"/>
  <c r="AK23" i="20"/>
  <c r="AB23" i="20"/>
  <c r="AD23" i="20" s="1"/>
  <c r="AA23" i="20"/>
  <c r="AK22" i="20"/>
  <c r="AB22" i="20"/>
  <c r="AD22" i="20" s="1"/>
  <c r="AA22" i="20"/>
  <c r="AK21" i="20"/>
  <c r="AB21" i="20"/>
  <c r="AD21" i="20" s="1"/>
  <c r="Y21" i="20"/>
  <c r="AA21" i="20" s="1"/>
  <c r="AK20" i="20"/>
  <c r="AB20" i="20"/>
  <c r="AD20" i="20" s="1"/>
  <c r="Y20" i="20"/>
  <c r="AA20" i="20" s="1"/>
  <c r="X20" i="20"/>
  <c r="AK19" i="20"/>
  <c r="AB19" i="20"/>
  <c r="AD19" i="20" s="1"/>
  <c r="Y19" i="20"/>
  <c r="AA19" i="20" s="1"/>
  <c r="X19" i="20"/>
  <c r="AK18" i="20"/>
  <c r="AB18" i="20"/>
  <c r="AD18" i="20" s="1"/>
  <c r="Y18" i="20"/>
  <c r="AA18" i="20" s="1"/>
  <c r="X18" i="20"/>
  <c r="AK17" i="20"/>
  <c r="AB17" i="20"/>
  <c r="AD17" i="20" s="1"/>
  <c r="Y17" i="20"/>
  <c r="AA17" i="20" s="1"/>
  <c r="AK16" i="20"/>
  <c r="AB16" i="20"/>
  <c r="AD16" i="20" s="1"/>
  <c r="Y16" i="20"/>
  <c r="AA16" i="20" s="1"/>
  <c r="AK15" i="20"/>
  <c r="AB15" i="20"/>
  <c r="AD15" i="20" s="1"/>
  <c r="Y15" i="20"/>
  <c r="AA15" i="20" s="1"/>
  <c r="AK14" i="20"/>
  <c r="AB14" i="20"/>
  <c r="AD14" i="20" s="1"/>
  <c r="Y14" i="20"/>
  <c r="AA14" i="20" s="1"/>
  <c r="X14" i="20"/>
  <c r="AK13" i="20"/>
  <c r="AB13" i="20"/>
  <c r="AD13" i="20" s="1"/>
  <c r="Y13" i="20"/>
  <c r="AA13" i="20" s="1"/>
  <c r="AK12" i="20"/>
  <c r="AB12" i="20"/>
  <c r="AD12" i="20" s="1"/>
  <c r="Y12" i="20"/>
  <c r="AA12" i="20" s="1"/>
  <c r="AK11" i="20"/>
  <c r="AB11" i="20"/>
  <c r="AD11" i="20" s="1"/>
  <c r="Y11" i="20"/>
  <c r="AA11" i="20" s="1"/>
  <c r="X11" i="20"/>
  <c r="AK10" i="20"/>
  <c r="AB10" i="20"/>
  <c r="AD10" i="20" s="1"/>
  <c r="Y10" i="20"/>
  <c r="AA10" i="20" s="1"/>
  <c r="X10" i="20"/>
  <c r="AK9" i="20"/>
  <c r="AB9" i="20"/>
  <c r="AD9" i="20" s="1"/>
  <c r="Y9" i="20"/>
  <c r="AA9" i="20" s="1"/>
  <c r="X9" i="20"/>
  <c r="AK8" i="20"/>
  <c r="AB8" i="20"/>
  <c r="AD8" i="20" s="1"/>
  <c r="Y8" i="20"/>
  <c r="AA8" i="20" s="1"/>
  <c r="X8" i="20"/>
  <c r="AK7" i="20"/>
  <c r="AB7" i="20"/>
  <c r="AD7" i="20" s="1"/>
  <c r="Y7" i="20"/>
  <c r="AA7" i="20" s="1"/>
  <c r="X7" i="20"/>
  <c r="AK6" i="20"/>
  <c r="AB6" i="20"/>
  <c r="AD6" i="20" s="1"/>
  <c r="Y6" i="20"/>
  <c r="AA6" i="20" s="1"/>
  <c r="X6" i="20"/>
  <c r="AK5" i="20"/>
  <c r="AB5" i="20"/>
  <c r="AD5" i="20" s="1"/>
  <c r="Y5" i="20"/>
  <c r="AA5" i="20" s="1"/>
  <c r="X5" i="20"/>
  <c r="AK4" i="20"/>
  <c r="AB4" i="20"/>
  <c r="AD4" i="20" s="1"/>
  <c r="AA4" i="20"/>
  <c r="AK3" i="20"/>
  <c r="AB3" i="20"/>
  <c r="AD3" i="20" s="1"/>
  <c r="AA3" i="20"/>
  <c r="AB66" i="21"/>
  <c r="AD66" i="21" s="1"/>
  <c r="Z66" i="21"/>
  <c r="Y66" i="21"/>
  <c r="AB65" i="21"/>
  <c r="AD65" i="21" s="1"/>
  <c r="Y65" i="21"/>
  <c r="AA65" i="21" s="1"/>
  <c r="AK64" i="21"/>
  <c r="AB64" i="21"/>
  <c r="AD64" i="21" s="1"/>
  <c r="Y64" i="21"/>
  <c r="AA64" i="21" s="1"/>
  <c r="AK63" i="21"/>
  <c r="AB63" i="21"/>
  <c r="AD63" i="21" s="1"/>
  <c r="Y63" i="21"/>
  <c r="AA63" i="21" s="1"/>
  <c r="AK62" i="21"/>
  <c r="AB62" i="21"/>
  <c r="AD62" i="21" s="1"/>
  <c r="AA62" i="21"/>
  <c r="AK61" i="21"/>
  <c r="AB61" i="21"/>
  <c r="AD61" i="21" s="1"/>
  <c r="Y61" i="21"/>
  <c r="AA61" i="21" s="1"/>
  <c r="X61" i="21"/>
  <c r="AK60" i="21"/>
  <c r="AB60" i="21"/>
  <c r="AD60" i="21" s="1"/>
  <c r="Y60" i="21"/>
  <c r="AA60" i="21" s="1"/>
  <c r="X60" i="21"/>
  <c r="AK59" i="21"/>
  <c r="AB59" i="21"/>
  <c r="AD59" i="21" s="1"/>
  <c r="Y59" i="21"/>
  <c r="AA59" i="21" s="1"/>
  <c r="X59" i="21"/>
  <c r="AK58" i="21"/>
  <c r="AB58" i="21"/>
  <c r="AD58" i="21" s="1"/>
  <c r="Y58" i="21"/>
  <c r="AA58" i="21" s="1"/>
  <c r="X58" i="21"/>
  <c r="AK57" i="21"/>
  <c r="AB57" i="21"/>
  <c r="AD57" i="21" s="1"/>
  <c r="Y57" i="21"/>
  <c r="AA57" i="21" s="1"/>
  <c r="AK56" i="21"/>
  <c r="AB56" i="21"/>
  <c r="AD56" i="21" s="1"/>
  <c r="Y56" i="21"/>
  <c r="AA56" i="21" s="1"/>
  <c r="X56" i="21"/>
  <c r="AB55" i="21"/>
  <c r="AD55" i="21" s="1"/>
  <c r="Y55" i="21"/>
  <c r="AA55" i="21" s="1"/>
  <c r="AK54" i="21"/>
  <c r="AB54" i="21"/>
  <c r="AD54" i="21" s="1"/>
  <c r="Y54" i="21"/>
  <c r="AA54" i="21" s="1"/>
  <c r="X54" i="21"/>
  <c r="AK53" i="21"/>
  <c r="AB53" i="21"/>
  <c r="AD53" i="21" s="1"/>
  <c r="Y53" i="21"/>
  <c r="AA53" i="21" s="1"/>
  <c r="X53" i="21"/>
  <c r="AK52" i="21"/>
  <c r="AB52" i="21"/>
  <c r="AD52" i="21" s="1"/>
  <c r="AA52" i="21"/>
  <c r="AK51" i="21"/>
  <c r="AB51" i="21"/>
  <c r="AD51" i="21" s="1"/>
  <c r="AA51" i="21"/>
  <c r="AK50" i="21"/>
  <c r="AB50" i="21"/>
  <c r="AD50" i="21" s="1"/>
  <c r="Y50" i="21"/>
  <c r="AA50" i="21" s="1"/>
  <c r="AK49" i="21"/>
  <c r="AB49" i="21"/>
  <c r="AD49" i="21" s="1"/>
  <c r="Y49" i="21"/>
  <c r="AA49" i="21" s="1"/>
  <c r="AK48" i="21"/>
  <c r="AB48" i="21"/>
  <c r="AD48" i="21" s="1"/>
  <c r="Y48" i="21"/>
  <c r="AA48" i="21" s="1"/>
  <c r="X48" i="21"/>
  <c r="AK47" i="21"/>
  <c r="AB47" i="21"/>
  <c r="AD47" i="21" s="1"/>
  <c r="Y47" i="21"/>
  <c r="AA47" i="21" s="1"/>
  <c r="X47" i="21"/>
  <c r="AK46" i="21"/>
  <c r="AB46" i="21"/>
  <c r="AD46" i="21" s="1"/>
  <c r="Y46" i="21"/>
  <c r="AA46" i="21" s="1"/>
  <c r="X46" i="21"/>
  <c r="AK45" i="21"/>
  <c r="AB45" i="21"/>
  <c r="AD45" i="21" s="1"/>
  <c r="AA45" i="21"/>
  <c r="AK44" i="21"/>
  <c r="AB44" i="21"/>
  <c r="AD44" i="21" s="1"/>
  <c r="AA44" i="21"/>
  <c r="AK43" i="21"/>
  <c r="AB43" i="21"/>
  <c r="AD43" i="21" s="1"/>
  <c r="AA43" i="21"/>
  <c r="AK42" i="21"/>
  <c r="AB42" i="21"/>
  <c r="AD42" i="21" s="1"/>
  <c r="AA42" i="21"/>
  <c r="AK41" i="21"/>
  <c r="AB41" i="21"/>
  <c r="AD41" i="21" s="1"/>
  <c r="Y41" i="21"/>
  <c r="AA41" i="21" s="1"/>
  <c r="AK40" i="21"/>
  <c r="AB40" i="21"/>
  <c r="AD40" i="21" s="1"/>
  <c r="Y40" i="21"/>
  <c r="AA40" i="21" s="1"/>
  <c r="X40" i="21"/>
  <c r="AK39" i="21"/>
  <c r="AB39" i="21"/>
  <c r="AD39" i="21" s="1"/>
  <c r="Y39" i="21"/>
  <c r="AA39" i="21" s="1"/>
  <c r="X39" i="21"/>
  <c r="AK38" i="21"/>
  <c r="AB38" i="21"/>
  <c r="AD38" i="21" s="1"/>
  <c r="Y38" i="21"/>
  <c r="AA38" i="21" s="1"/>
  <c r="AK37" i="21"/>
  <c r="AB37" i="21"/>
  <c r="AD37" i="21" s="1"/>
  <c r="Y37" i="21"/>
  <c r="AA37" i="21" s="1"/>
  <c r="W37" i="21"/>
  <c r="X37" i="21" s="1"/>
  <c r="AK36" i="21"/>
  <c r="AB36" i="21"/>
  <c r="AD36" i="21" s="1"/>
  <c r="Y36" i="21"/>
  <c r="AA36" i="21" s="1"/>
  <c r="AK35" i="21"/>
  <c r="AB35" i="21"/>
  <c r="AD35" i="21" s="1"/>
  <c r="Y35" i="21"/>
  <c r="AA35" i="21" s="1"/>
  <c r="AK34" i="21"/>
  <c r="AB34" i="21"/>
  <c r="AD34" i="21" s="1"/>
  <c r="AA34" i="21"/>
  <c r="AK33" i="21"/>
  <c r="AB33" i="21"/>
  <c r="AD33" i="21" s="1"/>
  <c r="Y33" i="21"/>
  <c r="AA33" i="21" s="1"/>
  <c r="X33" i="21"/>
  <c r="AK32" i="21"/>
  <c r="AB32" i="21"/>
  <c r="AD32" i="21" s="1"/>
  <c r="Y32" i="21"/>
  <c r="AA32" i="21" s="1"/>
  <c r="AK31" i="21"/>
  <c r="AB31" i="21"/>
  <c r="AD31" i="21" s="1"/>
  <c r="Y31" i="21"/>
  <c r="AA31" i="21" s="1"/>
  <c r="X31" i="21"/>
  <c r="AK30" i="21"/>
  <c r="AB30" i="21"/>
  <c r="AD30" i="21" s="1"/>
  <c r="Y30" i="21"/>
  <c r="AA30" i="21" s="1"/>
  <c r="X30" i="21"/>
  <c r="AK29" i="21"/>
  <c r="AB29" i="21"/>
  <c r="AD29" i="21" s="1"/>
  <c r="AA29" i="21"/>
  <c r="AK28" i="21"/>
  <c r="AB28" i="21"/>
  <c r="AD28" i="21" s="1"/>
  <c r="Y28" i="21"/>
  <c r="AA28" i="21" s="1"/>
  <c r="X28" i="21"/>
  <c r="AK27" i="21"/>
  <c r="AB27" i="21"/>
  <c r="AD27" i="21" s="1"/>
  <c r="AA27" i="21"/>
  <c r="AK26" i="21"/>
  <c r="AB26" i="21"/>
  <c r="AD26" i="21" s="1"/>
  <c r="Y26" i="21"/>
  <c r="AA26" i="21" s="1"/>
  <c r="AK25" i="21"/>
  <c r="AB25" i="21"/>
  <c r="AD25" i="21" s="1"/>
  <c r="AA25" i="21"/>
  <c r="AK24" i="21"/>
  <c r="AB24" i="21"/>
  <c r="AD24" i="21" s="1"/>
  <c r="Y24" i="21"/>
  <c r="AA24" i="21" s="1"/>
  <c r="X24" i="21"/>
  <c r="AK23" i="21"/>
  <c r="AB23" i="21"/>
  <c r="AD23" i="21" s="1"/>
  <c r="Y23" i="21"/>
  <c r="AA23" i="21" s="1"/>
  <c r="AK22" i="21"/>
  <c r="AB22" i="21"/>
  <c r="AD22" i="21" s="1"/>
  <c r="AA22" i="21"/>
  <c r="AK21" i="21"/>
  <c r="AB21" i="21"/>
  <c r="AD21" i="21" s="1"/>
  <c r="Y21" i="21"/>
  <c r="AA21" i="21" s="1"/>
  <c r="AK20" i="21"/>
  <c r="AB20" i="21"/>
  <c r="AD20" i="21" s="1"/>
  <c r="AA20" i="21"/>
  <c r="AK19" i="21"/>
  <c r="AB19" i="21"/>
  <c r="AD19" i="21" s="1"/>
  <c r="Y19" i="21"/>
  <c r="AA19" i="21" s="1"/>
  <c r="AK18" i="21"/>
  <c r="AB18" i="21"/>
  <c r="AD18" i="21" s="1"/>
  <c r="Y18" i="21"/>
  <c r="AA18" i="21" s="1"/>
  <c r="X18" i="21"/>
  <c r="AK17" i="21"/>
  <c r="AB17" i="21"/>
  <c r="AD17" i="21" s="1"/>
  <c r="Y17" i="21"/>
  <c r="AA17" i="21" s="1"/>
  <c r="AK16" i="21"/>
  <c r="AB16" i="21"/>
  <c r="AD16" i="21" s="1"/>
  <c r="AA16" i="21"/>
  <c r="AK15" i="21"/>
  <c r="AB15" i="21"/>
  <c r="AD15" i="21" s="1"/>
  <c r="AA15" i="21"/>
  <c r="AK14" i="21"/>
  <c r="AB14" i="21"/>
  <c r="AD14" i="21" s="1"/>
  <c r="AA14" i="21"/>
  <c r="AK13" i="21"/>
  <c r="AB13" i="21"/>
  <c r="AD13" i="21" s="1"/>
  <c r="Y13" i="21"/>
  <c r="AA13" i="21" s="1"/>
  <c r="X13" i="21"/>
  <c r="AK12" i="21"/>
  <c r="AB12" i="21"/>
  <c r="AD12" i="21" s="1"/>
  <c r="Y12" i="21"/>
  <c r="AA12" i="21" s="1"/>
  <c r="X12" i="21"/>
  <c r="AK11" i="21"/>
  <c r="AB11" i="21"/>
  <c r="AD11" i="21" s="1"/>
  <c r="Y11" i="21"/>
  <c r="AA11" i="21" s="1"/>
  <c r="X11" i="21"/>
  <c r="AK10" i="21"/>
  <c r="AB10" i="21"/>
  <c r="AD10" i="21" s="1"/>
  <c r="Y10" i="21"/>
  <c r="AA10" i="21" s="1"/>
  <c r="X10" i="21"/>
  <c r="AK9" i="21"/>
  <c r="AB9" i="21"/>
  <c r="AD9" i="21" s="1"/>
  <c r="Y9" i="21"/>
  <c r="AA9" i="21" s="1"/>
  <c r="X9" i="21"/>
  <c r="AK8" i="21"/>
  <c r="AB8" i="21"/>
  <c r="AD8" i="21" s="1"/>
  <c r="Y8" i="21"/>
  <c r="AA8" i="21" s="1"/>
  <c r="X8" i="21"/>
  <c r="AK6" i="21"/>
  <c r="AB6" i="21"/>
  <c r="AD6" i="21" s="1"/>
  <c r="Y6" i="21"/>
  <c r="AA6" i="21" s="1"/>
  <c r="X6" i="21"/>
  <c r="AK5" i="21"/>
  <c r="AB5" i="21"/>
  <c r="AD5" i="21" s="1"/>
  <c r="AA5" i="21"/>
  <c r="AK4" i="21"/>
  <c r="AB4" i="21"/>
  <c r="AD4" i="21" s="1"/>
  <c r="Y4" i="21"/>
  <c r="AA4" i="21" s="1"/>
  <c r="X4" i="21"/>
  <c r="AK3" i="21"/>
  <c r="AB3" i="21"/>
  <c r="AD3" i="21" s="1"/>
  <c r="AA3" i="21"/>
  <c r="AK52" i="22"/>
  <c r="AB52" i="22"/>
  <c r="AD52" i="22" s="1"/>
  <c r="AA52" i="22"/>
  <c r="AK51" i="22"/>
  <c r="AB51" i="22"/>
  <c r="AD51" i="22" s="1"/>
  <c r="AA51" i="22"/>
  <c r="AK50" i="22"/>
  <c r="AB50" i="22"/>
  <c r="AD50" i="22" s="1"/>
  <c r="AA50" i="22"/>
  <c r="AB49" i="22"/>
  <c r="AD49" i="22" s="1"/>
  <c r="Y49" i="22"/>
  <c r="AA49" i="22" s="1"/>
  <c r="X49" i="22"/>
  <c r="AK48" i="22"/>
  <c r="AB48" i="22"/>
  <c r="AD48" i="22" s="1"/>
  <c r="AA48" i="22"/>
  <c r="AK47" i="22"/>
  <c r="AB47" i="22"/>
  <c r="AD47" i="22" s="1"/>
  <c r="Y47" i="22"/>
  <c r="AA47" i="22" s="1"/>
  <c r="X47" i="22"/>
  <c r="AK46" i="22"/>
  <c r="AB46" i="22"/>
  <c r="AD46" i="22" s="1"/>
  <c r="Y46" i="22"/>
  <c r="AA46" i="22" s="1"/>
  <c r="AK45" i="22"/>
  <c r="AB45" i="22"/>
  <c r="AD45" i="22" s="1"/>
  <c r="Y45" i="22"/>
  <c r="AA45" i="22" s="1"/>
  <c r="X45" i="22"/>
  <c r="AK44" i="22"/>
  <c r="AB44" i="22"/>
  <c r="AD44" i="22" s="1"/>
  <c r="Y44" i="22"/>
  <c r="AA44" i="22" s="1"/>
  <c r="AK43" i="22"/>
  <c r="AB43" i="22"/>
  <c r="AD43" i="22" s="1"/>
  <c r="Y43" i="22"/>
  <c r="AA43" i="22" s="1"/>
  <c r="X43" i="22"/>
  <c r="AK42" i="22"/>
  <c r="AB42" i="22"/>
  <c r="AD42" i="22" s="1"/>
  <c r="Y42" i="22"/>
  <c r="AA42" i="22" s="1"/>
  <c r="AK41" i="22"/>
  <c r="AB41" i="22"/>
  <c r="AD41" i="22" s="1"/>
  <c r="AA41" i="22"/>
  <c r="AK40" i="22"/>
  <c r="AB40" i="22"/>
  <c r="AD40" i="22" s="1"/>
  <c r="AA40" i="22"/>
  <c r="AK39" i="22"/>
  <c r="AB39" i="22"/>
  <c r="AD39" i="22" s="1"/>
  <c r="Y39" i="22"/>
  <c r="AA39" i="22" s="1"/>
  <c r="AK38" i="22"/>
  <c r="AB38" i="22"/>
  <c r="AD38" i="22" s="1"/>
  <c r="Y38" i="22"/>
  <c r="AA38" i="22" s="1"/>
  <c r="AK37" i="22"/>
  <c r="AB37" i="22"/>
  <c r="AD37" i="22" s="1"/>
  <c r="Y37" i="22"/>
  <c r="AA37" i="22" s="1"/>
  <c r="AK36" i="22"/>
  <c r="AB36" i="22"/>
  <c r="AD36" i="22" s="1"/>
  <c r="Y36" i="22"/>
  <c r="AA36" i="22" s="1"/>
  <c r="X36" i="22"/>
  <c r="AK35" i="22"/>
  <c r="AB35" i="22"/>
  <c r="AD35" i="22" s="1"/>
  <c r="Y35" i="22"/>
  <c r="AA35" i="22" s="1"/>
  <c r="X35" i="22"/>
  <c r="AK34" i="22"/>
  <c r="AB34" i="22"/>
  <c r="AD34" i="22" s="1"/>
  <c r="AA34" i="22"/>
  <c r="AK33" i="22"/>
  <c r="AB33" i="22"/>
  <c r="AD33" i="22" s="1"/>
  <c r="Y33" i="22"/>
  <c r="AA33" i="22" s="1"/>
  <c r="AK32" i="22"/>
  <c r="AB32" i="22"/>
  <c r="AD32" i="22" s="1"/>
  <c r="AA32" i="22"/>
  <c r="AK31" i="22"/>
  <c r="AB31" i="22"/>
  <c r="AD31" i="22" s="1"/>
  <c r="AA31" i="22"/>
  <c r="AK30" i="22"/>
  <c r="AB30" i="22"/>
  <c r="AD30" i="22" s="1"/>
  <c r="Y30" i="22"/>
  <c r="AA30" i="22" s="1"/>
  <c r="X30" i="22"/>
  <c r="AK29" i="22"/>
  <c r="AB29" i="22"/>
  <c r="AD29" i="22" s="1"/>
  <c r="Y29" i="22"/>
  <c r="AA29" i="22" s="1"/>
  <c r="AK28" i="22"/>
  <c r="AB28" i="22"/>
  <c r="AD28" i="22" s="1"/>
  <c r="Y28" i="22"/>
  <c r="AA28" i="22" s="1"/>
  <c r="AK27" i="22"/>
  <c r="AB27" i="22"/>
  <c r="AD27" i="22" s="1"/>
  <c r="Y27" i="22"/>
  <c r="AA27" i="22" s="1"/>
  <c r="X27" i="22"/>
  <c r="AK26" i="22"/>
  <c r="AB26" i="22"/>
  <c r="AD26" i="22" s="1"/>
  <c r="Y26" i="22"/>
  <c r="AA26" i="22" s="1"/>
  <c r="X26" i="22"/>
  <c r="AK25" i="22"/>
  <c r="AB25" i="22"/>
  <c r="AD25" i="22" s="1"/>
  <c r="Y25" i="22"/>
  <c r="AA25" i="22" s="1"/>
  <c r="AK24" i="22"/>
  <c r="AB24" i="22"/>
  <c r="AD24" i="22" s="1"/>
  <c r="Y24" i="22"/>
  <c r="AA24" i="22" s="1"/>
  <c r="AK23" i="22"/>
  <c r="AB23" i="22"/>
  <c r="AD23" i="22" s="1"/>
  <c r="Y23" i="22"/>
  <c r="AA23" i="22" s="1"/>
  <c r="X23" i="22"/>
  <c r="AK22" i="22"/>
  <c r="AB22" i="22"/>
  <c r="AD22" i="22" s="1"/>
  <c r="AA22" i="22"/>
  <c r="AK21" i="22"/>
  <c r="AB21" i="22"/>
  <c r="AD21" i="22" s="1"/>
  <c r="AA21" i="22"/>
  <c r="AK20" i="22"/>
  <c r="AB20" i="22"/>
  <c r="AD20" i="22" s="1"/>
  <c r="Y20" i="22"/>
  <c r="AA20" i="22" s="1"/>
  <c r="AK19" i="22"/>
  <c r="AB19" i="22"/>
  <c r="AD19" i="22" s="1"/>
  <c r="Y19" i="22"/>
  <c r="AA19" i="22" s="1"/>
  <c r="AK18" i="22"/>
  <c r="AB18" i="22"/>
  <c r="AD18" i="22" s="1"/>
  <c r="Y18" i="22"/>
  <c r="AA18" i="22" s="1"/>
  <c r="AK17" i="22"/>
  <c r="AB17" i="22"/>
  <c r="AD17" i="22" s="1"/>
  <c r="Y17" i="22"/>
  <c r="AA17" i="22" s="1"/>
  <c r="X17" i="22"/>
  <c r="AK16" i="22"/>
  <c r="AB16" i="22"/>
  <c r="AD16" i="22" s="1"/>
  <c r="Y16" i="22"/>
  <c r="AA16" i="22" s="1"/>
  <c r="AK15" i="22"/>
  <c r="AB15" i="22"/>
  <c r="AD15" i="22" s="1"/>
  <c r="Y15" i="22"/>
  <c r="AA15" i="22" s="1"/>
  <c r="X15" i="22"/>
  <c r="AK14" i="22"/>
  <c r="AB14" i="22"/>
  <c r="AD14" i="22" s="1"/>
  <c r="Y14" i="22"/>
  <c r="AA14" i="22" s="1"/>
  <c r="X14" i="22"/>
  <c r="AK13" i="22"/>
  <c r="AB13" i="22"/>
  <c r="AD13" i="22" s="1"/>
  <c r="AA13" i="22"/>
  <c r="AK12" i="22"/>
  <c r="AB12" i="22"/>
  <c r="AD12" i="22" s="1"/>
  <c r="Y12" i="22"/>
  <c r="AA12" i="22" s="1"/>
  <c r="X12" i="22"/>
  <c r="AK11" i="22"/>
  <c r="AB11" i="22"/>
  <c r="AD11" i="22" s="1"/>
  <c r="AA11" i="22"/>
  <c r="AK10" i="22"/>
  <c r="AB10" i="22"/>
  <c r="AD10" i="22" s="1"/>
  <c r="Y10" i="22"/>
  <c r="AA10" i="22" s="1"/>
  <c r="X10" i="22"/>
  <c r="AK9" i="22"/>
  <c r="AB9" i="22"/>
  <c r="AD9" i="22" s="1"/>
  <c r="Y9" i="22"/>
  <c r="AA9" i="22" s="1"/>
  <c r="AK8" i="22"/>
  <c r="AB8" i="22"/>
  <c r="AD8" i="22" s="1"/>
  <c r="Y8" i="22"/>
  <c r="AA8" i="22" s="1"/>
  <c r="AK7" i="22"/>
  <c r="AB7" i="22"/>
  <c r="AD7" i="22" s="1"/>
  <c r="Y7" i="22"/>
  <c r="AA7" i="22" s="1"/>
  <c r="AK6" i="22"/>
  <c r="AB6" i="22"/>
  <c r="AD6" i="22" s="1"/>
  <c r="Y6" i="22"/>
  <c r="AA6" i="22" s="1"/>
  <c r="X6" i="22"/>
  <c r="AK5" i="22"/>
  <c r="AB5" i="22"/>
  <c r="AD5" i="22" s="1"/>
  <c r="Y5" i="22"/>
  <c r="AA5" i="22" s="1"/>
  <c r="X5" i="22"/>
  <c r="AK4" i="22"/>
  <c r="AB4" i="22"/>
  <c r="AD4" i="22" s="1"/>
  <c r="Y4" i="22"/>
  <c r="AA4" i="22" s="1"/>
  <c r="X4" i="22"/>
  <c r="AK3" i="22"/>
  <c r="AB3" i="22"/>
  <c r="AD3" i="22" s="1"/>
  <c r="Y3" i="22"/>
  <c r="AA3" i="22" s="1"/>
  <c r="X3" i="22"/>
  <c r="AK57" i="24"/>
  <c r="AB57" i="24"/>
  <c r="AD57" i="24" s="1"/>
  <c r="AA57" i="24"/>
  <c r="AK56" i="24"/>
  <c r="AB56" i="24"/>
  <c r="AD56" i="24" s="1"/>
  <c r="Y56" i="24"/>
  <c r="AA56" i="24" s="1"/>
  <c r="X56" i="24"/>
  <c r="AK55" i="24"/>
  <c r="AB55" i="24"/>
  <c r="AD55" i="24" s="1"/>
  <c r="Y55" i="24"/>
  <c r="AA55" i="24" s="1"/>
  <c r="X55" i="24"/>
  <c r="AK54" i="24"/>
  <c r="AB54" i="24"/>
  <c r="AD54" i="24" s="1"/>
  <c r="AA54" i="24"/>
  <c r="AK53" i="24"/>
  <c r="AB53" i="24"/>
  <c r="AD53" i="24" s="1"/>
  <c r="Y53" i="24"/>
  <c r="AA53" i="24" s="1"/>
  <c r="X53" i="24"/>
  <c r="AK52" i="24"/>
  <c r="AB52" i="24"/>
  <c r="AD52" i="24" s="1"/>
  <c r="Y52" i="24"/>
  <c r="AA52" i="24" s="1"/>
  <c r="AK51" i="24"/>
  <c r="AB51" i="24"/>
  <c r="AD51" i="24" s="1"/>
  <c r="Y51" i="24"/>
  <c r="AA51" i="24" s="1"/>
  <c r="X51" i="24"/>
  <c r="AK50" i="24"/>
  <c r="AB50" i="24"/>
  <c r="AD50" i="24" s="1"/>
  <c r="Y50" i="24"/>
  <c r="AA50" i="24" s="1"/>
  <c r="AK49" i="24"/>
  <c r="AB49" i="24"/>
  <c r="AD49" i="24" s="1"/>
  <c r="Y49" i="24"/>
  <c r="AA49" i="24" s="1"/>
  <c r="AK48" i="24"/>
  <c r="AB48" i="24"/>
  <c r="AD48" i="24" s="1"/>
  <c r="AA48" i="24"/>
  <c r="AK47" i="24"/>
  <c r="AB47" i="24"/>
  <c r="AD47" i="24" s="1"/>
  <c r="Y47" i="24"/>
  <c r="AA47" i="24" s="1"/>
  <c r="AK46" i="24"/>
  <c r="AB46" i="24"/>
  <c r="AD46" i="24" s="1"/>
  <c r="Y46" i="24"/>
  <c r="AA46" i="24" s="1"/>
  <c r="AK45" i="24"/>
  <c r="AB45" i="24"/>
  <c r="AD45" i="24" s="1"/>
  <c r="Y45" i="24"/>
  <c r="AA45" i="24" s="1"/>
  <c r="X45" i="24"/>
  <c r="AK44" i="24"/>
  <c r="AB44" i="24"/>
  <c r="AD44" i="24" s="1"/>
  <c r="AA44" i="24"/>
  <c r="AK43" i="24"/>
  <c r="AB43" i="24"/>
  <c r="AD43" i="24" s="1"/>
  <c r="Y43" i="24"/>
  <c r="AA43" i="24" s="1"/>
  <c r="X43" i="24"/>
  <c r="AK42" i="24"/>
  <c r="AB42" i="24"/>
  <c r="AD42" i="24" s="1"/>
  <c r="Y42" i="24"/>
  <c r="AA42" i="24" s="1"/>
  <c r="X42" i="24"/>
  <c r="AK41" i="24"/>
  <c r="AB41" i="24"/>
  <c r="AD41" i="24" s="1"/>
  <c r="Y41" i="24"/>
  <c r="AA41" i="24" s="1"/>
  <c r="AK40" i="24"/>
  <c r="AB40" i="24"/>
  <c r="AD40" i="24" s="1"/>
  <c r="Y40" i="24"/>
  <c r="AA40" i="24" s="1"/>
  <c r="AK39" i="24"/>
  <c r="AB39" i="24"/>
  <c r="AD39" i="24" s="1"/>
  <c r="Y39" i="24"/>
  <c r="AA39" i="24" s="1"/>
  <c r="W39" i="24"/>
  <c r="X39" i="24" s="1"/>
  <c r="AK38" i="24"/>
  <c r="AB38" i="24"/>
  <c r="AD38" i="24" s="1"/>
  <c r="Y38" i="24"/>
  <c r="AA38" i="24" s="1"/>
  <c r="AK37" i="24"/>
  <c r="AB37" i="24"/>
  <c r="AD37" i="24" s="1"/>
  <c r="Y37" i="24"/>
  <c r="AA37" i="24" s="1"/>
  <c r="AK36" i="24"/>
  <c r="AB36" i="24"/>
  <c r="AD36" i="24" s="1"/>
  <c r="AA36" i="24"/>
  <c r="AK35" i="24"/>
  <c r="AB35" i="24"/>
  <c r="AD35" i="24" s="1"/>
  <c r="AA35" i="24"/>
  <c r="AK34" i="24"/>
  <c r="AB34" i="24"/>
  <c r="AD34" i="24" s="1"/>
  <c r="Y34" i="24"/>
  <c r="AA34" i="24" s="1"/>
  <c r="X34" i="24"/>
  <c r="AK33" i="24"/>
  <c r="AB33" i="24"/>
  <c r="AD33" i="24" s="1"/>
  <c r="Y33" i="24"/>
  <c r="AA33" i="24" s="1"/>
  <c r="AK32" i="24"/>
  <c r="AB32" i="24"/>
  <c r="AD32" i="24" s="1"/>
  <c r="AA32" i="24"/>
  <c r="AB31" i="24"/>
  <c r="AD31" i="24" s="1"/>
  <c r="Y31" i="24"/>
  <c r="AA31" i="24" s="1"/>
  <c r="X31" i="24"/>
  <c r="AK30" i="24"/>
  <c r="AB30" i="24"/>
  <c r="AD30" i="24" s="1"/>
  <c r="Y30" i="24"/>
  <c r="AA30" i="24" s="1"/>
  <c r="AK29" i="24"/>
  <c r="AB29" i="24"/>
  <c r="AD29" i="24" s="1"/>
  <c r="Y29" i="24"/>
  <c r="AA29" i="24" s="1"/>
  <c r="AK28" i="24"/>
  <c r="AB28" i="24"/>
  <c r="AD28" i="24" s="1"/>
  <c r="Y28" i="24"/>
  <c r="AA28" i="24" s="1"/>
  <c r="AK27" i="24"/>
  <c r="AB27" i="24"/>
  <c r="AD27" i="24" s="1"/>
  <c r="AA27" i="24"/>
  <c r="AK26" i="24"/>
  <c r="AB26" i="24"/>
  <c r="AD26" i="24" s="1"/>
  <c r="Y26" i="24"/>
  <c r="AA26" i="24" s="1"/>
  <c r="AK25" i="24"/>
  <c r="AB25" i="24"/>
  <c r="AD25" i="24" s="1"/>
  <c r="Y25" i="24"/>
  <c r="AA25" i="24" s="1"/>
  <c r="X25" i="24"/>
  <c r="AK24" i="24"/>
  <c r="AB24" i="24"/>
  <c r="AD24" i="24" s="1"/>
  <c r="AA24" i="24"/>
  <c r="AK23" i="24"/>
  <c r="AB23" i="24"/>
  <c r="AD23" i="24" s="1"/>
  <c r="AA23" i="24"/>
  <c r="AK22" i="24"/>
  <c r="AB22" i="24"/>
  <c r="AD22" i="24" s="1"/>
  <c r="Y22" i="24"/>
  <c r="AA22" i="24" s="1"/>
  <c r="X22" i="24"/>
  <c r="AK21" i="24"/>
  <c r="AB21" i="24"/>
  <c r="AD21" i="24" s="1"/>
  <c r="Y21" i="24"/>
  <c r="AA21" i="24" s="1"/>
  <c r="X21" i="24"/>
  <c r="AK20" i="24"/>
  <c r="AB20" i="24"/>
  <c r="AD20" i="24" s="1"/>
  <c r="Y20" i="24"/>
  <c r="AA20" i="24" s="1"/>
  <c r="X20" i="24"/>
  <c r="AK19" i="24"/>
  <c r="AB19" i="24"/>
  <c r="AD19" i="24" s="1"/>
  <c r="Y19" i="24"/>
  <c r="AA19" i="24" s="1"/>
  <c r="AK18" i="24"/>
  <c r="AB18" i="24"/>
  <c r="AD18" i="24" s="1"/>
  <c r="AA18" i="24"/>
  <c r="AK17" i="24"/>
  <c r="AB17" i="24"/>
  <c r="AD17" i="24" s="1"/>
  <c r="Y17" i="24"/>
  <c r="AA17" i="24" s="1"/>
  <c r="X17" i="24"/>
  <c r="AK16" i="24"/>
  <c r="AB16" i="24"/>
  <c r="AD16" i="24" s="1"/>
  <c r="Y16" i="24"/>
  <c r="AA16" i="24" s="1"/>
  <c r="AK15" i="24"/>
  <c r="AB15" i="24"/>
  <c r="AD15" i="24" s="1"/>
  <c r="AA15" i="24"/>
  <c r="AK14" i="24"/>
  <c r="AB14" i="24"/>
  <c r="AD14" i="24" s="1"/>
  <c r="Y14" i="24"/>
  <c r="AA14" i="24" s="1"/>
  <c r="W14" i="24"/>
  <c r="X14" i="24" s="1"/>
  <c r="AK13" i="24"/>
  <c r="AB13" i="24"/>
  <c r="AD13" i="24" s="1"/>
  <c r="AA13" i="24"/>
  <c r="AK12" i="24"/>
  <c r="AB12" i="24"/>
  <c r="AD12" i="24" s="1"/>
  <c r="Y12" i="24"/>
  <c r="AA12" i="24" s="1"/>
  <c r="AK10" i="24"/>
  <c r="AB10" i="24"/>
  <c r="AD10" i="24" s="1"/>
  <c r="AA10" i="24"/>
  <c r="AK9" i="24"/>
  <c r="AB9" i="24"/>
  <c r="AD9" i="24" s="1"/>
  <c r="Y9" i="24"/>
  <c r="AA9" i="24" s="1"/>
  <c r="X9" i="24"/>
  <c r="AK8" i="24"/>
  <c r="AB8" i="24"/>
  <c r="AD8" i="24" s="1"/>
  <c r="Y8" i="24"/>
  <c r="AA8" i="24" s="1"/>
  <c r="X8" i="24"/>
  <c r="AK7" i="24"/>
  <c r="AB7" i="24"/>
  <c r="AD7" i="24" s="1"/>
  <c r="Y7" i="24"/>
  <c r="AA7" i="24" s="1"/>
  <c r="AK6" i="24"/>
  <c r="AB6" i="24"/>
  <c r="AD6" i="24" s="1"/>
  <c r="AA6" i="24"/>
  <c r="AK5" i="24"/>
  <c r="AB5" i="24"/>
  <c r="AD5" i="24" s="1"/>
  <c r="Y5" i="24"/>
  <c r="AA5" i="24" s="1"/>
  <c r="X5" i="24"/>
  <c r="AK4" i="24"/>
  <c r="AB4" i="24"/>
  <c r="AD4" i="24" s="1"/>
  <c r="Y4" i="24"/>
  <c r="AA4" i="24" s="1"/>
  <c r="X4" i="24"/>
  <c r="AK3" i="24"/>
  <c r="AB3" i="24"/>
  <c r="AD3" i="24" s="1"/>
  <c r="Y3" i="24"/>
  <c r="AA3" i="24" s="1"/>
  <c r="X3" i="24"/>
  <c r="AK47" i="25"/>
  <c r="AB47" i="25"/>
  <c r="AD47" i="25" s="1"/>
  <c r="Y47" i="25"/>
  <c r="AA47" i="25" s="1"/>
  <c r="X47" i="25"/>
  <c r="AK46" i="25"/>
  <c r="AB46" i="25"/>
  <c r="AD46" i="25" s="1"/>
  <c r="Y46" i="25"/>
  <c r="AA46" i="25" s="1"/>
  <c r="X46" i="25"/>
  <c r="AK45" i="25"/>
  <c r="AB45" i="25"/>
  <c r="AD45" i="25" s="1"/>
  <c r="Y45" i="25"/>
  <c r="AA45" i="25" s="1"/>
  <c r="X45" i="25"/>
  <c r="AK44" i="25"/>
  <c r="AB44" i="25"/>
  <c r="AD44" i="25" s="1"/>
  <c r="Y44" i="25"/>
  <c r="AA44" i="25" s="1"/>
  <c r="X44" i="25"/>
  <c r="AK43" i="25"/>
  <c r="AB43" i="25"/>
  <c r="AD43" i="25" s="1"/>
  <c r="Y43" i="25"/>
  <c r="AA43" i="25" s="1"/>
  <c r="X43" i="25"/>
  <c r="AK42" i="25"/>
  <c r="AB42" i="25"/>
  <c r="AD42" i="25" s="1"/>
  <c r="Y42" i="25"/>
  <c r="AA42" i="25" s="1"/>
  <c r="X42" i="25"/>
  <c r="AK41" i="25"/>
  <c r="AB41" i="25"/>
  <c r="AD41" i="25" s="1"/>
  <c r="Y41" i="25"/>
  <c r="AA41" i="25" s="1"/>
  <c r="X41" i="25"/>
  <c r="AK40" i="25"/>
  <c r="AB40" i="25"/>
  <c r="AD40" i="25" s="1"/>
  <c r="Y40" i="25"/>
  <c r="AA40" i="25" s="1"/>
  <c r="X40" i="25"/>
  <c r="AK39" i="25"/>
  <c r="AB39" i="25"/>
  <c r="AD39" i="25" s="1"/>
  <c r="Y39" i="25"/>
  <c r="AA39" i="25" s="1"/>
  <c r="X39" i="25"/>
  <c r="AK38" i="25"/>
  <c r="AB38" i="25"/>
  <c r="AD38" i="25" s="1"/>
  <c r="Y38" i="25"/>
  <c r="AA38" i="25" s="1"/>
  <c r="AK37" i="25"/>
  <c r="AB37" i="25"/>
  <c r="AD37" i="25" s="1"/>
  <c r="Y37" i="25"/>
  <c r="AA37" i="25" s="1"/>
  <c r="AK36" i="25"/>
  <c r="AB36" i="25"/>
  <c r="AD36" i="25" s="1"/>
  <c r="Y36" i="25"/>
  <c r="AA36" i="25" s="1"/>
  <c r="X36" i="25"/>
  <c r="AK35" i="25"/>
  <c r="AB35" i="25"/>
  <c r="AD35" i="25" s="1"/>
  <c r="Y35" i="25"/>
  <c r="AA35" i="25" s="1"/>
  <c r="AK34" i="25"/>
  <c r="AB34" i="25"/>
  <c r="AD34" i="25" s="1"/>
  <c r="AA34" i="25"/>
  <c r="AK33" i="25"/>
  <c r="AB33" i="25"/>
  <c r="AD33" i="25" s="1"/>
  <c r="Y33" i="25"/>
  <c r="AA33" i="25" s="1"/>
  <c r="X33" i="25"/>
  <c r="AK32" i="25"/>
  <c r="AB32" i="25"/>
  <c r="AD32" i="25" s="1"/>
  <c r="Y32" i="25"/>
  <c r="AA32" i="25" s="1"/>
  <c r="X32" i="25"/>
  <c r="AK31" i="25"/>
  <c r="AB31" i="25"/>
  <c r="AD31" i="25" s="1"/>
  <c r="Y31" i="25"/>
  <c r="AA31" i="25" s="1"/>
  <c r="AK30" i="25"/>
  <c r="AB30" i="25"/>
  <c r="AD30" i="25" s="1"/>
  <c r="Y30" i="25"/>
  <c r="AA30" i="25" s="1"/>
  <c r="X30" i="25"/>
  <c r="AK29" i="25"/>
  <c r="AB29" i="25"/>
  <c r="AD29" i="25" s="1"/>
  <c r="Y29" i="25"/>
  <c r="AA29" i="25" s="1"/>
  <c r="AK28" i="25"/>
  <c r="AB28" i="25"/>
  <c r="AD28" i="25" s="1"/>
  <c r="Y28" i="25"/>
  <c r="AA28" i="25" s="1"/>
  <c r="X28" i="25"/>
  <c r="AK27" i="25"/>
  <c r="AB27" i="25"/>
  <c r="AD27" i="25" s="1"/>
  <c r="Y27" i="25"/>
  <c r="AA27" i="25" s="1"/>
  <c r="AK26" i="25"/>
  <c r="AB26" i="25"/>
  <c r="AD26" i="25" s="1"/>
  <c r="Y26" i="25"/>
  <c r="AA26" i="25" s="1"/>
  <c r="AK25" i="25"/>
  <c r="AB25" i="25"/>
  <c r="AD25" i="25" s="1"/>
  <c r="AA25" i="25"/>
  <c r="AK24" i="25"/>
  <c r="AB24" i="25"/>
  <c r="AD24" i="25" s="1"/>
  <c r="Y24" i="25"/>
  <c r="AA24" i="25" s="1"/>
  <c r="X24" i="25"/>
  <c r="AK23" i="25"/>
  <c r="AB23" i="25"/>
  <c r="AD23" i="25" s="1"/>
  <c r="Y23" i="25"/>
  <c r="AA23" i="25" s="1"/>
  <c r="X23" i="25"/>
  <c r="AK22" i="25"/>
  <c r="AB22" i="25"/>
  <c r="AD22" i="25" s="1"/>
  <c r="Y22" i="25"/>
  <c r="AA22" i="25" s="1"/>
  <c r="AK21" i="25"/>
  <c r="AB21" i="25"/>
  <c r="AD21" i="25" s="1"/>
  <c r="AA21" i="25"/>
  <c r="AK20" i="25"/>
  <c r="AB20" i="25"/>
  <c r="AD20" i="25" s="1"/>
  <c r="Y20" i="25"/>
  <c r="AA20" i="25" s="1"/>
  <c r="X20" i="25"/>
  <c r="AK19" i="25"/>
  <c r="AB19" i="25"/>
  <c r="AD19" i="25" s="1"/>
  <c r="Y19" i="25"/>
  <c r="AA19" i="25" s="1"/>
  <c r="AK18" i="25"/>
  <c r="AB18" i="25"/>
  <c r="AD18" i="25" s="1"/>
  <c r="Y18" i="25"/>
  <c r="AA18" i="25" s="1"/>
  <c r="X18" i="25"/>
  <c r="AK17" i="25"/>
  <c r="AB17" i="25"/>
  <c r="AD17" i="25" s="1"/>
  <c r="AA17" i="25"/>
  <c r="AK16" i="25"/>
  <c r="AB16" i="25"/>
  <c r="AD16" i="25" s="1"/>
  <c r="Y16" i="25"/>
  <c r="AA16" i="25" s="1"/>
  <c r="W16" i="25"/>
  <c r="X16" i="25" s="1"/>
  <c r="AK15" i="25"/>
  <c r="AB15" i="25"/>
  <c r="AD15" i="25" s="1"/>
  <c r="Y15" i="25"/>
  <c r="AA15" i="25" s="1"/>
  <c r="X15" i="25"/>
  <c r="AK14" i="25"/>
  <c r="AB14" i="25"/>
  <c r="AD14" i="25" s="1"/>
  <c r="Y14" i="25"/>
  <c r="AA14" i="25" s="1"/>
  <c r="AK13" i="25"/>
  <c r="AB13" i="25"/>
  <c r="AD13" i="25" s="1"/>
  <c r="AA13" i="25"/>
  <c r="AK12" i="25"/>
  <c r="AB12" i="25"/>
  <c r="AD12" i="25" s="1"/>
  <c r="Y12" i="25"/>
  <c r="AA12" i="25" s="1"/>
  <c r="X12" i="25"/>
  <c r="AK11" i="25"/>
  <c r="AB11" i="25"/>
  <c r="AD11" i="25" s="1"/>
  <c r="AA11" i="25"/>
  <c r="AK10" i="25"/>
  <c r="AB10" i="25"/>
  <c r="AD10" i="25" s="1"/>
  <c r="AA10" i="25"/>
  <c r="AK9" i="25"/>
  <c r="AB9" i="25"/>
  <c r="AD9" i="25" s="1"/>
  <c r="Y9" i="25"/>
  <c r="AA9" i="25" s="1"/>
  <c r="X9" i="25"/>
  <c r="AK8" i="25"/>
  <c r="AB8" i="25"/>
  <c r="AD8" i="25" s="1"/>
  <c r="AA8" i="25"/>
  <c r="AK7" i="25"/>
  <c r="AB7" i="25"/>
  <c r="AD7" i="25" s="1"/>
  <c r="AA7" i="25"/>
  <c r="AK6" i="25"/>
  <c r="AB6" i="25"/>
  <c r="AD6" i="25" s="1"/>
  <c r="Y6" i="25"/>
  <c r="AA6" i="25" s="1"/>
  <c r="X6" i="25"/>
  <c r="AK5" i="25"/>
  <c r="AB5" i="25"/>
  <c r="AD5" i="25" s="1"/>
  <c r="Y5" i="25"/>
  <c r="AA5" i="25" s="1"/>
  <c r="X5" i="25"/>
  <c r="AK4" i="25"/>
  <c r="AB4" i="25"/>
  <c r="AD4" i="25" s="1"/>
  <c r="AA4" i="25"/>
  <c r="AK3" i="25"/>
  <c r="AB3" i="25"/>
  <c r="AD3" i="25" s="1"/>
  <c r="Y3" i="25"/>
  <c r="AA3" i="25" s="1"/>
  <c r="X3" i="25"/>
  <c r="AA66" i="21" l="1"/>
</calcChain>
</file>

<file path=xl/comments1.xml><?xml version="1.0" encoding="utf-8"?>
<comments xmlns="http://schemas.openxmlformats.org/spreadsheetml/2006/main">
  <authors>
    <author>mamatha</author>
  </authors>
  <commentList>
    <comment ref="F12" authorId="0">
      <text>
        <r>
          <rPr>
            <b/>
            <sz val="9"/>
            <color indexed="81"/>
            <rFont val="Tahoma"/>
            <charset val="1"/>
          </rPr>
          <t>mamatha:</t>
        </r>
        <r>
          <rPr>
            <sz val="9"/>
            <color indexed="81"/>
            <rFont val="Tahoma"/>
            <charset val="1"/>
          </rPr>
          <t xml:space="preserve">
Admission withdrawn-E mail received from Prince Sir Team on 7th Sep 2018</t>
        </r>
      </text>
    </comment>
  </commentList>
</comments>
</file>

<file path=xl/comments2.xml><?xml version="1.0" encoding="utf-8"?>
<comments xmlns="http://schemas.openxmlformats.org/spreadsheetml/2006/main">
  <authors>
    <author>mamatha</author>
  </authors>
  <commentList>
    <comment ref="F63" authorId="0">
      <text>
        <r>
          <rPr>
            <b/>
            <sz val="9"/>
            <color indexed="81"/>
            <rFont val="Tahoma"/>
            <charset val="1"/>
          </rPr>
          <t>mamatha:</t>
        </r>
        <r>
          <rPr>
            <sz val="9"/>
            <color indexed="81"/>
            <rFont val="Tahoma"/>
            <charset val="1"/>
          </rPr>
          <t xml:space="preserve">
Admission taken in 2017, old usn 17BTRCT019, Taken Readmission to 2018</t>
        </r>
      </text>
    </comment>
  </commentList>
</comments>
</file>

<file path=xl/sharedStrings.xml><?xml version="1.0" encoding="utf-8"?>
<sst xmlns="http://schemas.openxmlformats.org/spreadsheetml/2006/main" count="11956" uniqueCount="4451">
  <si>
    <t>Branch</t>
  </si>
  <si>
    <t>Name</t>
  </si>
  <si>
    <t>Adm. Type</t>
  </si>
  <si>
    <t>Gender</t>
  </si>
  <si>
    <t>Nationality</t>
  </si>
  <si>
    <t>Religion</t>
  </si>
  <si>
    <t>Caste</t>
  </si>
  <si>
    <t>DoB</t>
  </si>
  <si>
    <t>Place of Birth</t>
  </si>
  <si>
    <t>Mother Tounge</t>
  </si>
  <si>
    <t>Category</t>
  </si>
  <si>
    <t>Qualifing Exam Passed</t>
  </si>
  <si>
    <t>Year of Pass</t>
  </si>
  <si>
    <t>Name of the Board</t>
  </si>
  <si>
    <t>PCM Marks</t>
  </si>
  <si>
    <t>Date of Admission</t>
  </si>
  <si>
    <t>Mother's Name</t>
  </si>
  <si>
    <t>Occupation</t>
  </si>
  <si>
    <t>Father's Name</t>
  </si>
  <si>
    <t>Total Annual Income</t>
  </si>
  <si>
    <t>Pin Code</t>
  </si>
  <si>
    <t>Phone No</t>
  </si>
  <si>
    <t>Pending Documents</t>
  </si>
  <si>
    <t>Karnataka</t>
  </si>
  <si>
    <t>Non- Karnataka</t>
  </si>
  <si>
    <t>Place</t>
  </si>
  <si>
    <t>Correspondence Address</t>
  </si>
  <si>
    <t>State</t>
  </si>
  <si>
    <t>USN</t>
  </si>
  <si>
    <t>Tuition Fees Amount as per PAO</t>
  </si>
  <si>
    <t>District</t>
  </si>
  <si>
    <t>12th Reg No.</t>
  </si>
  <si>
    <t>12th Marks Obtained</t>
  </si>
  <si>
    <t>% of PCM Marks</t>
  </si>
  <si>
    <t>SL NO.</t>
  </si>
  <si>
    <t>MALE</t>
  </si>
  <si>
    <t>HINDU</t>
  </si>
  <si>
    <t>-</t>
  </si>
  <si>
    <t>NON JET</t>
  </si>
  <si>
    <t>% of Marks in 12th STD</t>
  </si>
  <si>
    <t>12th Total Marks</t>
  </si>
  <si>
    <t>PAO Allotment Date</t>
  </si>
  <si>
    <t>PAO Reference No</t>
  </si>
  <si>
    <t>Blood Group</t>
  </si>
  <si>
    <t>11th &amp; 12th Over all Marks</t>
  </si>
  <si>
    <t>Administrative Fees</t>
  </si>
  <si>
    <t>Permanent Address</t>
  </si>
  <si>
    <t>Parent Pan Card No</t>
  </si>
  <si>
    <t>Student Aadhar Card No</t>
  </si>
  <si>
    <t>Student Mobile Number</t>
  </si>
  <si>
    <t>Father Mobile Number</t>
  </si>
  <si>
    <t>Mother Mobile Number</t>
  </si>
  <si>
    <t>% of Marks in 11th &amp; 12th STD</t>
  </si>
  <si>
    <t>Parents/Guardian  E-mail ID</t>
  </si>
  <si>
    <t>Student's E-mail ID</t>
  </si>
  <si>
    <t>Registration Fees</t>
  </si>
  <si>
    <t>Total Fees Amount as per PAO</t>
  </si>
  <si>
    <t>Appl. No</t>
  </si>
  <si>
    <t>LINGAYATH</t>
  </si>
  <si>
    <t>3B</t>
  </si>
  <si>
    <t>MYSORE</t>
  </si>
  <si>
    <t>KANNADA</t>
  </si>
  <si>
    <t>A'+'ve</t>
  </si>
  <si>
    <t>PUC</t>
  </si>
  <si>
    <t>DEPARTMENT OF PRE-UNIVERSITY EDUCATION</t>
  </si>
  <si>
    <t>KARNATAKA</t>
  </si>
  <si>
    <t>PCM Total Marks</t>
  </si>
  <si>
    <t>FARMER</t>
  </si>
  <si>
    <t>INDIAN</t>
  </si>
  <si>
    <t>TELI</t>
  </si>
  <si>
    <t>OBC</t>
  </si>
  <si>
    <t>18.08.2000</t>
  </si>
  <si>
    <t>HINDI</t>
  </si>
  <si>
    <t>B'+'ve</t>
  </si>
  <si>
    <t>12th</t>
  </si>
  <si>
    <t>TELANGANA STATE BOARD OF INTERMEDIATE EDUCATION</t>
  </si>
  <si>
    <t>HYDERABAD</t>
  </si>
  <si>
    <t>07.05.2018</t>
  </si>
  <si>
    <t>HOUSE WIFE</t>
  </si>
  <si>
    <t>SELF EMPLOYED</t>
  </si>
  <si>
    <t>UTTARPRADESH</t>
  </si>
  <si>
    <t>KAPU</t>
  </si>
  <si>
    <t>GM</t>
  </si>
  <si>
    <t>TELUGU</t>
  </si>
  <si>
    <t>ANANTAPUR</t>
  </si>
  <si>
    <t>O'+'ve</t>
  </si>
  <si>
    <t>08.05.2018</t>
  </si>
  <si>
    <t>HOME MAKER</t>
  </si>
  <si>
    <t>ANDHRAPRADESH</t>
  </si>
  <si>
    <t>BOARD OF INTERMEDIATE EDUCATION : A.P., VIJAYAWADA</t>
  </si>
  <si>
    <t>SHRUTHI SATISH KUMAR</t>
  </si>
  <si>
    <t>JET</t>
  </si>
  <si>
    <t>FEMALE</t>
  </si>
  <si>
    <t>NAIR</t>
  </si>
  <si>
    <t>13.05.2000</t>
  </si>
  <si>
    <t>BANGALORE</t>
  </si>
  <si>
    <t>JU/SET/JET/18/012</t>
  </si>
  <si>
    <t>SRIDEVI SATISH KUMAR</t>
  </si>
  <si>
    <t>SATISH KUMAR A M</t>
  </si>
  <si>
    <t>TEACHER</t>
  </si>
  <si>
    <t>VP (HEAD SALES)</t>
  </si>
  <si>
    <t>BAYPS5515B</t>
  </si>
  <si>
    <t>970431862083</t>
  </si>
  <si>
    <t>NO.401, 4TH FLOOR, BUILDING 7, SHANTI PARK APPARTMENT, JAYANAGAR 9TH BLOCK, BANGALORE-560069</t>
  </si>
  <si>
    <t>JAYANAGAR 9TH BLOCK</t>
  </si>
  <si>
    <t>sridevi_satish@yahoo.co.in</t>
  </si>
  <si>
    <t>srutisk@gmail.com</t>
  </si>
  <si>
    <t>CST-AI</t>
  </si>
  <si>
    <t>NANDINI LAYOUT</t>
  </si>
  <si>
    <t>12th Marks Card, Transfer Certificate</t>
  </si>
  <si>
    <t>12.06.2001</t>
  </si>
  <si>
    <t>VISAKHAPATNAM</t>
  </si>
  <si>
    <t>14.05.2018</t>
  </si>
  <si>
    <t>12th Marks Card, Migration Certificate</t>
  </si>
  <si>
    <t>VYSHYA</t>
  </si>
  <si>
    <t>EMPLOYEE</t>
  </si>
  <si>
    <t>SC</t>
  </si>
  <si>
    <t>CHANNAPATNA</t>
  </si>
  <si>
    <t>KONANAKUNTE</t>
  </si>
  <si>
    <t>CT-CTIS</t>
  </si>
  <si>
    <t>NIKHIL N</t>
  </si>
  <si>
    <t>TAMILIAN</t>
  </si>
  <si>
    <t>07.12.1999</t>
  </si>
  <si>
    <t>TAMIL</t>
  </si>
  <si>
    <t>JU/SET/JET/18/028</t>
  </si>
  <si>
    <t>DIVYA</t>
  </si>
  <si>
    <t>NAGARAJAN S</t>
  </si>
  <si>
    <t>DBA-MIND TREE</t>
  </si>
  <si>
    <t>H R - ALLIGIES GROUP</t>
  </si>
  <si>
    <t>AICPD7158A</t>
  </si>
  <si>
    <t>#7, 1ST CROSS, PUKKRAJ LAYOUT, B G ROAD, ADUGODI POST, BANGALORE-560030</t>
  </si>
  <si>
    <t>ADUGODI</t>
  </si>
  <si>
    <t>nikhiln0712@gmail.com</t>
  </si>
  <si>
    <t>divyar1711@gmail.com/rajan_dba@yahoo.com</t>
  </si>
  <si>
    <t>366468585844</t>
  </si>
  <si>
    <t>DEVANGA</t>
  </si>
  <si>
    <t>2A</t>
  </si>
  <si>
    <t>AB'+'ve</t>
  </si>
  <si>
    <t>15.05.2018</t>
  </si>
  <si>
    <t>BUSINESS</t>
  </si>
  <si>
    <t>ARYA VYSYA</t>
  </si>
  <si>
    <t>21.03.2001</t>
  </si>
  <si>
    <t>16.05.2018</t>
  </si>
  <si>
    <t>HASSAN</t>
  </si>
  <si>
    <t>12th Marks Card</t>
  </si>
  <si>
    <t>Submitted Documents</t>
  </si>
  <si>
    <t>PAO, 10th Marks Card, Photos,Pan &amp; Aadhar Card Photo Copies</t>
  </si>
  <si>
    <t>PAO, 10th Marks Card, TC, Photos,Pan &amp; Aadhar Card Photo Copies</t>
  </si>
  <si>
    <t>NAIDU</t>
  </si>
  <si>
    <t>03.05.2018</t>
  </si>
  <si>
    <t>17.05.2018</t>
  </si>
  <si>
    <t>BC</t>
  </si>
  <si>
    <t>TAMILNADU</t>
  </si>
  <si>
    <t>28.11.2000</t>
  </si>
  <si>
    <t>AGRICULTURE</t>
  </si>
  <si>
    <t>CHENNAI</t>
  </si>
  <si>
    <t>MOHAMMED SUHAIL</t>
  </si>
  <si>
    <t>BRAHMIN</t>
  </si>
  <si>
    <t>ISLAM</t>
  </si>
  <si>
    <t>MUSLIM</t>
  </si>
  <si>
    <t>14.07.1999</t>
  </si>
  <si>
    <t>VIJAYAWADA</t>
  </si>
  <si>
    <t>URDU</t>
  </si>
  <si>
    <t>ADI DRAVIDA</t>
  </si>
  <si>
    <t>CHITTOOR</t>
  </si>
  <si>
    <t>CHRISTIAN</t>
  </si>
  <si>
    <t>18.05.2018</t>
  </si>
  <si>
    <t>MERCHANT</t>
  </si>
  <si>
    <t>17.04.2000</t>
  </si>
  <si>
    <t>KURNOOL</t>
  </si>
  <si>
    <t>JU/SET/PADM/18/052</t>
  </si>
  <si>
    <t>HABEEBA S</t>
  </si>
  <si>
    <t>MOHAMMED SHAJAHAN</t>
  </si>
  <si>
    <t>SENIOR LECTURER</t>
  </si>
  <si>
    <t>600401566320</t>
  </si>
  <si>
    <t>A G COLONY, YOUSUFGUDA, NEAR E S I OR ST. ALFOZA SCHOOL, HYDERABAD</t>
  </si>
  <si>
    <t>A G COLONY</t>
  </si>
  <si>
    <t>TELANGANA</t>
  </si>
  <si>
    <t>shaikhabeebasulthana@gmail.com</t>
  </si>
  <si>
    <t xml:space="preserve"> A G OFFICE - CENTRAL GOT</t>
  </si>
  <si>
    <t>BGLPS6661P</t>
  </si>
  <si>
    <t>A G COLONY, YOUSUFGUDA, NEAR E S I OR ST. ALFONZA SCHOOL, HYDERABAD</t>
  </si>
  <si>
    <t>suhailmohdrocks@yahoo.com</t>
  </si>
  <si>
    <t>PATRAPALLE</t>
  </si>
  <si>
    <t>INDIAN SCHOOL CERTIFICATE EXAMINATION</t>
  </si>
  <si>
    <t>12TH</t>
  </si>
  <si>
    <t>NEW DELHI</t>
  </si>
  <si>
    <t>SERVICE</t>
  </si>
  <si>
    <t>BIHAR</t>
  </si>
  <si>
    <t>12th Marks card, Migration certificate</t>
  </si>
  <si>
    <t>ANUMULA SAI AMRUTH</t>
  </si>
  <si>
    <t>02.11.2000</t>
  </si>
  <si>
    <t>JU/SET/JET/18/025</t>
  </si>
  <si>
    <t>10.05.2018</t>
  </si>
  <si>
    <t>19.05.2018</t>
  </si>
  <si>
    <t>A KATYAINI</t>
  </si>
  <si>
    <t>A SOMAIAH SETTY</t>
  </si>
  <si>
    <t>ADXPA6740P</t>
  </si>
  <si>
    <t>H.NO-3/27, ONE TOWN, NEAR GEETHA MANDIR, KURNOOL-518001</t>
  </si>
  <si>
    <t>ONE TOWN</t>
  </si>
  <si>
    <t>saisaiamruth@gmail.com</t>
  </si>
  <si>
    <t>449593364692</t>
  </si>
  <si>
    <t>BANK EMPLOYEE</t>
  </si>
  <si>
    <t>24.08.2000</t>
  </si>
  <si>
    <t>21.05.2018</t>
  </si>
  <si>
    <t>HOSUR</t>
  </si>
  <si>
    <t>EDIGA</t>
  </si>
  <si>
    <t>REDDY</t>
  </si>
  <si>
    <t>PRIVATE EMPLOYEE</t>
  </si>
  <si>
    <t>07.02.2001</t>
  </si>
  <si>
    <t>K S NIKIL</t>
  </si>
  <si>
    <t>19.04.2000</t>
  </si>
  <si>
    <t>K S NAGAMANI</t>
  </si>
  <si>
    <t>K SUBRAMANYAM</t>
  </si>
  <si>
    <t>3A</t>
  </si>
  <si>
    <t>ANDHRA PRADESH</t>
  </si>
  <si>
    <t>JU/SET/PADM/18/071</t>
  </si>
  <si>
    <t>REAL ESTATE-BUSINESS</t>
  </si>
  <si>
    <t>AWVPS3715R</t>
  </si>
  <si>
    <t>784665182733</t>
  </si>
  <si>
    <t>#115, SREENIDHI NILAYA, IST MAIN ROAD, P P LAYOUT, UTTARAHALLI VILLAGE, BANGALORE-560061</t>
  </si>
  <si>
    <t>UTTARAHALLI VILLAGE</t>
  </si>
  <si>
    <t>#47/60/1, 2MAIN ROAD, KSRTC LAYOUT, NEAR GANESHA TEMPLE, CHIKKALASANDRA, BANGALORE-560061</t>
  </si>
  <si>
    <t>PAO, 10TH Marks Card, Photos, PAN and Aadhar Card Copy</t>
  </si>
  <si>
    <t xml:space="preserve">12th Mars Card, Transfer Certificate, Caste Certificate,Not Written Email ID </t>
  </si>
  <si>
    <t>VADODARA</t>
  </si>
  <si>
    <t>GUJARATI</t>
  </si>
  <si>
    <t>GUJARAT SECONDARY AND HIGHER SECONDARY EDUCATION BOARD, GANDHINAGAR</t>
  </si>
  <si>
    <t>GUJARAT</t>
  </si>
  <si>
    <t>GUJRAT</t>
  </si>
  <si>
    <t>Migration Certificate</t>
  </si>
  <si>
    <t>RAJPUT</t>
  </si>
  <si>
    <t>VARAKAVI NAGAGIRI PRASAD RAJU</t>
  </si>
  <si>
    <t>BHATRAJU</t>
  </si>
  <si>
    <t>BCD</t>
  </si>
  <si>
    <t>ATMAKUR</t>
  </si>
  <si>
    <t>JU/SET/PADM/18/074</t>
  </si>
  <si>
    <t>922590416458</t>
  </si>
  <si>
    <t>7702823195/7013254416</t>
  </si>
  <si>
    <t>vngpraju2001@gmail.com</t>
  </si>
  <si>
    <t>PAO,10th Marks Card, Caste Certificate, TC, Photos, PAN and Aadhar Card Copy</t>
  </si>
  <si>
    <t>VARAKAVI PRAKASHA RAJU</t>
  </si>
  <si>
    <t>VARAKAVI LAKSHMI PRASANNA</t>
  </si>
  <si>
    <t>AVHPV3944Q</t>
  </si>
  <si>
    <t>D.NO.1-43/8/13-3, AKKIRAJU COLONY, ATMAKUR(M), KURNOOL (D),ANDHRA PRADESH-518422</t>
  </si>
  <si>
    <t>MADHYA PRADESH</t>
  </si>
  <si>
    <t>22.05.2018</t>
  </si>
  <si>
    <t>ODISHA</t>
  </si>
  <si>
    <t>PADMASALI</t>
  </si>
  <si>
    <t>12.05.2001</t>
  </si>
  <si>
    <t>TIRUPATI</t>
  </si>
  <si>
    <t>DONEPUDI SAI RAVI TEJA</t>
  </si>
  <si>
    <t>CHAGANTIPATI SIVA SAI JAIDEEP</t>
  </si>
  <si>
    <t>RAJAKA</t>
  </si>
  <si>
    <t>BCA</t>
  </si>
  <si>
    <t>05.04.2000</t>
  </si>
  <si>
    <t>GUNTUR</t>
  </si>
  <si>
    <t>JU/SET/PADM/18/098</t>
  </si>
  <si>
    <t>23.05.2018</t>
  </si>
  <si>
    <t>DONEPUDI VENKATA LAKSHMI</t>
  </si>
  <si>
    <t>DONEPUDI SRINIVSA RAO</t>
  </si>
  <si>
    <t>PRIVATE JOB</t>
  </si>
  <si>
    <t>ASGPD3145D</t>
  </si>
  <si>
    <t>H.NO.7-20-887, 20TH LINE, SARADA COLONY, GUNTUR, ANDHRA PRADESH-522002</t>
  </si>
  <si>
    <t>SARADA COLONY</t>
  </si>
  <si>
    <t>sairaviteja2000@gmail.com</t>
  </si>
  <si>
    <t>745399219028</t>
  </si>
  <si>
    <t>21.02.2001</t>
  </si>
  <si>
    <t>JU/SET/PADM/18/097</t>
  </si>
  <si>
    <t>CHAGANTIPATI PRASANNA</t>
  </si>
  <si>
    <t>AFDPC9602A</t>
  </si>
  <si>
    <t>350020929632</t>
  </si>
  <si>
    <t>D.NO-41/1/20-12A, BALAJINAGAR, OLD ANJANEYA SWAMY TEMPLE STREET, KRISHNA LANKA, VIJAYAWADA(URBAN), KRISHNA DISTRICT, ANDHRA PRADESH-520013</t>
  </si>
  <si>
    <t>BALAJINAGAR</t>
  </si>
  <si>
    <t>KRISHNA</t>
  </si>
  <si>
    <t>muralikrishnachagantipti@gmail.com</t>
  </si>
  <si>
    <t>jaideepsiva22@gmail.com</t>
  </si>
  <si>
    <t>CHAGANTIPATI MURALI KRISHNA</t>
  </si>
  <si>
    <t>CSSE-IOT</t>
  </si>
  <si>
    <t>TEELLA DHEERAJ NAIDU</t>
  </si>
  <si>
    <t>GEETHIKA S S TULASI LANKIMALLA</t>
  </si>
  <si>
    <t>RAGASRI YARLAGADDA</t>
  </si>
  <si>
    <t>K VELAMA</t>
  </si>
  <si>
    <t>27.05.2001</t>
  </si>
  <si>
    <t>SALUR</t>
  </si>
  <si>
    <t>GOWDA</t>
  </si>
  <si>
    <t>BCB</t>
  </si>
  <si>
    <t>11.06.2001</t>
  </si>
  <si>
    <t>29.09.2000</t>
  </si>
  <si>
    <t>JU/SET/PADM/18/100</t>
  </si>
  <si>
    <t>TEELLA SASI PRABHA</t>
  </si>
  <si>
    <t>TEELLA RAVI KUMAR</t>
  </si>
  <si>
    <t>AGGPT4432K</t>
  </si>
  <si>
    <t>965087121371</t>
  </si>
  <si>
    <t>RAJULABAZAR</t>
  </si>
  <si>
    <t>ravisasi1972@gmail.com</t>
  </si>
  <si>
    <t>dheerajtej987@gmail.com</t>
  </si>
  <si>
    <t>T RAVI KUMAR, F-403, ANIRUDH ENCLAVE, RAJULABAZAR, RAMAVARAPPADU, VIJAYAWADA, ANDHRA PRADESH-521108</t>
  </si>
  <si>
    <t>12th Marks Card, Migration Certificate, Not Entered Blood Group</t>
  </si>
  <si>
    <t>JU/SET/PADM/18/102</t>
  </si>
  <si>
    <t>MADHAVI L</t>
  </si>
  <si>
    <t>AEXPL4604G</t>
  </si>
  <si>
    <t>412976730023</t>
  </si>
  <si>
    <t>KRISHNA LANKA</t>
  </si>
  <si>
    <t>lankimalla@gmail.com</t>
  </si>
  <si>
    <t>geethikal900@gmail.com</t>
  </si>
  <si>
    <t>L VENKATESWARA RAO</t>
  </si>
  <si>
    <t>D.No.41-6-9/1, GUR STREET, KRISHNA LANKA, VIJAYAWADA, ANDHRA PRADESH-520013</t>
  </si>
  <si>
    <t>PAO,10th Marks Card,  TC, Photos, Pan and Aadhar Card Copy</t>
  </si>
  <si>
    <t>JU/SET/PADM/18/103</t>
  </si>
  <si>
    <t xml:space="preserve">SUNEELA CH </t>
  </si>
  <si>
    <t>Y V P RAJU (LATE)</t>
  </si>
  <si>
    <t>AIEPC7160R</t>
  </si>
  <si>
    <t>222198711319</t>
  </si>
  <si>
    <t>77-87-19,3RD LANE, PRASHANTHINAGAR, OPP PAYAKAPURAM POLICE STATION, PAYAKAPURAM, VIJAYAWADA, ANDHRA PRADESH-520015</t>
  </si>
  <si>
    <t>PAYAKAPURAM</t>
  </si>
  <si>
    <t>suneelaraju@gmail.com</t>
  </si>
  <si>
    <t>yarlagaddaragasri99@gmail.com</t>
  </si>
  <si>
    <t>BENGALORE</t>
  </si>
  <si>
    <t>24.05.2018</t>
  </si>
  <si>
    <t>ENGINEER</t>
  </si>
  <si>
    <t>BANDI HARSHA</t>
  </si>
  <si>
    <t>23.09.2000</t>
  </si>
  <si>
    <t>JU/SET/PADM/18/117</t>
  </si>
  <si>
    <t>B NAGASREE</t>
  </si>
  <si>
    <t>B NARASIMHA RAO</t>
  </si>
  <si>
    <t>545901175647</t>
  </si>
  <si>
    <t>DARSIPETA</t>
  </si>
  <si>
    <t>67-2-2, II FLOOR, DARSIPETA, PATAMATA, VIJAYAWADA, ANDHRA PRADESH-520010</t>
  </si>
  <si>
    <t>0866-6641199</t>
  </si>
  <si>
    <t>bhr.radar@gmail.com</t>
  </si>
  <si>
    <t>ALTPB7629J</t>
  </si>
  <si>
    <t>CHITLURI KRISHNA SAIPAVAN</t>
  </si>
  <si>
    <t>14.03.2000</t>
  </si>
  <si>
    <t>JANGAREDDYGUDEM</t>
  </si>
  <si>
    <t>JU/SET/PADM/18/118</t>
  </si>
  <si>
    <t>C H SIRISHA</t>
  </si>
  <si>
    <t>C H KANAKADURGA PRASAD</t>
  </si>
  <si>
    <t>928831831200</t>
  </si>
  <si>
    <t>5-24, RICEMILLSTREET, BORRAMPALEM, T NARASAPURAM, WEST GODAVARI, ANDHRA PRADESH-534451</t>
  </si>
  <si>
    <t>T NARASAPURAM</t>
  </si>
  <si>
    <t>WEST GODAVARI</t>
  </si>
  <si>
    <t>krishnasaipavan549@gmail.com</t>
  </si>
  <si>
    <t>12th Marks Card,Pan Copy</t>
  </si>
  <si>
    <t>07.08.2000</t>
  </si>
  <si>
    <t>CS-DS</t>
  </si>
  <si>
    <t>SINGH ABHISHEK</t>
  </si>
  <si>
    <t>KSHATRIYA</t>
  </si>
  <si>
    <t>09.12.1999</t>
  </si>
  <si>
    <t xml:space="preserve">SRIKAKULAM </t>
  </si>
  <si>
    <t>JU/SET/PADM/18/020</t>
  </si>
  <si>
    <t>SNEHLATA CHAUHAN</t>
  </si>
  <si>
    <t>JAGADAMBIKA PRASAD SINGH</t>
  </si>
  <si>
    <t>PROJECT MANAGER</t>
  </si>
  <si>
    <t>BMBPS26534</t>
  </si>
  <si>
    <t>884682297747</t>
  </si>
  <si>
    <t>102, WESTERN HEIGHTS, WESTERN HILLS, ADDAGUTTA, KUKATPALLLY, HYDERABAD-500072</t>
  </si>
  <si>
    <t>ADDAGUTTA</t>
  </si>
  <si>
    <t>040-40173147</t>
  </si>
  <si>
    <t>tjpsingh@outlook.com</t>
  </si>
  <si>
    <t>thakurabhisheksinghbais@gmail.com</t>
  </si>
  <si>
    <t>102, WESTERN HEIGHTS, WESTERN HILLS, ADDAGUTTA, KUKATPALLY, HYDERABAD-500072</t>
  </si>
  <si>
    <t>AMUTHAN B</t>
  </si>
  <si>
    <t>NADAR</t>
  </si>
  <si>
    <t>17.06.2000</t>
  </si>
  <si>
    <t>MUTHUKRISHNAPERI</t>
  </si>
  <si>
    <t>DEPARTMENT OF GOVERNMENT EXAMINATIONS, CHENNAI</t>
  </si>
  <si>
    <t>JU/SET/JET/18/054</t>
  </si>
  <si>
    <t>MAILRANI</t>
  </si>
  <si>
    <t>FARMING</t>
  </si>
  <si>
    <t>BALAMURUGAN P</t>
  </si>
  <si>
    <t>AGAPN3885C</t>
  </si>
  <si>
    <t>970945930258</t>
  </si>
  <si>
    <t>3/347, MAIN ROAD, MUTHUKRISHNAPERI, ALANGULAM(T), KALANIRKULAM(P), TIRUNELVELI(D),TAMILNADU-627861</t>
  </si>
  <si>
    <t>MUTHUKRISHANAPERI</t>
  </si>
  <si>
    <t>TIRUNELVELI</t>
  </si>
  <si>
    <t>HOUSE NO.32, CONFIDENT BELLATRIX, INDUS SCHOOL ROAD, BILLAPURA, SARJAPURA, BANGALORE-562125</t>
  </si>
  <si>
    <t>myil@nathar.com</t>
  </si>
  <si>
    <t>amuthanreaper@gmail.com</t>
  </si>
  <si>
    <t>12th Marks Card, Pan Copy</t>
  </si>
  <si>
    <t>KOMANDURI SRIDURGASESHALAKSHMI CHANDRIKA</t>
  </si>
  <si>
    <t>SRI VAISHNAVA</t>
  </si>
  <si>
    <t>13.04.2001</t>
  </si>
  <si>
    <t>K VYJAYANTHI</t>
  </si>
  <si>
    <t>K S R CHAKRAVARTHY</t>
  </si>
  <si>
    <t>AIZPK4276D</t>
  </si>
  <si>
    <t>634946945536</t>
  </si>
  <si>
    <t>45-142-26C-1-1, VENKATARAMANA COLONY, ROAD NO.4, KURNOOL, ANDHRA PRADESH-518005</t>
  </si>
  <si>
    <t>VENKATARAMANA COLONY</t>
  </si>
  <si>
    <t>JU/SET/PADM/18/127</t>
  </si>
  <si>
    <t>chakravarthyksr@gmail.com</t>
  </si>
  <si>
    <t>chandrikakomanduri@gmail.com</t>
  </si>
  <si>
    <t>CE-CTMA</t>
  </si>
  <si>
    <t>RASHMI RAO</t>
  </si>
  <si>
    <t>24.10.2000</t>
  </si>
  <si>
    <t>TULU</t>
  </si>
  <si>
    <t>JU/SET/PADM/18/046</t>
  </si>
  <si>
    <t>25.05.2018</t>
  </si>
  <si>
    <t>SUDHA</t>
  </si>
  <si>
    <t>BHASKAR RAO</t>
  </si>
  <si>
    <t>ACBPR8882J</t>
  </si>
  <si>
    <t>529273815989</t>
  </si>
  <si>
    <t>#58, 2ND CROSS, GAUVRAV NAGAR, J P NAGAR, 7TH PHASE, BANGALORE-560078</t>
  </si>
  <si>
    <t>GAUVARAV NAGAR</t>
  </si>
  <si>
    <t>080-26637365</t>
  </si>
  <si>
    <t>raobr@yahoo.com</t>
  </si>
  <si>
    <t>rashmibrao2000@gmail.com</t>
  </si>
  <si>
    <t>OC</t>
  </si>
  <si>
    <t>ANANTHAPURAM</t>
  </si>
  <si>
    <t>11.06.2000</t>
  </si>
  <si>
    <t xml:space="preserve">PALAMANER </t>
  </si>
  <si>
    <t xml:space="preserve">12TH </t>
  </si>
  <si>
    <t>JU/SET/JET/18/057</t>
  </si>
  <si>
    <t>PALAMANER</t>
  </si>
  <si>
    <t>ALAVALA VAMSI KRISHNA REDDY</t>
  </si>
  <si>
    <t>19.03.2001</t>
  </si>
  <si>
    <t>BUDAWADA</t>
  </si>
  <si>
    <t>JU/SET/PADM/18/045</t>
  </si>
  <si>
    <t>ALAVALA SIVAPARVATHI</t>
  </si>
  <si>
    <t>ALAVALA HANUMA REDDY</t>
  </si>
  <si>
    <t>BRMPA5222L</t>
  </si>
  <si>
    <t>BUDAWADA(V),J PANGALARA(M), PRAKASAM(D),ANDHRA PRADESH-523167</t>
  </si>
  <si>
    <t>PRAKASAM</t>
  </si>
  <si>
    <t>mail2eemani@gmail.com</t>
  </si>
  <si>
    <t>mail2avamsi@gmail.cm</t>
  </si>
  <si>
    <t>PAO,10th Marks Card,  TC, Photos   Pan and Aadhar Card Copy</t>
  </si>
  <si>
    <t>12th Marks Card,Migration Certificate</t>
  </si>
  <si>
    <t>520909593712</t>
  </si>
  <si>
    <t>28.03.2001</t>
  </si>
  <si>
    <t>ADVOCATE</t>
  </si>
  <si>
    <t>VYSHYAS</t>
  </si>
  <si>
    <t>B'-'ve</t>
  </si>
  <si>
    <t>JHARSUGUDA</t>
  </si>
  <si>
    <t>CETRAL BOARD OF SECONDARY EDUCATION</t>
  </si>
  <si>
    <t>SHAH AJAY KAMLESH</t>
  </si>
  <si>
    <t>JAIN</t>
  </si>
  <si>
    <t>08.09.1999</t>
  </si>
  <si>
    <t>SURAT</t>
  </si>
  <si>
    <t>B212820</t>
  </si>
  <si>
    <t>JU/SET/PADM/18/141</t>
  </si>
  <si>
    <t>KAMLESH SHAH</t>
  </si>
  <si>
    <t>PISTA SHAH</t>
  </si>
  <si>
    <t>780231510460</t>
  </si>
  <si>
    <t>1002-A, SANTOSA HEIGHTS, NR AASHIRWAD ENCLAVE, ALTHAN, SURAT, GUJARAT</t>
  </si>
  <si>
    <t>ALTHAN</t>
  </si>
  <si>
    <t>PAO,10th Marks Card,  12th MC,TC, Aadhar Card Copy</t>
  </si>
  <si>
    <t xml:space="preserve">Migration Certificate,Pan Copy </t>
  </si>
  <si>
    <t>ajayshah8999@email.com</t>
  </si>
  <si>
    <t>06.03.2001</t>
  </si>
  <si>
    <t>BENGALI</t>
  </si>
  <si>
    <t>WEST BENGAL</t>
  </si>
  <si>
    <t>PURBA MEDINIPUR</t>
  </si>
  <si>
    <t>SHAIK SHAHANAWAZ</t>
  </si>
  <si>
    <t>TUMMALAPUDI SAI MANI RISHI NANDAN</t>
  </si>
  <si>
    <t>MALLELA RAGHAVENDRA</t>
  </si>
  <si>
    <t>DUDEKULA</t>
  </si>
  <si>
    <t>26.11.2001</t>
  </si>
  <si>
    <t>WARANGAL</t>
  </si>
  <si>
    <t>JU/SET/PADM/18/019</t>
  </si>
  <si>
    <t>26.05.2018</t>
  </si>
  <si>
    <t>SHAIK SAJEEDA BEGUM</t>
  </si>
  <si>
    <t>SHAIK JAMAL</t>
  </si>
  <si>
    <t>GOVT EMPLOYEE</t>
  </si>
  <si>
    <t>BOCPS1054M</t>
  </si>
  <si>
    <t>907285373942</t>
  </si>
  <si>
    <t>KHAMMAM</t>
  </si>
  <si>
    <t>nousheedansh45@gmail.com</t>
  </si>
  <si>
    <t>PAO,10th Marks Crd, TC, Photos, PAN and Aadhar Card Copy</t>
  </si>
  <si>
    <t>5-2-206, MUSTAFANAGAR, KHAMMAM(URBAN), KHAMMAM, TELANGANA</t>
  </si>
  <si>
    <t>VYSYA</t>
  </si>
  <si>
    <t>08.09.2001</t>
  </si>
  <si>
    <t>BAPATLA</t>
  </si>
  <si>
    <t>JU/SET/JET/18/064</t>
  </si>
  <si>
    <t>TUMMALAPUDI SITA MAHA LAKSHMI</t>
  </si>
  <si>
    <t>TUMMALAPUDI SATISH KUMAR</t>
  </si>
  <si>
    <t>ACIPT4483G</t>
  </si>
  <si>
    <t>213077887530</t>
  </si>
  <si>
    <t>#5-1-655/1, FLAT NO.105.A.BLOCK, AISWARYA TOWES, KAVIRAJ NAGAR, KHAMMAM, TELANGAMA-507002</t>
  </si>
  <si>
    <t>KAVIRAJ NAGAR</t>
  </si>
  <si>
    <t>satishtummalapudi@yahoo.com</t>
  </si>
  <si>
    <t>rishitummalapudi@gmail.com</t>
  </si>
  <si>
    <t>07.06.2001</t>
  </si>
  <si>
    <t>NANDYAL</t>
  </si>
  <si>
    <t>JU/SET/PADM/18/146</t>
  </si>
  <si>
    <t>M RAMADEVI</t>
  </si>
  <si>
    <t>M PRASAD</t>
  </si>
  <si>
    <t>BRDPP7526B</t>
  </si>
  <si>
    <t>5-55, RUDRAVARAM(V), RUDRAVARAM(M)MAIN BAZAR, KURNOOL(D), ANDHRA PRADESH</t>
  </si>
  <si>
    <t>RUDRAVARAM</t>
  </si>
  <si>
    <t>mallelraghava99@gmail.com</t>
  </si>
  <si>
    <t>355329410565</t>
  </si>
  <si>
    <t>12th Marks Card, TC</t>
  </si>
  <si>
    <t>SACHIN S SALIGRAM</t>
  </si>
  <si>
    <t>24.01.2000</t>
  </si>
  <si>
    <t>JU/SET/PADM/18/008</t>
  </si>
  <si>
    <t>28.05.2018</t>
  </si>
  <si>
    <t>KALYANI SUDHIR</t>
  </si>
  <si>
    <t>SUDHIR S N</t>
  </si>
  <si>
    <t>ACDPN9695H</t>
  </si>
  <si>
    <t>344243158981</t>
  </si>
  <si>
    <t>97/C, "ANNAPURNA", 12TH CROSS, MYSORE ROAD, RAJESHWARI NAGAR, BANGALORE-560098</t>
  </si>
  <si>
    <t>RAJESHWARI NAGAR</t>
  </si>
  <si>
    <t>sudhi_sn@yahoo.com</t>
  </si>
  <si>
    <t>PAO,10th Marks Crd, Photos, TC, PAN and Aadhar Card Copy</t>
  </si>
  <si>
    <t>MEGHANA P</t>
  </si>
  <si>
    <t>VEYYURU SAI VARA PRASAD</t>
  </si>
  <si>
    <t>WALARAM SOLANKI L</t>
  </si>
  <si>
    <t>BACHU KESHAV</t>
  </si>
  <si>
    <t>23.04.2000</t>
  </si>
  <si>
    <t>JU/SET/PADM/18/154</t>
  </si>
  <si>
    <t>SHILPA C</t>
  </si>
  <si>
    <t>PRASANNA K</t>
  </si>
  <si>
    <t>INTERIOR DESIGNER</t>
  </si>
  <si>
    <t>AFOPP2044N</t>
  </si>
  <si>
    <t>448781357493</t>
  </si>
  <si>
    <t>#92,1ST CROSS, LALJINAGAR, LAKKASANDARA, BANGALORE-560030</t>
  </si>
  <si>
    <t>LAKKASANDARA</t>
  </si>
  <si>
    <t>080-22234427</t>
  </si>
  <si>
    <t>jkskilledarts@gmail.com</t>
  </si>
  <si>
    <t>prasannameghana75@gmail.com</t>
  </si>
  <si>
    <t>KAMMA</t>
  </si>
  <si>
    <t>14.09.2001</t>
  </si>
  <si>
    <t>JU/SET/JET/18/066</t>
  </si>
  <si>
    <t>V VIJAYALAKSHMI</t>
  </si>
  <si>
    <t>V BABU RAO</t>
  </si>
  <si>
    <t>1-2 LAKHS</t>
  </si>
  <si>
    <t>AJFPV3817L</t>
  </si>
  <si>
    <t>883432609284</t>
  </si>
  <si>
    <t>H.NO.77/182C, KALLUR ESTATE,KURNOOL, ANDHRA PRADESH-518003</t>
  </si>
  <si>
    <t>KALLUR ESTATE</t>
  </si>
  <si>
    <t>saitharun2367@gmail.com</t>
  </si>
  <si>
    <t>12th Marks Card,Migration Certificate,Photos, Aadhar Card Copy</t>
  </si>
  <si>
    <t>PAO,10th Marks Crd, TC,PAN  Card Copy</t>
  </si>
  <si>
    <t>SOLANKI</t>
  </si>
  <si>
    <t>02.12.1998</t>
  </si>
  <si>
    <t>BADMEER</t>
  </si>
  <si>
    <t>JU/SET/JET/18/068</t>
  </si>
  <si>
    <t>SHANTHI DEVI S</t>
  </si>
  <si>
    <t>LACHHARAM SOLANKI K</t>
  </si>
  <si>
    <t>ACKPS5513J</t>
  </si>
  <si>
    <t>437039457338</t>
  </si>
  <si>
    <t>31/32, BHARTHI STREET, NEAR JYOTHI THEATER, TRIPPUR(VATIPALYAM)TRIPUR-641601</t>
  </si>
  <si>
    <t>BHARTHI STREET</t>
  </si>
  <si>
    <t>TRIPUR</t>
  </si>
  <si>
    <t>10, UNIVERSAL ROAD, NEAR RKG TOURS AND TRAVELS, TIRUPUR-641601</t>
  </si>
  <si>
    <t>0421-2200614</t>
  </si>
  <si>
    <t>94425-31426</t>
  </si>
  <si>
    <t>walaramsolanki@gmail.com</t>
  </si>
  <si>
    <t>07.01.2000</t>
  </si>
  <si>
    <t>JU/SET/JET/18/067</t>
  </si>
  <si>
    <t>B SULOCHANA</t>
  </si>
  <si>
    <t>B SREERAMULU</t>
  </si>
  <si>
    <t>CLOTH MERCHANT</t>
  </si>
  <si>
    <t>CPLPB5615Q</t>
  </si>
  <si>
    <t>630050635386</t>
  </si>
  <si>
    <t>5-2E, BUS STAND, GARGEYAPURAM KURNOOL, ANDHRA PRADESH-518452</t>
  </si>
  <si>
    <t>GARGEYAPURAM</t>
  </si>
  <si>
    <t>AJANTA PRIME APARTMENTS, B-BLOCK, FF-10, LAVAKUSHA NAGAR, KONAPPANA AGRAHARA, KARNATAKA-560100</t>
  </si>
  <si>
    <t>keshav.bachu2000@gmail.com</t>
  </si>
  <si>
    <t>PAO,10th Marks Crd,TC, Photos,Pan and Aadhar Card Copy</t>
  </si>
  <si>
    <t>KARIMNAGAR</t>
  </si>
  <si>
    <t>MARATHI</t>
  </si>
  <si>
    <t>O'-'ve</t>
  </si>
  <si>
    <t>ARMY</t>
  </si>
  <si>
    <t>HARYANA</t>
  </si>
  <si>
    <t>PAO,10th Marks Card, TC, Photos, Pan andAadhar Card Copy</t>
  </si>
  <si>
    <t>SELF EMPLOYEE</t>
  </si>
  <si>
    <t>TENALI</t>
  </si>
  <si>
    <t>BUSINESS MAN</t>
  </si>
  <si>
    <t>C SAI SUBRAMANYAM</t>
  </si>
  <si>
    <t>P THARUNNATH REDDY</t>
  </si>
  <si>
    <t>SE</t>
  </si>
  <si>
    <t>SAKTHIVEL S</t>
  </si>
  <si>
    <t>TAMAL KANTI DAS</t>
  </si>
  <si>
    <t>11.04.2000</t>
  </si>
  <si>
    <t>JU/SET/PADM/18/049</t>
  </si>
  <si>
    <t>29.05.2018</t>
  </si>
  <si>
    <t>C RADHIKA</t>
  </si>
  <si>
    <t>C SURENDRANATH</t>
  </si>
  <si>
    <t>HOUSE KEEPER</t>
  </si>
  <si>
    <t>AAUPC0727G</t>
  </si>
  <si>
    <t>880834264517</t>
  </si>
  <si>
    <t>H.NO.25/282-B, SANJEEVA NAGAR, NANDYAL, KURNOOL(D), ANDHRA PRADESH-518501</t>
  </si>
  <si>
    <t>csaisubramanyam11@gmail.com</t>
  </si>
  <si>
    <t>12th Marks Card,Migration Certificate,Annul Income not entered</t>
  </si>
  <si>
    <t>15.08.2001</t>
  </si>
  <si>
    <t>28.10.2000</t>
  </si>
  <si>
    <t>JU/SET/JET/18/072</t>
  </si>
  <si>
    <t>P SUMALATHA</t>
  </si>
  <si>
    <t>P PURUSHOTHAM REDDY</t>
  </si>
  <si>
    <t>BEYPR2711E</t>
  </si>
  <si>
    <t>5-140-A, OC COLONY, DORNIPADU, KURNOOL(D), ANDHRA PRADESH-518135</t>
  </si>
  <si>
    <t>DORNIPADU</t>
  </si>
  <si>
    <t>2-428-124-8-4 A UPSTRAIRS, BALAJI COMPLEX, NANDYAL, ANDHRA PRADESH-518501</t>
  </si>
  <si>
    <t>ptharunnathreddy@gmail.com</t>
  </si>
  <si>
    <t>456333105347</t>
  </si>
  <si>
    <t>P SAI JAYANTH</t>
  </si>
  <si>
    <t>KANALA TEJA SIMHA REDDY</t>
  </si>
  <si>
    <t>MADHYANAPU ABHISHEK KUMAR</t>
  </si>
  <si>
    <t>AARTI B</t>
  </si>
  <si>
    <t>30.10.1999</t>
  </si>
  <si>
    <t>SALEM</t>
  </si>
  <si>
    <t xml:space="preserve">SHARMILA S </t>
  </si>
  <si>
    <t xml:space="preserve">SARAVANAN P C </t>
  </si>
  <si>
    <t>TEXTILES BUSINESS</t>
  </si>
  <si>
    <t>ABOVE 5 LACKHS</t>
  </si>
  <si>
    <t>AOWPS3945N</t>
  </si>
  <si>
    <t>812259793437</t>
  </si>
  <si>
    <t>381, CHINNAMMAPET, VEERNAM MAIN ROAD, ALLIKUTTAI(P), SALEM-636003</t>
  </si>
  <si>
    <t>ALLIKUTAI</t>
  </si>
  <si>
    <t>0427-2296951/2296950</t>
  </si>
  <si>
    <t>pmcsaravanan@gmail.com</t>
  </si>
  <si>
    <t>pmcsakthivel@gmail.com</t>
  </si>
  <si>
    <t>05.03.2001</t>
  </si>
  <si>
    <t>HOUSE MAKER</t>
  </si>
  <si>
    <t>12.10.1999</t>
  </si>
  <si>
    <t>CENTRAL BOARD OF SECONDARY EDUCATION</t>
  </si>
  <si>
    <t>ARUNACHAL PRADESH</t>
  </si>
  <si>
    <t>JU/SET/PADM/18/173</t>
  </si>
  <si>
    <t>RENU BALA DAS</t>
  </si>
  <si>
    <t>SUBAL CHANDRA DAS</t>
  </si>
  <si>
    <t>AIQPD8719H</t>
  </si>
  <si>
    <t>287066895190</t>
  </si>
  <si>
    <t>VILL-MARISHDA, PO-MARISHDA, DIST-PURBA MEDINIPUR(WEST BENGAL)-721449</t>
  </si>
  <si>
    <t>MARISHDA</t>
  </si>
  <si>
    <t>528 SS LTC (GREE), KIMIN, PAPUMPARE(D), ARUNACHAL PRADESH</t>
  </si>
  <si>
    <t>tamalkd19@gmail.com</t>
  </si>
  <si>
    <t>PAO,10th Marks Card,Photos, Pan andAadhar Card Copy</t>
  </si>
  <si>
    <t>12th Marks Card,  TC, Migration Certificate</t>
  </si>
  <si>
    <t>ACHARYA</t>
  </si>
  <si>
    <t>06.10.2000</t>
  </si>
  <si>
    <t>TIRUPATHI</t>
  </si>
  <si>
    <t>JU/SET/PADM/18/175</t>
  </si>
  <si>
    <t>R USHA RANI</t>
  </si>
  <si>
    <t>P GANESWARACHARI</t>
  </si>
  <si>
    <t>T T D EMPLOYEE</t>
  </si>
  <si>
    <t>AJPPG4284Q</t>
  </si>
  <si>
    <t>818838890572</t>
  </si>
  <si>
    <t>2-164/10, SRI LAKSHMI NAGAR, NEW BALAJI COLONY, TIRUPATI, CHITTOR DIST, ANDHRA PRADESH</t>
  </si>
  <si>
    <t>pgchari20@gmail.com</t>
  </si>
  <si>
    <t>saijayanth0855@gmail.com</t>
  </si>
  <si>
    <t>P GANESWARACHARI, SRI PADMAAVATI REST HOUSE, T T DEVASTHANAMS OPP EAST POLICE STATION, SPW COLLEGE ROAD, TIRUPATI, CHITTOOR, ANDHRA PRADESH</t>
  </si>
  <si>
    <t>JU/SET/PADM/18/188</t>
  </si>
  <si>
    <t>K JAYA BHARATHI</t>
  </si>
  <si>
    <t>KANALA RAMBHUPAL REDDY</t>
  </si>
  <si>
    <t>EKZPK5418K</t>
  </si>
  <si>
    <t>H.NO.40-20-5280, NEHRU NAGAR,KURNOOL,ANDHRA PRADESH-518001</t>
  </si>
  <si>
    <t>NEHRU NAGAR</t>
  </si>
  <si>
    <t>994438523102</t>
  </si>
  <si>
    <t>tejasimha208@gmail.coma</t>
  </si>
  <si>
    <t>25.07.2000</t>
  </si>
  <si>
    <t>JU/SET/PADM/18/189</t>
  </si>
  <si>
    <t xml:space="preserve">M PADMAJA </t>
  </si>
  <si>
    <t>M V S V PRASAD</t>
  </si>
  <si>
    <t>AGQPM6987J</t>
  </si>
  <si>
    <t>635052353817</t>
  </si>
  <si>
    <t>D.NO.70-6-25, PAMULA GARI STREET, PATAMATA, VIJAYAWADA, ANDHRA PRADESH-520010</t>
  </si>
  <si>
    <t>PATAMATA</t>
  </si>
  <si>
    <t>citydecors1996@gmail.com</t>
  </si>
  <si>
    <t>mabhishekkumar1438@gmail.com</t>
  </si>
  <si>
    <t>PAO,10th Marks Card, TC, Photos, Pan  Card Copy</t>
  </si>
  <si>
    <t>12th Marks Card, Migration Certificate,Aadhar Card Copy</t>
  </si>
  <si>
    <t>28.02.2001</t>
  </si>
  <si>
    <t>TRICHY</t>
  </si>
  <si>
    <t>JU/SET/JET/18/076</t>
  </si>
  <si>
    <t xml:space="preserve">RAJESWARI V </t>
  </si>
  <si>
    <t>BASKARAN B</t>
  </si>
  <si>
    <t>BCBPB1582L</t>
  </si>
  <si>
    <t>387768992303</t>
  </si>
  <si>
    <t>KAMARAJPURAM</t>
  </si>
  <si>
    <t>baskaranbond@gmail.com</t>
  </si>
  <si>
    <t>4/16, KAMARAJPURAM, 2ND STREET, PUDUKKOTTA(D), TAMILNADU-600001</t>
  </si>
  <si>
    <t>PUDUKKOTTA</t>
  </si>
  <si>
    <t>aartishrikutty@gmail.com</t>
  </si>
  <si>
    <t>10.05.2000</t>
  </si>
  <si>
    <t>BELLANDUR</t>
  </si>
  <si>
    <t>JU/SET/PADM/18/191</t>
  </si>
  <si>
    <t>12th Marks Card, Migration Certificate, Pan Copy</t>
  </si>
  <si>
    <t>30.05.2018</t>
  </si>
  <si>
    <t>DHRUV NARAYAN PATHI</t>
  </si>
  <si>
    <t>PUNYAMURTHY MANIKANTA KOUSHIK</t>
  </si>
  <si>
    <t>HARSHIT KOTHARI</t>
  </si>
  <si>
    <t>11.10.2000</t>
  </si>
  <si>
    <t>GOLLA</t>
  </si>
  <si>
    <t>KOLKATA</t>
  </si>
  <si>
    <t>16.10.2000</t>
  </si>
  <si>
    <t>JAYANAGAR</t>
  </si>
  <si>
    <t>21.04.2000</t>
  </si>
  <si>
    <t>JU/SET/JET/18/008</t>
  </si>
  <si>
    <t>NANDINI PATHI</t>
  </si>
  <si>
    <t>P V VIJAY BHASKAR</t>
  </si>
  <si>
    <t>ABRPB0894R</t>
  </si>
  <si>
    <t>435540806482</t>
  </si>
  <si>
    <t>J P NAGAR</t>
  </si>
  <si>
    <t>viju149@rediffmail.com</t>
  </si>
  <si>
    <t>dhruvnp48@gmail.com</t>
  </si>
  <si>
    <t>1042, SOBHA DEW FLOWERS, 4TH CROSS, SARAKKI MAIN ROAD, M G GARDEN, 1ST PHASE, J P NAGAR, BANGALORE-560078</t>
  </si>
  <si>
    <t>15.06.1999</t>
  </si>
  <si>
    <t>PUNYAMURTHY SHARADHA</t>
  </si>
  <si>
    <t>PUNYAMURTHY CHANDRA MOHAN</t>
  </si>
  <si>
    <t>LESS THAN 1 LAKHS</t>
  </si>
  <si>
    <t>759275338969</t>
  </si>
  <si>
    <t>H.NO.3-550A, ROJA KUNTA STREET, NANDYAL, KURNOOL DIST, ANDHRA PRADESH-518501</t>
  </si>
  <si>
    <t>manikantakoushik202@gmail.com</t>
  </si>
  <si>
    <t>07.06.2000</t>
  </si>
  <si>
    <t>JAIPUR</t>
  </si>
  <si>
    <t>JU/SET/PADM/18/021</t>
  </si>
  <si>
    <t>PREM KOTHARI</t>
  </si>
  <si>
    <t>VINOD KOTHARI</t>
  </si>
  <si>
    <t>C101, ROYAL LEGEND APT, KODICHIKANAHALLI, BOMMANHALLI, BANGALORE-560068</t>
  </si>
  <si>
    <t>KODICHIKANAHALLI</t>
  </si>
  <si>
    <t>harshitkothari123@gmail.com</t>
  </si>
  <si>
    <t>DKPPK5241F</t>
  </si>
  <si>
    <t>338225650685</t>
  </si>
  <si>
    <t>23.08.2000</t>
  </si>
  <si>
    <t>KRISHNAGIRI</t>
  </si>
  <si>
    <t>PAO,10th Marks Card,TC,  Photos ,Pan and Aadhar Card Copy</t>
  </si>
  <si>
    <t>21.08.2001</t>
  </si>
  <si>
    <t>31.05.2018</t>
  </si>
  <si>
    <t>PRITHVIRAJ MADHUSUDHAN</t>
  </si>
  <si>
    <t>JYOTI RANJAN SWAIN</t>
  </si>
  <si>
    <t>SHAIK SAMEER</t>
  </si>
  <si>
    <t>SURYA Y M</t>
  </si>
  <si>
    <t>ROMAN CATHOLIC</t>
  </si>
  <si>
    <t>KURUBA</t>
  </si>
  <si>
    <t>04.11.1999</t>
  </si>
  <si>
    <t>JU/SET/JET/18/169</t>
  </si>
  <si>
    <t>GEETHA MADHUSUDHAN</t>
  </si>
  <si>
    <t>N R MADHUSUDHAN</t>
  </si>
  <si>
    <t>AETPM0892H</t>
  </si>
  <si>
    <t>606883366883</t>
  </si>
  <si>
    <t>304, 3RD FLOOR, RAVIKIRAN APARTMENTS, 4TH MAIN, 15TH CROSS, MALLESHWARAM, BANGALORE-560003</t>
  </si>
  <si>
    <t>MALLESHWARAM</t>
  </si>
  <si>
    <t>080-23464492</t>
  </si>
  <si>
    <t>prithviraj.madhusudhan@gmail.com</t>
  </si>
  <si>
    <t>15.10.2000</t>
  </si>
  <si>
    <t>ERODE</t>
  </si>
  <si>
    <t>ODIA</t>
  </si>
  <si>
    <t>08.02.2000</t>
  </si>
  <si>
    <t xml:space="preserve">CUTTACK </t>
  </si>
  <si>
    <t>JU/SET/JET/18/080</t>
  </si>
  <si>
    <t>CHITA RANJAN SWAIN</t>
  </si>
  <si>
    <t>CKJPS7388Q</t>
  </si>
  <si>
    <t>292528178659</t>
  </si>
  <si>
    <t>1398/1B, SECTOR-9, CDA CUTTAK(D), ORISSA-753014</t>
  </si>
  <si>
    <t>CDA</t>
  </si>
  <si>
    <t>CUTTAK</t>
  </si>
  <si>
    <t>ORISSA</t>
  </si>
  <si>
    <t>crelectricals17@gmail.com</t>
  </si>
  <si>
    <t>jrsworldmac@gmail.com</t>
  </si>
  <si>
    <t>SASHIREKHA SWAIN</t>
  </si>
  <si>
    <t>03.09.2000</t>
  </si>
  <si>
    <t>SHAIK</t>
  </si>
  <si>
    <t>BCE</t>
  </si>
  <si>
    <t>30.07.2000</t>
  </si>
  <si>
    <t>KADAPA</t>
  </si>
  <si>
    <t>JU/SET/PADM/18/196</t>
  </si>
  <si>
    <t>SHAIK RIZWANA</t>
  </si>
  <si>
    <t>SHAIK SALAM</t>
  </si>
  <si>
    <t>EUZPS3120N</t>
  </si>
  <si>
    <t>314259941547</t>
  </si>
  <si>
    <t>6/1527-2, SANKARAPURAM, CHINNACHOWK, KADAPA(D), ANDHRA PRADESH-516002</t>
  </si>
  <si>
    <t>SANKARAPURAM</t>
  </si>
  <si>
    <t>sameerrosk358@gmail.com</t>
  </si>
  <si>
    <t>NILGIRIS</t>
  </si>
  <si>
    <t>KURUBAS</t>
  </si>
  <si>
    <t>21.08.1998</t>
  </si>
  <si>
    <t>101527638152</t>
  </si>
  <si>
    <t>NATIONAL INSTITUTE OF OPEN SCHOOLING</t>
  </si>
  <si>
    <t>JU/SET/PADM/18/198</t>
  </si>
  <si>
    <t>VEENA S D</t>
  </si>
  <si>
    <t>SENIOR ACCOUNTANT</t>
  </si>
  <si>
    <t>MOHAN KUMAR Y (LATE)</t>
  </si>
  <si>
    <t>AOMPV5422M</t>
  </si>
  <si>
    <t>692574840133</t>
  </si>
  <si>
    <t>NO.17, 3RD FLOOR, 3RD CROSS, 3RD MAIN, NEW BEL ROAD, BANGALORE-560094</t>
  </si>
  <si>
    <t>veenasd3248@gmail.com</t>
  </si>
  <si>
    <t>surya2148ym@gmail.com</t>
  </si>
  <si>
    <t>PAO,10th &amp;12th Marks Card,TC, Migration Certificate,Photos ,Pan and Aadhar Card Copy</t>
  </si>
  <si>
    <t>NO.17, OLD NUM 618, 2ND CROSS, MAHALAKSHMI LAYOUT, BANGALORE-560086</t>
  </si>
  <si>
    <t>MAHALAKSHMI LAYOUT</t>
  </si>
  <si>
    <t>BUTRA JAGADISH</t>
  </si>
  <si>
    <t>04.02.2000</t>
  </si>
  <si>
    <t>DHARMAVARAM</t>
  </si>
  <si>
    <t>JU/SET/PADM/18/200</t>
  </si>
  <si>
    <t>BUTRA PADMA</t>
  </si>
  <si>
    <t>BUTRA BAYANNA</t>
  </si>
  <si>
    <t>764416828645</t>
  </si>
  <si>
    <t>D.NO.23-550, SAI NAGAR, DHARMAVARAM, ANANTAPUR, ANDHRA PRADESH-515671</t>
  </si>
  <si>
    <t>jagadish.butra@gmail.com</t>
  </si>
  <si>
    <t>01.06.2018</t>
  </si>
  <si>
    <t>PAO,10th Marks Card,TC,Migration Certificate,Photos ,Pan and Aadhar Card Copy</t>
  </si>
  <si>
    <t>GAYATHRI R MENON</t>
  </si>
  <si>
    <t>11.03.2000</t>
  </si>
  <si>
    <t>KERALA</t>
  </si>
  <si>
    <t>MALAYALAM</t>
  </si>
  <si>
    <t>JU/SET/PADM/18/202</t>
  </si>
  <si>
    <t>INDIRA DEVI V B</t>
  </si>
  <si>
    <t>RAJEEV D</t>
  </si>
  <si>
    <t>MANAGER</t>
  </si>
  <si>
    <t>AHAPR4728B</t>
  </si>
  <si>
    <t>949379750266</t>
  </si>
  <si>
    <t>302, TOWER III, PINNACLE RESIDENCY, AYYANTHOLE, THRISSUR, KERALA-680003</t>
  </si>
  <si>
    <t>AYYANTHOLE</t>
  </si>
  <si>
    <t>THRISSUR</t>
  </si>
  <si>
    <t>rajeevrajimenon@gmail.com</t>
  </si>
  <si>
    <t>indurajeev1969@gmail.com</t>
  </si>
  <si>
    <t>KATLA ASHOK SAMBI REDDY</t>
  </si>
  <si>
    <t>TUMMALACHERVU</t>
  </si>
  <si>
    <t>JU/SET/PADM/18/203</t>
  </si>
  <si>
    <t>KATLA ANANTHA LAKSHMI</t>
  </si>
  <si>
    <t>KATLA SRINIVASA REDDY</t>
  </si>
  <si>
    <t>941858734659</t>
  </si>
  <si>
    <t>4-48, MAIN ROAD, THUMMALACHERUVU, GUNTUR(D), ANDHRA PRADESH-522437</t>
  </si>
  <si>
    <t>THUMMALACHERUVU</t>
  </si>
  <si>
    <t>ashokskatla@gmail.com</t>
  </si>
  <si>
    <t>DKRPK4299D</t>
  </si>
  <si>
    <t>SHUBHAM GUPTA</t>
  </si>
  <si>
    <t>27.10.1997</t>
  </si>
  <si>
    <t>JU/SET/PADM/18/204</t>
  </si>
  <si>
    <t>PINKI GUPTA</t>
  </si>
  <si>
    <t>VINOD KUMAR GUPTA</t>
  </si>
  <si>
    <t>896089534245</t>
  </si>
  <si>
    <t>118, L NATTA ROAD, CHAMPDANI, BAIDYABATI HOOGHLY, WEST BENGAL-712222</t>
  </si>
  <si>
    <t>CHAMPDANI</t>
  </si>
  <si>
    <t>BAIDYABATI HOOGHLY</t>
  </si>
  <si>
    <t>31, RKM BYE LANE CHAMPDANI, BAIDYABATI HOOGHLY, WEST BENGAL-712222</t>
  </si>
  <si>
    <t>vinodpinki354@gmail.com</t>
  </si>
  <si>
    <t>shubhamgupta9727@gmail.com</t>
  </si>
  <si>
    <t>AIXPG4199H</t>
  </si>
  <si>
    <t>DEOTIMA ACHARYA</t>
  </si>
  <si>
    <t>31.01.2000</t>
  </si>
  <si>
    <t>DURGAPUR</t>
  </si>
  <si>
    <t>RAJASTHAN</t>
  </si>
  <si>
    <t>JU/SET/PADM/18/209</t>
  </si>
  <si>
    <t>CHINMOY ACHARYA</t>
  </si>
  <si>
    <t>JAYATRI ACHARYA</t>
  </si>
  <si>
    <t>ACMPA3408L</t>
  </si>
  <si>
    <t>521009723203</t>
  </si>
  <si>
    <t>70, TAGORE AVENUE,DURGAPUR(D), WEST BENGAL-713204</t>
  </si>
  <si>
    <t>TAGORE AVENUE</t>
  </si>
  <si>
    <t>chinmoy.acharya@gmail.com</t>
  </si>
  <si>
    <t>deotimaacharya@gmail.com</t>
  </si>
  <si>
    <t>02.06.2018</t>
  </si>
  <si>
    <t>LECTURER</t>
  </si>
  <si>
    <t>BSK III STAGE</t>
  </si>
  <si>
    <t>SHREYAS V</t>
  </si>
  <si>
    <t>SAREDDY NIKHIL REDDY</t>
  </si>
  <si>
    <t>THUNUGUNTLA MAHESH KUMAR</t>
  </si>
  <si>
    <t>NUGURU NITHIN REDDY</t>
  </si>
  <si>
    <t>SANKET JAIN</t>
  </si>
  <si>
    <t>MAYA SINGH</t>
  </si>
  <si>
    <t>03.01.2000</t>
  </si>
  <si>
    <t>JU/SET/PADM/18/220</t>
  </si>
  <si>
    <t>VISHWAKARMA</t>
  </si>
  <si>
    <t>09.06.2000</t>
  </si>
  <si>
    <t>RADHIKA K R</t>
  </si>
  <si>
    <t>VIJAYKUMAR E K</t>
  </si>
  <si>
    <t>SOFTWARE ENGINEER</t>
  </si>
  <si>
    <t>ABSPV2095D</t>
  </si>
  <si>
    <t>964057681578</t>
  </si>
  <si>
    <t>169/A, 9TH MAIN ROAD, NTI LAYOUT, VIDHYARANYAPURA, BANGALORE-560097</t>
  </si>
  <si>
    <t>VIDHAYARANYAPURA</t>
  </si>
  <si>
    <t>080-23642922</t>
  </si>
  <si>
    <t>vijaykumarek@gmail.com</t>
  </si>
  <si>
    <t>shreyasv9600@gmail.com</t>
  </si>
  <si>
    <t>PAO,10th Marks Card,Photos , Pan &amp; Aadhar Card Copy</t>
  </si>
  <si>
    <t>15.07.2001</t>
  </si>
  <si>
    <t>OWK</t>
  </si>
  <si>
    <t>JU/SET/PADM/18/093</t>
  </si>
  <si>
    <t>S SUJATHA</t>
  </si>
  <si>
    <t>S NARENDRANATHA REDDY</t>
  </si>
  <si>
    <t>1 LACK TO 2 LACK</t>
  </si>
  <si>
    <t>AHLPR1791B</t>
  </si>
  <si>
    <t>312133561296</t>
  </si>
  <si>
    <t>41/366 UPSTARIS, KOTHAPETA, KURNOOL(D), ANDHRA PRADESH-518004</t>
  </si>
  <si>
    <t>KOTHAPETA</t>
  </si>
  <si>
    <t>sareddy1974@gmail.com</t>
  </si>
  <si>
    <t>nikhilreddy1253@gmail.com</t>
  </si>
  <si>
    <t>PAO,10th Marks Card,Photos ,TC, Pan &amp; Aadhar Card Copy</t>
  </si>
  <si>
    <t>KHATRI</t>
  </si>
  <si>
    <t>ASHOK NAGAR</t>
  </si>
  <si>
    <t>12th Marks Card, Migration Certificate,Pan copy</t>
  </si>
  <si>
    <t>PAO,10th Marks Card,Photos ,TC,  Aadhar Card Copy</t>
  </si>
  <si>
    <t>VAISHYAS</t>
  </si>
  <si>
    <t>22.07.2001</t>
  </si>
  <si>
    <t>JU/SET/PADM/18/225</t>
  </si>
  <si>
    <t>THUNUGUNTLA KATYAINI</t>
  </si>
  <si>
    <t>THUNUGUNTLA UMA MAHESWARA RAO</t>
  </si>
  <si>
    <t>AAWPU6352R</t>
  </si>
  <si>
    <t>436516873081</t>
  </si>
  <si>
    <t>D.NO-3-1-257/108, DASARADHA KOTHA MISSION ROAD, KABELA ROAD, R R NAGAR, VIJAYAWADA-520012</t>
  </si>
  <si>
    <t>R R NAGAR</t>
  </si>
  <si>
    <t>umamaheswararao.h@gmail.com</t>
  </si>
  <si>
    <t>mahesh.thunuguntla123@gmail.com</t>
  </si>
  <si>
    <t>PAO,10th Marks Card,Photos ,TC,Migration certificate,Pan and  Aadhar Card Copy</t>
  </si>
  <si>
    <t>17.12.1999</t>
  </si>
  <si>
    <t>GOVERNMENT EMPLOYEE</t>
  </si>
  <si>
    <t>JU/SET/JET/18/229</t>
  </si>
  <si>
    <t>NAGURU NEELAVATHI</t>
  </si>
  <si>
    <t>NAGURU PRATHAPA REDDY</t>
  </si>
  <si>
    <t>AMDPN4000C</t>
  </si>
  <si>
    <t>527740771064</t>
  </si>
  <si>
    <t>77/162-3-1, SBI COLONY, KADAPA(D), ANDHRA PRADESH-516003</t>
  </si>
  <si>
    <t>SBI COLONY</t>
  </si>
  <si>
    <t>nagurunithinreddy@gmail.com</t>
  </si>
  <si>
    <t>MANDIRMARKHI</t>
  </si>
  <si>
    <t>28.01.2001</t>
  </si>
  <si>
    <t>THANE</t>
  </si>
  <si>
    <t>JU/SET/PADM/18/222</t>
  </si>
  <si>
    <t>M PUSHPA JAIN</t>
  </si>
  <si>
    <t>I MAHAVEER JAIN</t>
  </si>
  <si>
    <t>BUSINESSMAN</t>
  </si>
  <si>
    <t>382579806525</t>
  </si>
  <si>
    <t>59/9, JAWAHARLAL NEHRU ROAD, 100 FEET ROAD, VADAPALANI, CHENNAI-600026</t>
  </si>
  <si>
    <t>VADAPALANI</t>
  </si>
  <si>
    <t>mahaveerjain0707@gmail.com</t>
  </si>
  <si>
    <t>sanketjain619@gmail.com</t>
  </si>
  <si>
    <t>KSHTRIYA</t>
  </si>
  <si>
    <t>JU/SET/PADM/18/219</t>
  </si>
  <si>
    <t>04.06.2018</t>
  </si>
  <si>
    <t>VANNIYAR</t>
  </si>
  <si>
    <t>RETIRED GOVT SERVANT</t>
  </si>
  <si>
    <t>VELLORE</t>
  </si>
  <si>
    <t>ACCOUNTANT</t>
  </si>
  <si>
    <t>NAVEENKUMAR ISHA JAIN</t>
  </si>
  <si>
    <t>03.09.2001</t>
  </si>
  <si>
    <t>JU/SET/PADM/18/070</t>
  </si>
  <si>
    <t>NAVEENKUMAR SAROJA</t>
  </si>
  <si>
    <t>KANHAYALAL NAVEEN KUMAR JAIN</t>
  </si>
  <si>
    <t>ACMPK4685R</t>
  </si>
  <si>
    <t>508409662562</t>
  </si>
  <si>
    <t>RENIGUNTA</t>
  </si>
  <si>
    <t>5/23, BHAJAN GUDI STREET, RENIGUNTA, TIRUPATI, ANDHRA PRADESH</t>
  </si>
  <si>
    <t>0877-2274863/0877-2271345</t>
  </si>
  <si>
    <t>naveen9440078916@gmail.com</t>
  </si>
  <si>
    <t>isha0987jain@gmail.com</t>
  </si>
  <si>
    <t>PAO,10th Marks Card,TC,Migration Certificate,Photos,Pan and  Aadhar Card Copy</t>
  </si>
  <si>
    <t>TEKI RAGA DEEPTHI</t>
  </si>
  <si>
    <t>28.08.2000</t>
  </si>
  <si>
    <t>HSR LAYOUT</t>
  </si>
  <si>
    <t>LIKETH M S</t>
  </si>
  <si>
    <t>VISHWABRAHMIN</t>
  </si>
  <si>
    <t>09.11.2000</t>
  </si>
  <si>
    <t>KAKINADA</t>
  </si>
  <si>
    <t>JU/SET/PADM/18/242</t>
  </si>
  <si>
    <t>TEKI SUREKHA</t>
  </si>
  <si>
    <t>TEKI VIJAY GOPAL</t>
  </si>
  <si>
    <t>ASYPT1368E</t>
  </si>
  <si>
    <t>236329946604</t>
  </si>
  <si>
    <t>HOSKOTE</t>
  </si>
  <si>
    <t>teki.tvvijay@gmail.com</t>
  </si>
  <si>
    <t>deepthi.teki09@outlook.com</t>
  </si>
  <si>
    <t>B-204, SANAATHANA CHAMANTHI, OPP SAI GARDENS, SEEGEHALLI, HOSKOTE, KADUGODI ROAD, BANGALORE-560067</t>
  </si>
  <si>
    <t>VASUDEVAN P</t>
  </si>
  <si>
    <t>BABIN B K</t>
  </si>
  <si>
    <t>P N SUMANTH</t>
  </si>
  <si>
    <t>AMRIT JENA</t>
  </si>
  <si>
    <t>18.09.2000</t>
  </si>
  <si>
    <t>JU/SET/PADM/18/246</t>
  </si>
  <si>
    <t>SUSHEELA M</t>
  </si>
  <si>
    <t>SRINIVAS REDDY M</t>
  </si>
  <si>
    <t>ALNPM3449B</t>
  </si>
  <si>
    <t>510821870313</t>
  </si>
  <si>
    <t>79/1,3RD FLOOR, DOOR NO.304, CS REDDY VILLAS, NEAR YELLAMMA TEMPLE, MUNNEKOLALA, MARATHAHALLI, BANGALORE-560037</t>
  </si>
  <si>
    <t>MARATHAHALLI</t>
  </si>
  <si>
    <t>srinivasm1972@rediffmail.com</t>
  </si>
  <si>
    <t>likhithr3@gmail.com</t>
  </si>
  <si>
    <t>17.01.2001</t>
  </si>
  <si>
    <t>MUMBAI</t>
  </si>
  <si>
    <t>JU/SET/PADM/18/003</t>
  </si>
  <si>
    <t>04.05.2018</t>
  </si>
  <si>
    <t>LALITHA P</t>
  </si>
  <si>
    <t>PADMANABHAN K S</t>
  </si>
  <si>
    <t>ANLPK3783E</t>
  </si>
  <si>
    <t>298734514330</t>
  </si>
  <si>
    <t>NELAMANGALA</t>
  </si>
  <si>
    <t>080-27725375</t>
  </si>
  <si>
    <t>padmanabhank55@gmail.com</t>
  </si>
  <si>
    <t>rahulaudi26@gmail.com</t>
  </si>
  <si>
    <t>P VASUDEVAN, S/O K S PADMANABHAN, A5, 204, JANAPRIYA, IST AVENUE, NELAMANGALA, BANGALRORE RURAL-562123</t>
  </si>
  <si>
    <t>BILLAVA</t>
  </si>
  <si>
    <t>MADIKERI</t>
  </si>
  <si>
    <t>JU/SET/PADM/18/252</t>
  </si>
  <si>
    <t>SUMITHRA</t>
  </si>
  <si>
    <t>KRISHNAPPA B K</t>
  </si>
  <si>
    <t>NURSE</t>
  </si>
  <si>
    <t>FIELD OFFICER</t>
  </si>
  <si>
    <t>501332628832</t>
  </si>
  <si>
    <t>KRISHNAPPA B K, #52, MAIN RAOD, YADAVARE VILLAGE, AIGOOR POST, SOMAWARPET, KODAGU-571251</t>
  </si>
  <si>
    <t>SOMWARPET</t>
  </si>
  <si>
    <t>KODAGU</t>
  </si>
  <si>
    <t>RAMAKRISHNA 3 #34, 4TH C CROSS, SEETGAPPA LAYOUT, MANORAYANA PALYA, R T NAGAR, BANGALORE-560032</t>
  </si>
  <si>
    <t>babinsaliyan.08@gmail.com</t>
  </si>
  <si>
    <t>ECUPK9385Q</t>
  </si>
  <si>
    <t>07.02.2000</t>
  </si>
  <si>
    <t>DELHI</t>
  </si>
  <si>
    <t>JU/SET/PADM/18/251</t>
  </si>
  <si>
    <t xml:space="preserve">P N NAGAVENI </t>
  </si>
  <si>
    <t>P R NEELAKANTA</t>
  </si>
  <si>
    <t>EX-ARMY</t>
  </si>
  <si>
    <t>4.5-6 LAKHS</t>
  </si>
  <si>
    <t>AHWPN5435B</t>
  </si>
  <si>
    <t>299384311475</t>
  </si>
  <si>
    <t>KOPATTI VILLAGE, CHETTIMANI POST, MADIKERI, KODAGAU-571247</t>
  </si>
  <si>
    <t>neelakantavani@gmail.com</t>
  </si>
  <si>
    <t>sumanthpn07@gmail.com</t>
  </si>
  <si>
    <t>GAVARA</t>
  </si>
  <si>
    <t>18.07.2001</t>
  </si>
  <si>
    <t>CHASA</t>
  </si>
  <si>
    <t>03.03.2000</t>
  </si>
  <si>
    <t>NAYAGARH</t>
  </si>
  <si>
    <t>JU/SET/PADM/18/257</t>
  </si>
  <si>
    <t>SANJUKTA JENA</t>
  </si>
  <si>
    <t>MURALIDHAR JENA</t>
  </si>
  <si>
    <t>BUSINESSMAN CUM FARMER</t>
  </si>
  <si>
    <t>ABWPJ7866J</t>
  </si>
  <si>
    <t>580775774279</t>
  </si>
  <si>
    <t>AT RATANPUR, POST-DIST-NAYAGARH, ODISHA-752069</t>
  </si>
  <si>
    <t>RATANPUR</t>
  </si>
  <si>
    <t>muralijena321@gmail.com</t>
  </si>
  <si>
    <t>amritjena77aj@gmail.com</t>
  </si>
  <si>
    <t>PAO,10th Marks Card,Photos ,Pan &amp; Aadhar Card Copy</t>
  </si>
  <si>
    <t>05.06.2018</t>
  </si>
  <si>
    <t>25.08.2001</t>
  </si>
  <si>
    <t>RAYACHOTY</t>
  </si>
  <si>
    <t>KADIRI</t>
  </si>
  <si>
    <t>ANANTHAPUR</t>
  </si>
  <si>
    <t>MEHUL JAIN</t>
  </si>
  <si>
    <t>VOKKALIGA</t>
  </si>
  <si>
    <t>SHWETHAMBAR</t>
  </si>
  <si>
    <t>19.11.2000</t>
  </si>
  <si>
    <t>NAGADA</t>
  </si>
  <si>
    <t>HINDHI</t>
  </si>
  <si>
    <t>JU/SET/PADM/18/268</t>
  </si>
  <si>
    <t>PRIYA JAIN</t>
  </si>
  <si>
    <t>MITESH JAIN</t>
  </si>
  <si>
    <t>AZMPJ5841M</t>
  </si>
  <si>
    <t>799223346393</t>
  </si>
  <si>
    <t>S1, SUVIDHA VIHAR COLONY, NAHAR SAYAD ROAD, MANDSOUR, MADHYA PRADESH-458001</t>
  </si>
  <si>
    <t>NAHAR SAYAD ROAD</t>
  </si>
  <si>
    <t>MANDSOUR</t>
  </si>
  <si>
    <t>07422-224303</t>
  </si>
  <si>
    <t>mehuljain20000@gmail.com</t>
  </si>
  <si>
    <t>SUNKU AKHILESH</t>
  </si>
  <si>
    <t>GORLA GIRISH REDDY</t>
  </si>
  <si>
    <t>VYASYA</t>
  </si>
  <si>
    <t>JU/SET/PADM/18/082</t>
  </si>
  <si>
    <t>SUNKUMANJULAVANI</t>
  </si>
  <si>
    <t>SUNKU SREENIVASULU</t>
  </si>
  <si>
    <t>326328890316</t>
  </si>
  <si>
    <t>ANANTAPURAM</t>
  </si>
  <si>
    <t>2-62/63, CHOWLTRY STREET, KADIRI, ANANTPURAM(D), ANDHRA PRADESH-515591</t>
  </si>
  <si>
    <t>sunkusreenivasulu41970@gmail.com</t>
  </si>
  <si>
    <t>sunkuakhilesh9@gmail.com</t>
  </si>
  <si>
    <t>AWNPS6301F</t>
  </si>
  <si>
    <t>01.04.2000</t>
  </si>
  <si>
    <t>JU/SET/PADM/18/035</t>
  </si>
  <si>
    <t>GORLA KALAVATHI</t>
  </si>
  <si>
    <t>GORLA VENKATA REDDY</t>
  </si>
  <si>
    <t>AOFPG0975B</t>
  </si>
  <si>
    <t>298046503385</t>
  </si>
  <si>
    <t>S/O VENKATAREDDY, 3-77, KUNCHANAPALLI,GUNTUR(D), ANDHRA PRADESH-522501</t>
  </si>
  <si>
    <t>KUNCHANAPALLI</t>
  </si>
  <si>
    <t>reddyrebalstar@gmail.com</t>
  </si>
  <si>
    <t>PAO,10th Marks Card,Photos ,12th Marks Card, Migration CertificateTC, Aadhar Card Copy</t>
  </si>
  <si>
    <t>Pan Copy</t>
  </si>
  <si>
    <t>SWETHAMBAR</t>
  </si>
  <si>
    <t>MANDYA</t>
  </si>
  <si>
    <t>PAO,10th Marks Card,Photos ,TC, Aadhar Card Copy</t>
  </si>
  <si>
    <t>REEDIP ADHIKARY</t>
  </si>
  <si>
    <t>02.09.1999</t>
  </si>
  <si>
    <t xml:space="preserve">MALBAZAR </t>
  </si>
  <si>
    <t>JU/SET/PADM/18/277</t>
  </si>
  <si>
    <t>RITA ADHIKARY</t>
  </si>
  <si>
    <t>GOPAL ADHIKARY</t>
  </si>
  <si>
    <t>ACUPA0447K</t>
  </si>
  <si>
    <t>MALBAZAR</t>
  </si>
  <si>
    <t>PALPARA, MALBAZAR,JALPAIGURI, WEST BENGAL-735221</t>
  </si>
  <si>
    <t>JALPAIGURI</t>
  </si>
  <si>
    <t>reedipadhikary@gmail.com</t>
  </si>
  <si>
    <t>556098653172</t>
  </si>
  <si>
    <t>INDIRA GANDHI CIRCLE, J P NAGAR 1ST PHASE, BANGALORE</t>
  </si>
  <si>
    <t>06.06.2018</t>
  </si>
  <si>
    <t>COOLI</t>
  </si>
  <si>
    <t>YALAM CHARAN TEJ</t>
  </si>
  <si>
    <t>SIDDA JASHWANTH</t>
  </si>
  <si>
    <t>YADHAVA</t>
  </si>
  <si>
    <t>14.03.2001</t>
  </si>
  <si>
    <t>JU/SET/PADM/18/281</t>
  </si>
  <si>
    <t>Y V RAMANA</t>
  </si>
  <si>
    <t>Y SIVA LAKSHMI</t>
  </si>
  <si>
    <t>LOCO PILOT (SC RAILWAY)</t>
  </si>
  <si>
    <t>AGMPR8564N</t>
  </si>
  <si>
    <t>FLAT NO.106, SAMSKRUTHI NANDI RESIDENCY, NGO'S COLONY, NANDYAL, KURNOOL(D),ANDHRA PRADESH-518501</t>
  </si>
  <si>
    <t>yalamvenkataramana@gmail.com</t>
  </si>
  <si>
    <t>796298021648</t>
  </si>
  <si>
    <t>yalamcharantej@gmail.com</t>
  </si>
  <si>
    <t>MARATHA</t>
  </si>
  <si>
    <t>MAHARASHTRA STATE BOARD OF SECONDARY AND HIGHER SECONDARDY EDUCATION, PUNE</t>
  </si>
  <si>
    <t>PUNE</t>
  </si>
  <si>
    <t>MAHARASHTRA</t>
  </si>
  <si>
    <t>14.08.2001</t>
  </si>
  <si>
    <t>CUDDAPAH</t>
  </si>
  <si>
    <t>JU/SET/PADM/18/085</t>
  </si>
  <si>
    <t>SIDDA VARALAKSHMI</t>
  </si>
  <si>
    <t>SIDDA HIMAGIRINARASIMHAMURTHY</t>
  </si>
  <si>
    <t>S G TEACHER</t>
  </si>
  <si>
    <t>AOYPM3128H</t>
  </si>
  <si>
    <t>848247969976</t>
  </si>
  <si>
    <t>1/531-9, R R HOMESH, EAST PALEM, TADIPATRI, ANANTAPUR(D), ANDHRA PRADESH-515411</t>
  </si>
  <si>
    <t>TADIPATRI</t>
  </si>
  <si>
    <t>ANANTPUR</t>
  </si>
  <si>
    <t>jaswanthsidda123@gmail.com</t>
  </si>
  <si>
    <t>VIDIT PATIRA</t>
  </si>
  <si>
    <t>13.11.2000</t>
  </si>
  <si>
    <t>GANDHINAGAR</t>
  </si>
  <si>
    <t>JU/SET/PADM/18/289</t>
  </si>
  <si>
    <t>07.06.2018</t>
  </si>
  <si>
    <t>17.03.2000</t>
  </si>
  <si>
    <t>BARAN</t>
  </si>
  <si>
    <t>JU/SET/PADM/18/294</t>
  </si>
  <si>
    <t>DIPTI PATIRA</t>
  </si>
  <si>
    <t>VINAY PATIRA</t>
  </si>
  <si>
    <t>AHKPP5407B</t>
  </si>
  <si>
    <t>439349060130</t>
  </si>
  <si>
    <t>ARIHANT', JAIN COLONY, OLD CIVIL LINES, BARAN, RAJASTHAN-325205</t>
  </si>
  <si>
    <t>JAIN COLONY</t>
  </si>
  <si>
    <t>patiravinay123@gmail.com</t>
  </si>
  <si>
    <t>patiravidit03@gmail.com</t>
  </si>
  <si>
    <t>HANUMANTH K</t>
  </si>
  <si>
    <t>BADAGAR</t>
  </si>
  <si>
    <t>COONOOR</t>
  </si>
  <si>
    <t>BADUGA</t>
  </si>
  <si>
    <t>JU/SET/PADM/18/295</t>
  </si>
  <si>
    <t>SHANTHI K</t>
  </si>
  <si>
    <t>KARUNAKARAN R</t>
  </si>
  <si>
    <t>CTTPK0876J</t>
  </si>
  <si>
    <t>207732122999</t>
  </si>
  <si>
    <t>11/102, KODERI ATHIGARATTI KODERI, THE NILGIRIS, TAMIL NADU-643213</t>
  </si>
  <si>
    <t>KODERI</t>
  </si>
  <si>
    <t>44/1, SAMAYAPURAM ALWARPET, CORNWALL ROAD, SIMSPARK, COONOOR, THE NILGIRIS, TAMILNADU-643101</t>
  </si>
  <si>
    <t>0423-2236379</t>
  </si>
  <si>
    <t>hanumanthkaruna88@gmail.com</t>
  </si>
  <si>
    <t>TAMILARASU V</t>
  </si>
  <si>
    <t>AKSHAY KUMAR GUPTA E</t>
  </si>
  <si>
    <t>KAIKOLAR</t>
  </si>
  <si>
    <t>19.02.2001</t>
  </si>
  <si>
    <t>JU/SET/JET/18/099</t>
  </si>
  <si>
    <t>SHANTHI V</t>
  </si>
  <si>
    <t>VENKATACHALAM S</t>
  </si>
  <si>
    <t>AHWPV7062Q</t>
  </si>
  <si>
    <t>570091721104</t>
  </si>
  <si>
    <t>V TAMILARASU, S/O VENKATACHALAM, 67/29, KOLANDHAN STREET, AMMAPET, SALEM, TAMILNADU-636003</t>
  </si>
  <si>
    <t>AMMAPET</t>
  </si>
  <si>
    <t>vshanthi1965@gmail.com</t>
  </si>
  <si>
    <t>tamildhanush2017@gmail.com</t>
  </si>
  <si>
    <t>KOTA NARASIMHA REDDY</t>
  </si>
  <si>
    <t>THIMMAPURAM NITISH CHAND</t>
  </si>
  <si>
    <t>PUTTA VISHNU VARDHAN</t>
  </si>
  <si>
    <t>R K ANIRUDH KASHYAP</t>
  </si>
  <si>
    <t>TAILAE</t>
  </si>
  <si>
    <t>JU/SET/PADM/18/297</t>
  </si>
  <si>
    <t>JYOTHI GUPTA</t>
  </si>
  <si>
    <t>ESHWAR GUPTA</t>
  </si>
  <si>
    <t>AKNPL8363L</t>
  </si>
  <si>
    <t>293163117373</t>
  </si>
  <si>
    <t>VARTHUR</t>
  </si>
  <si>
    <t>#24, SRI VARU LAYOUT, MADHURANAGAR, 3RD STAGE, MUTHSANDRA MAIN ROAD, VARTHUR POST, BANGALORE-560087</t>
  </si>
  <si>
    <t>akshaygupta8215@gmail.com</t>
  </si>
  <si>
    <t>PAO,10th Marks Card,12th Marks Card, Photos ,TC, Pan &amp; Aadhar Card Copy</t>
  </si>
  <si>
    <t>22.02.2000</t>
  </si>
  <si>
    <t>JU/SET/PADM/18/298</t>
  </si>
  <si>
    <t>JU/SET/PADM/18/105</t>
  </si>
  <si>
    <t>KOTA BHAGYAMMA</t>
  </si>
  <si>
    <t>KOTA THIMMA REDDY</t>
  </si>
  <si>
    <t>BELOW 2 LACKH</t>
  </si>
  <si>
    <t>369287078785</t>
  </si>
  <si>
    <t>K NARSIMHA REDDY, S/O K THIMMA REDDY, VELPUMADUGU(V), VIDAPANAKAL(M), ANANTPUR(D), ANDHRA PRADESH-515870</t>
  </si>
  <si>
    <t>VELPUMADUGU</t>
  </si>
  <si>
    <t>simhareddy334@gmail.com</t>
  </si>
  <si>
    <t>PAO,10th Marks Card,Photos ,TC,Migration Certificate, Pan &amp;  Aadhar Card Copy</t>
  </si>
  <si>
    <t>AVXPT2676B</t>
  </si>
  <si>
    <t>LINGA BALIJA</t>
  </si>
  <si>
    <t>BELLARY</t>
  </si>
  <si>
    <t>JU/SET/PADM/18/106</t>
  </si>
  <si>
    <t>THIMMAPURAM SUVEENA</t>
  </si>
  <si>
    <t>THIMMAPURAM RAMA CHANDRA REDDY</t>
  </si>
  <si>
    <t>BELOW 1 LACKH</t>
  </si>
  <si>
    <t>BDSPR4486F</t>
  </si>
  <si>
    <t>748755024172</t>
  </si>
  <si>
    <t>S/O T RAMA CHANDRA REDDY,2-152, OC COLONY, VELPUMADUGU, VIDAPANKAL, ANANTAPUR(D), ANDHRA PRADESH-515870</t>
  </si>
  <si>
    <t>nitishchand789@gmail.com</t>
  </si>
  <si>
    <t>11.05.2000</t>
  </si>
  <si>
    <t>04.02.2001</t>
  </si>
  <si>
    <t>JU/SET/PADM/18/301</t>
  </si>
  <si>
    <t>CHEEKATLA YAMINI DEVI</t>
  </si>
  <si>
    <t>PUTTA SURESH</t>
  </si>
  <si>
    <t>DOCTOR</t>
  </si>
  <si>
    <t>AJEPD4629D</t>
  </si>
  <si>
    <t>728765061767</t>
  </si>
  <si>
    <t>18-37-S12-573, GROUND FLOOR, BHAVANI NAGAR, NEAR MUNICIPAL OFFICE, TIRUPATI, ANDHRA PRADESH-517501</t>
  </si>
  <si>
    <t>BHAVANI NAGAR</t>
  </si>
  <si>
    <t>0877-2220010</t>
  </si>
  <si>
    <t>puttasuresh1970@gmail.com</t>
  </si>
  <si>
    <t>421pvv@gmail.com</t>
  </si>
  <si>
    <t>12.02.2000</t>
  </si>
  <si>
    <t>JU/SET/JET/18/088</t>
  </si>
  <si>
    <t>B JYOTHI</t>
  </si>
  <si>
    <t>R A KISHOR</t>
  </si>
  <si>
    <t>PRIVATE LTD COMPANY</t>
  </si>
  <si>
    <t>STATE GOVT EMPLOYEE</t>
  </si>
  <si>
    <t>No.1337, 6TH CROSS, 10TH MAIN, SRINIVASNAGAR, 2ND PHASE, BSK IST STAGE, BANGALORE-560050</t>
  </si>
  <si>
    <t>BSK I ST STAGE</t>
  </si>
  <si>
    <t>080-26794694</t>
  </si>
  <si>
    <t>anirudhkashyap.28@gmail.com</t>
  </si>
  <si>
    <t>AXGPK6896H</t>
  </si>
  <si>
    <t>SUDARSHAN R</t>
  </si>
  <si>
    <t>THIMMALAPURAM GOPI CHANDU</t>
  </si>
  <si>
    <t>08.06.2018</t>
  </si>
  <si>
    <t>17.09.2000</t>
  </si>
  <si>
    <t>SENGUNTHAR</t>
  </si>
  <si>
    <t>17.06.2001</t>
  </si>
  <si>
    <t>PUDUCHERRY</t>
  </si>
  <si>
    <t>JU/SET/PADM/18/072</t>
  </si>
  <si>
    <t>R RANGANAYAKI</t>
  </si>
  <si>
    <t>RAVYA S</t>
  </si>
  <si>
    <t>EXSERVICEMEN</t>
  </si>
  <si>
    <t>AVLPR7218P</t>
  </si>
  <si>
    <t>899397056977</t>
  </si>
  <si>
    <t>KRISHNA NAGAR</t>
  </si>
  <si>
    <t>LAWSPET</t>
  </si>
  <si>
    <t>PLOT NO.39,40, 14TH CROSS EXTENSION, D CROSS, KRISHNA NAGAR, POST-LAWSPET, PUDUCHERRY-605008</t>
  </si>
  <si>
    <t>r.sudarshanstark@gmail.com</t>
  </si>
  <si>
    <t>ravysp24@gmail.com</t>
  </si>
  <si>
    <t>YADGIR</t>
  </si>
  <si>
    <t>JU/SET/PADM/18/311</t>
  </si>
  <si>
    <t>07.03.2000</t>
  </si>
  <si>
    <t>JU/SET/PADM/18/315</t>
  </si>
  <si>
    <t>JOB</t>
  </si>
  <si>
    <t>25.11.2000</t>
  </si>
  <si>
    <t>PAVAGADA</t>
  </si>
  <si>
    <t>JU/SET/PADM/18/318</t>
  </si>
  <si>
    <t>THIMMALAPURAM NAGALAKSHMI</t>
  </si>
  <si>
    <t>THIMMALAPURAM HIMANTHA REDDY</t>
  </si>
  <si>
    <t>BRIPR1850H</t>
  </si>
  <si>
    <t>201306717289</t>
  </si>
  <si>
    <t>D.NO.1, NEAR PANCHAYATH OFFICE, YERRANGUNTA, KANEKAL(M), ANANTHAPUR(D), ANDHRA PRADESH-515871</t>
  </si>
  <si>
    <t>KANEKAL</t>
  </si>
  <si>
    <t>chandurebal215@gmail.com</t>
  </si>
  <si>
    <t>05.11.2000</t>
  </si>
  <si>
    <t>BIKANER</t>
  </si>
  <si>
    <t>SAURAV</t>
  </si>
  <si>
    <t>M B NITHUSHA</t>
  </si>
  <si>
    <t>BEDADALA RAVITEJA REDDY</t>
  </si>
  <si>
    <t>AYUSH JAIN</t>
  </si>
  <si>
    <t>SUJEETH ROSHAN S</t>
  </si>
  <si>
    <t>13.06.2001</t>
  </si>
  <si>
    <t>09.06.2018</t>
  </si>
  <si>
    <t>RONIAUR</t>
  </si>
  <si>
    <t>09.11.1999</t>
  </si>
  <si>
    <t>PATNA</t>
  </si>
  <si>
    <t>931017300460</t>
  </si>
  <si>
    <t>JU/SET/PADM/18/323</t>
  </si>
  <si>
    <t>SANJU</t>
  </si>
  <si>
    <t>OM PRAKASH</t>
  </si>
  <si>
    <t>ALMPP0542K</t>
  </si>
  <si>
    <t>363088887632</t>
  </si>
  <si>
    <t>46, S B I COLONY, NEAR I T I, DIGHA, PATNA, BIHAR-800011</t>
  </si>
  <si>
    <t>DIGHA</t>
  </si>
  <si>
    <t>omprakashpmp@gmail.com</t>
  </si>
  <si>
    <t>sauravlhs@gmail.com</t>
  </si>
  <si>
    <t>PAO,10th Marks Card,Photos ,12th Marks Card, Migration Certificate,TC, Pan &amp; Aadhar Card Copy</t>
  </si>
  <si>
    <t>14.09.2000</t>
  </si>
  <si>
    <t>KAVEEN GANDHI</t>
  </si>
  <si>
    <t>19.01.2001</t>
  </si>
  <si>
    <t>JU/SET/PADM/18/077</t>
  </si>
  <si>
    <t xml:space="preserve">M B SIREESHA </t>
  </si>
  <si>
    <t>M A BADRINATH</t>
  </si>
  <si>
    <t>ABVPM1545Q</t>
  </si>
  <si>
    <t>532862133569</t>
  </si>
  <si>
    <t>B-004, 72/1, CHARITHA CLASSIC APT, THUBARAHALLI VILLAGE ROAD, BEHIND ICICI BANK, THUBARAHALLI, WHITEFIELD, BANGALORE,KARNATAKA-560066</t>
  </si>
  <si>
    <t>WHITEFIELD</t>
  </si>
  <si>
    <t>080-28540230</t>
  </si>
  <si>
    <t>sireesha121@gmail.com</t>
  </si>
  <si>
    <t>nithusha19@gmail.com</t>
  </si>
  <si>
    <t>HRITICK JAIN</t>
  </si>
  <si>
    <t>20.02.2000</t>
  </si>
  <si>
    <t>TADIPATHRI</t>
  </si>
  <si>
    <t>JU/SET/PADM/18/324</t>
  </si>
  <si>
    <t>BEDADALA PRASANNA LAKSHMI</t>
  </si>
  <si>
    <t>APAPB0510R</t>
  </si>
  <si>
    <t>962592683034</t>
  </si>
  <si>
    <t>KOMATIKUNTLA, PUTLUR, ANANTHAPURAM(D), ANDHRA PRADESH-515414</t>
  </si>
  <si>
    <t>PUTLUR</t>
  </si>
  <si>
    <t>ravitejabedadala@gmail.com</t>
  </si>
  <si>
    <t>PAO,10th Marks Card,Photos ,TC, Migration Certificate, Pan &amp; Aadhar Card Copy</t>
  </si>
  <si>
    <t>BEDADALA RANGANATHA REDDY</t>
  </si>
  <si>
    <t>26.09.2000</t>
  </si>
  <si>
    <t>NARSAPUR</t>
  </si>
  <si>
    <t>RAJASTHANI</t>
  </si>
  <si>
    <t>JU/SET/PADM/18/334</t>
  </si>
  <si>
    <t>SARIKA JAIN</t>
  </si>
  <si>
    <t>ANAND JAIN</t>
  </si>
  <si>
    <t>AFNPJ5605C</t>
  </si>
  <si>
    <t>224488543745</t>
  </si>
  <si>
    <t>SHAHPUR PET</t>
  </si>
  <si>
    <t>#16, 2ND FLOOR, 36TH CROSS, 9TH A MAIN, JAYANAGAR, 5TH BLOCK, BANGALORE-560041</t>
  </si>
  <si>
    <t>dinsk20@gmail.com</t>
  </si>
  <si>
    <t>ayush26092000@gmail.com</t>
  </si>
  <si>
    <t>H.NO.-1-7-45, MAHAVEER ROAD, SHAHAPUR PET, NEAR OLD JAIN TEMPLE, YADGIR, KARNATAKA-585201</t>
  </si>
  <si>
    <t>23.12.2000</t>
  </si>
  <si>
    <t>KONKANI</t>
  </si>
  <si>
    <t>JU/SET/PADM/18/022</t>
  </si>
  <si>
    <t>SATHISH KUMAR R</t>
  </si>
  <si>
    <t>SUNITHA SATHISH</t>
  </si>
  <si>
    <t>WORKING</t>
  </si>
  <si>
    <t>PHARMACY</t>
  </si>
  <si>
    <t>BGTPS0106B</t>
  </si>
  <si>
    <t>760971706513</t>
  </si>
  <si>
    <t>NO.11, ANNAPURNESHWARI TEMPLE ROAD, SOUDHMINI LAYOUT, NEW BANK COLONY, KONANKUNTE, BANGALORE-560062</t>
  </si>
  <si>
    <t>sunitha.sathish@oracle.com</t>
  </si>
  <si>
    <t>PAO,10th Marks Card,Photos ,12th Marks Card,  Pan &amp; Aadhar Card Copy</t>
  </si>
  <si>
    <t>07.01.2001</t>
  </si>
  <si>
    <t>02.12.2000</t>
  </si>
  <si>
    <t>X046514</t>
  </si>
  <si>
    <t>JU/SET/PADM/18/333</t>
  </si>
  <si>
    <t>LATHA GANDHI</t>
  </si>
  <si>
    <t>SUSHEEL GANDHI</t>
  </si>
  <si>
    <t>AFUPG3938G</t>
  </si>
  <si>
    <t>875181828727</t>
  </si>
  <si>
    <t>S/O SUSHIL KUMAR GANDHI, H.NO.-2-5-34, CHAKKARKATTA ROAD, RANG MAHAL, YADGIRI, KARNATAKA-585201</t>
  </si>
  <si>
    <t>CHAKKARKATTA ROAD</t>
  </si>
  <si>
    <t>YADGIRI</t>
  </si>
  <si>
    <t>lathagandhi22@gmail.com</t>
  </si>
  <si>
    <t>kavingandhi23@gmail.com</t>
  </si>
  <si>
    <t>CHAKULIA</t>
  </si>
  <si>
    <t>MARWADI</t>
  </si>
  <si>
    <t>JU/SET/PADM/18/276</t>
  </si>
  <si>
    <t>SARITA JAIN</t>
  </si>
  <si>
    <t>KAMAL KUMAR JAIN</t>
  </si>
  <si>
    <t>ACUPJ9177D</t>
  </si>
  <si>
    <t>CHAKULIA, CHAKULIA HAT, UTTAR DINAJPUR(DIST), WEST BENGAL-733211</t>
  </si>
  <si>
    <t>CHAKULIA HAT</t>
  </si>
  <si>
    <t>UTTAR DINAJPUR</t>
  </si>
  <si>
    <t>kamalkrjain00@gmail.com</t>
  </si>
  <si>
    <t>hjbafna@gmail.com</t>
  </si>
  <si>
    <t>368649585499</t>
  </si>
  <si>
    <t>25.05.2000</t>
  </si>
  <si>
    <t>12.06.2018</t>
  </si>
  <si>
    <t>12th Marks Card,TC,  Migration Certificate</t>
  </si>
  <si>
    <t>AMALDASAN P</t>
  </si>
  <si>
    <t>REGULAPATI SRUJAN</t>
  </si>
  <si>
    <t>HARSHITHA K C</t>
  </si>
  <si>
    <t>VIPUL JAIN</t>
  </si>
  <si>
    <t>EDIGA SATHISH GOUD</t>
  </si>
  <si>
    <t>SHASHANK R R</t>
  </si>
  <si>
    <t>KISHAN SHREYASVI RAO KANDREGULA</t>
  </si>
  <si>
    <t>SRI SARVESH R</t>
  </si>
  <si>
    <t>CHERUKURI UDAY KIRAN</t>
  </si>
  <si>
    <t>A'-'ve</t>
  </si>
  <si>
    <t>GOVERNMENT OF KERALA DIRECTORATE OF HIGHER SECONDARY EDUCATION</t>
  </si>
  <si>
    <t>JU/SET/PADM/18/109</t>
  </si>
  <si>
    <t>JEENA DASAN</t>
  </si>
  <si>
    <t>DASAN P I</t>
  </si>
  <si>
    <t>ASUPD9201E</t>
  </si>
  <si>
    <t>216577367504</t>
  </si>
  <si>
    <t>AMALDASAN P, PULIKKEN(H), MARATHKKAR, OLLUR THRISSUR, KERELA, MARATHAKKARA POST-680306</t>
  </si>
  <si>
    <t>PULIKKEN</t>
  </si>
  <si>
    <t>amaldasan440@gmail.com</t>
  </si>
  <si>
    <t>KOUSHIK JOSHI</t>
  </si>
  <si>
    <t>18.05.2000</t>
  </si>
  <si>
    <t>VELMA</t>
  </si>
  <si>
    <t>JU/SET/PADM/18/351</t>
  </si>
  <si>
    <t>REGULAPATI MAHESH RAO</t>
  </si>
  <si>
    <t>REGULAPATI LAXMI (LATE)</t>
  </si>
  <si>
    <t>AFOPR7790H</t>
  </si>
  <si>
    <t>988920335760</t>
  </si>
  <si>
    <t>H.NO.215-B, RESIDENCY PARK APARTMENT, HSR LAYOUT, BANGALORE, KARNATAKA-560102</t>
  </si>
  <si>
    <t>sanjusruju2000@gmail.com</t>
  </si>
  <si>
    <t>dsuryaneni@gmail.com</t>
  </si>
  <si>
    <t>PAO,10th Marks Card,Photos ,TC,Aadhar Card Copy</t>
  </si>
  <si>
    <t>12th Marks Card, Migration Certificate,Pan Copy</t>
  </si>
  <si>
    <t>SOUVIK KAR</t>
  </si>
  <si>
    <t>SUPRAKASH MANDAL</t>
  </si>
  <si>
    <t>KOTTEGARA</t>
  </si>
  <si>
    <t>2B</t>
  </si>
  <si>
    <t>12.04.2000</t>
  </si>
  <si>
    <t xml:space="preserve">KUNDAPURA </t>
  </si>
  <si>
    <t>JU/SET/PADM/18/352</t>
  </si>
  <si>
    <t>PUSHPA</t>
  </si>
  <si>
    <t>CHANDRASHEKAR K H</t>
  </si>
  <si>
    <t>652835680286</t>
  </si>
  <si>
    <t>DOOR NO.2, K R LAYOUT, 3RD CROSS, J P NAGAR 6TH PHASE, BANGALORE-560078</t>
  </si>
  <si>
    <t>J P NAGAR 6TH PHASE</t>
  </si>
  <si>
    <t>aakruthi2006@gmail.com</t>
  </si>
  <si>
    <t>harshithakcharshu@gmail.com</t>
  </si>
  <si>
    <t>AHQPC5308L</t>
  </si>
  <si>
    <t>11.12.2000</t>
  </si>
  <si>
    <t>AJMER</t>
  </si>
  <si>
    <t>JU/SET/PADM/18/350</t>
  </si>
  <si>
    <t>VINEETA JAIN</t>
  </si>
  <si>
    <t>SANJAY JAIN</t>
  </si>
  <si>
    <t>AAYPJ0525B</t>
  </si>
  <si>
    <t>930602792672</t>
  </si>
  <si>
    <t>5, KOTWALI SCHEME KHAILAND MARKET, AJMER(D), RAJASTHAN(S)-305001</t>
  </si>
  <si>
    <t>KHAILAND MARKET</t>
  </si>
  <si>
    <t>0145-2622551</t>
  </si>
  <si>
    <t>vipuljain1112@gmail.com</t>
  </si>
  <si>
    <t>PAO,10th Marks Card,12th Marks Card,TC,Photos ,Pan &amp; Aadhar Card Copy</t>
  </si>
  <si>
    <t>JU/SET/PADM/18/354</t>
  </si>
  <si>
    <t>BANGLA</t>
  </si>
  <si>
    <t>PAO,10th Marks Card,12th Marks Card,Migration Certificate,TC,Photos ,Pan &amp; Aadhar Card Copy</t>
  </si>
  <si>
    <t>17.05.2001</t>
  </si>
  <si>
    <t>IEEJA</t>
  </si>
  <si>
    <t>JU/SET/PADM/18/177</t>
  </si>
  <si>
    <t>E PUSHPAVATHI</t>
  </si>
  <si>
    <t>EDIGA VEERANNA GOUD</t>
  </si>
  <si>
    <t>615876712931</t>
  </si>
  <si>
    <t>H.NO.2-134, LINGAPURAM(VILLAGE), GATTU(MANDAL), GADWAL(DISTRICT), BOYALAGUDDEM(POST), TELANGANA-509127</t>
  </si>
  <si>
    <t>LINGAPURAM</t>
  </si>
  <si>
    <t>GADWAL</t>
  </si>
  <si>
    <t>sathishgoud6496@gmail.com</t>
  </si>
  <si>
    <t>18.04.2000</t>
  </si>
  <si>
    <t>BIJAPUR</t>
  </si>
  <si>
    <t>JU/SET/PADM/18/353</t>
  </si>
  <si>
    <t>MAHANANDA R R</t>
  </si>
  <si>
    <t>RAMESH B R</t>
  </si>
  <si>
    <t>HOTEL CONSULTANT</t>
  </si>
  <si>
    <t>AGOPR8399F</t>
  </si>
  <si>
    <t>949741103635</t>
  </si>
  <si>
    <t>RAMESH B R, PH-1, LABITHA ENCLAVE, 4TH FLOOR, 4TH MAIN, ROYAL SHELTER LAYOUT, DEVARACHIKKANAHALLI MAIN RAOD, IIMB POST, BANGALORE-560076</t>
  </si>
  <si>
    <t>ROYAL SHELTER LAYOUT</t>
  </si>
  <si>
    <t>rameshbr67@gmail.com</t>
  </si>
  <si>
    <t>shashankrr1@gmail.com</t>
  </si>
  <si>
    <t>AHMEDABAD</t>
  </si>
  <si>
    <t>931717300106</t>
  </si>
  <si>
    <t>JU/SET/PADM/18/343</t>
  </si>
  <si>
    <t>V S CH PADMAVATHY</t>
  </si>
  <si>
    <t>K S SRINIVASA RAO</t>
  </si>
  <si>
    <t>PROFESSOR</t>
  </si>
  <si>
    <t>ACMPK4345A</t>
  </si>
  <si>
    <t>517409974022</t>
  </si>
  <si>
    <t>A-315, MAYFLOWER, BRIGADE MILLINEUM, J P NAGAR, 7TH PHASE, PUTTENHALLI,BANGALORE-560078</t>
  </si>
  <si>
    <t>J P NAGAR 7TH PHASE</t>
  </si>
  <si>
    <t>080-41675361</t>
  </si>
  <si>
    <t>srinirao35@yahoo.com</t>
  </si>
  <si>
    <t>rishansrao09@gmail.com</t>
  </si>
  <si>
    <t>24 MANAI TELUGU PATTY CHETTY</t>
  </si>
  <si>
    <t>06.12.2000</t>
  </si>
  <si>
    <t>JU/SET/PADM/18/357</t>
  </si>
  <si>
    <t>KANCHANA R</t>
  </si>
  <si>
    <t>RANGANATHAN S N</t>
  </si>
  <si>
    <t>AGEPR6468D</t>
  </si>
  <si>
    <t>362744497292</t>
  </si>
  <si>
    <t>9, NEETHIYAMAL NAGAR, 2ND STREET, P N ROAD, TIRUPUR, TAMILNADU-641602</t>
  </si>
  <si>
    <t>NEETHIYAMAL NAGAR</t>
  </si>
  <si>
    <t>TIRUPUR</t>
  </si>
  <si>
    <t>r.srisarvesh@gmail.com</t>
  </si>
  <si>
    <t>CHOWDARY</t>
  </si>
  <si>
    <t>INKOLLU</t>
  </si>
  <si>
    <t>JU/SET/PADM/18/065</t>
  </si>
  <si>
    <t>CHERUKURI NAGA JYOTHI</t>
  </si>
  <si>
    <t>CHERUKURI SRINIVASA RAO</t>
  </si>
  <si>
    <t>BETPC4620N</t>
  </si>
  <si>
    <t>795738751105</t>
  </si>
  <si>
    <t>7-210, VISHNALAYAM ROAD, INKOLLU, INKOLLU(MD), PRAKASAM(D), ANDHRA PRADESH-523167</t>
  </si>
  <si>
    <t>#154, INFOSYS ROAD, KONAPANNA AGRAHARA, PHASE-I, ELECTRONIC CITY, BANGALORE-560100</t>
  </si>
  <si>
    <t>udaycherukuri914@gmail.com</t>
  </si>
  <si>
    <t>Transfer Certificate</t>
  </si>
  <si>
    <t>10.04.2000</t>
  </si>
  <si>
    <t>JU/SET/PADM/18/094</t>
  </si>
  <si>
    <t>VANDANA JOSHI</t>
  </si>
  <si>
    <t>KISHORE JOSHI</t>
  </si>
  <si>
    <t>AFNPV5873Q</t>
  </si>
  <si>
    <t>718278779937</t>
  </si>
  <si>
    <t>SREE KRISHNA KUTEER,#615/1, 8TH MAIN, 4TH CROSS, BANASHANKARI, I STAGE, 2ND BLOCK, BANGALORE-560050</t>
  </si>
  <si>
    <t>BANASHANKARI</t>
  </si>
  <si>
    <t>080-26616086</t>
  </si>
  <si>
    <t>kishorenjoshi@gmail.com</t>
  </si>
  <si>
    <t>joshikoushik@gmail.com</t>
  </si>
  <si>
    <t>21.06.2001</t>
  </si>
  <si>
    <t>BAGUAN</t>
  </si>
  <si>
    <t>WEST BENGAL COUNCIL OF HIGHER SECONDARY EDUCATION</t>
  </si>
  <si>
    <t>JU/SET/PADM/18/365</t>
  </si>
  <si>
    <t>MALINA KAR</t>
  </si>
  <si>
    <t>KUNJA BEHARI KAR</t>
  </si>
  <si>
    <t>CULTIVATION</t>
  </si>
  <si>
    <t>439659735346</t>
  </si>
  <si>
    <t>VILL-BAGUAV, PO-PATNA BAZAR, PS-DEBRA, DIST- PASCHIM MEDINIPURE, STATE-WEST BENGAL-721156</t>
  </si>
  <si>
    <t>PASCHIM MEDINIPURE</t>
  </si>
  <si>
    <t>karsouvik7872115553@gmail.com</t>
  </si>
  <si>
    <t>CPAPK8341H</t>
  </si>
  <si>
    <t>BAGAUAN</t>
  </si>
  <si>
    <t>MAHISWA</t>
  </si>
  <si>
    <t>10.02.2000</t>
  </si>
  <si>
    <t>ASANPUR</t>
  </si>
  <si>
    <t>JU/SET/PADM/18/366</t>
  </si>
  <si>
    <t>KRISHNA MANDAL</t>
  </si>
  <si>
    <t xml:space="preserve">GOPAL MANDAL </t>
  </si>
  <si>
    <t>AYVPM0104C</t>
  </si>
  <si>
    <t>539671002059</t>
  </si>
  <si>
    <t>VILL-ASANPUR, PO-PATNA BAZAR, PS-DEBRA, DIST-PASCHIM MEDINIPURE, STATE-WEST BENGAL-721156</t>
  </si>
  <si>
    <t>msuprakash9147@gmail.com</t>
  </si>
  <si>
    <t>T ASWINBARATH</t>
  </si>
  <si>
    <t>UNI-GAUGE</t>
  </si>
  <si>
    <t>07.09.2000</t>
  </si>
  <si>
    <t>WAYANAD</t>
  </si>
  <si>
    <t>VADUGAR</t>
  </si>
  <si>
    <t>26.04.2001</t>
  </si>
  <si>
    <t>SATHUR</t>
  </si>
  <si>
    <t>JU/SET/PADM/18/369</t>
  </si>
  <si>
    <t>13.06.2018</t>
  </si>
  <si>
    <t>V JEYASUDHA</t>
  </si>
  <si>
    <t>R THIRUKUMAR</t>
  </si>
  <si>
    <t>AOLPT9976R</t>
  </si>
  <si>
    <t>753422683739</t>
  </si>
  <si>
    <t>1143/3, TYPE 3 QUARTERS, MARIAMMAN AVENUE, C F A ESTATE, ARUVANKADU, NILGIRIS,TAMIL NADU-643202</t>
  </si>
  <si>
    <t>ARUVANKADU</t>
  </si>
  <si>
    <t>0423-2203020</t>
  </si>
  <si>
    <t>srtk672@gmail.com</t>
  </si>
  <si>
    <t>aswin2001barath@gmail.com</t>
  </si>
  <si>
    <t>ESHA VIJAY</t>
  </si>
  <si>
    <t>05.09.2000</t>
  </si>
  <si>
    <t>JU/SET/UNI/18/107</t>
  </si>
  <si>
    <t>AJITHA DELHI CHANDRASHEKHAR</t>
  </si>
  <si>
    <t>VIJAY KUMAR PRABHAKAR</t>
  </si>
  <si>
    <t>AFPPK1706D</t>
  </si>
  <si>
    <t>899445237978</t>
  </si>
  <si>
    <t>VILLA 102, CONCORDE CUPPETINO, NEELADRI ROAD, ELECTRONICS CITY PHASE- 1, BANGALORE-560100</t>
  </si>
  <si>
    <t>ELECTRONICS CITY PHASE-I</t>
  </si>
  <si>
    <t>080-49521773</t>
  </si>
  <si>
    <t>prabhakar1000@yahoo.com</t>
  </si>
  <si>
    <t>eshavijay55@gmail.com</t>
  </si>
  <si>
    <t>JU/SET/PADM/18/372</t>
  </si>
  <si>
    <t>GUTTI SHREYAS</t>
  </si>
  <si>
    <t>04.11.2000</t>
  </si>
  <si>
    <t>CHIRALA</t>
  </si>
  <si>
    <t>JU/SET/UNI/18/108</t>
  </si>
  <si>
    <t>GUTTI HEMAVATHI</t>
  </si>
  <si>
    <t>GUTTI MALLESWARA RAO</t>
  </si>
  <si>
    <t>WEAVER</t>
  </si>
  <si>
    <t>638907852999</t>
  </si>
  <si>
    <t>3-110/11, ANUMALLIPETA, VETAPALEM, PRAKASAM DISTRICT, ANDHRA PRADESH-523187</t>
  </si>
  <si>
    <t>VETAPALEM</t>
  </si>
  <si>
    <t>NO.616, ITI LAYOUT, R R ARCH, OPP MYSORE ROAD, BANGALORE-560039</t>
  </si>
  <si>
    <t>gmr.sendme@gmail.com</t>
  </si>
  <si>
    <t>shreyas_gutti@yahoo.com</t>
  </si>
  <si>
    <t>PAO,10th Marks Card,Photos ,TC, Migration Certificate,Pan &amp; Aadhar Card Copy</t>
  </si>
  <si>
    <t>BDKPG4684A</t>
  </si>
  <si>
    <t>ARCHIES SINGH</t>
  </si>
  <si>
    <t>NAGPUR</t>
  </si>
  <si>
    <t>KAMLA SINGH</t>
  </si>
  <si>
    <t>KULDEEP SINGH</t>
  </si>
  <si>
    <t>APPPS6788D</t>
  </si>
  <si>
    <t>945079676060</t>
  </si>
  <si>
    <t>PLOT NO.12, ROW NO.2, OPPOSITE TO SIDDHESHWAR MANDIR, AYODHYA NAGAR, NAGPUR, MAHARASHTRA-440024</t>
  </si>
  <si>
    <t>AYODHYA NAGAR</t>
  </si>
  <si>
    <t>vishakhaconstruction999@gmail.com</t>
  </si>
  <si>
    <t>archiesksingh@gmail.com</t>
  </si>
  <si>
    <t>14.06.2018</t>
  </si>
  <si>
    <t>PAO,10th Marks Card,12th Marks Card,  TC, Photos,  Pan and Aadhar Card Copy</t>
  </si>
  <si>
    <t>UTTARAKHAND</t>
  </si>
  <si>
    <t>UTTARKHAND</t>
  </si>
  <si>
    <t>PAO,10th Marks Card,12th Marks Card,Photos,Pan &amp; Aadhar Card Copy</t>
  </si>
  <si>
    <t>PARLAPALLI ARAVIND</t>
  </si>
  <si>
    <t>AMITH HOLLA</t>
  </si>
  <si>
    <t>10.08.2000</t>
  </si>
  <si>
    <t>NELLORE</t>
  </si>
  <si>
    <t>CHIRAG JAIN</t>
  </si>
  <si>
    <t>AJAY GAURAV LOGANATHAN</t>
  </si>
  <si>
    <t>KISHORE G</t>
  </si>
  <si>
    <t>YADAVA</t>
  </si>
  <si>
    <t>07.12.2000</t>
  </si>
  <si>
    <t>24.03.2000</t>
  </si>
  <si>
    <t>GANDLA</t>
  </si>
  <si>
    <t>16.04.2001</t>
  </si>
  <si>
    <t>NYAMADDELA</t>
  </si>
  <si>
    <t>JU/SET/PADM/18/036</t>
  </si>
  <si>
    <t>PARLAPALLI MUKUNDAMMA</t>
  </si>
  <si>
    <t>PARLAPALLI ADINARAYANA</t>
  </si>
  <si>
    <t>AJGPA5876P</t>
  </si>
  <si>
    <t>974309982067</t>
  </si>
  <si>
    <t>P ARAVIND, S/O P ADINARAYANA, DOOR NO.27-662-5, SUNDARAIAH NAGAR, DHARMAVARAM(TOWN), ANANTAPUR(D), ANDHRA PRADESH</t>
  </si>
  <si>
    <t>adinarayanaparlapalli52@gmail.com</t>
  </si>
  <si>
    <t>UVANESH B</t>
  </si>
  <si>
    <t>MUDIT JAIN</t>
  </si>
  <si>
    <t>JU/SET/PADM/18/271</t>
  </si>
  <si>
    <t>NANDINI M N</t>
  </si>
  <si>
    <t>RAGHAVENDRA HOLLA</t>
  </si>
  <si>
    <t>WORKING WITH KBB NUTS PVT LTD</t>
  </si>
  <si>
    <t>ACMPH8828B</t>
  </si>
  <si>
    <t>820048784043</t>
  </si>
  <si>
    <t>#95, 2ND FLOOR, ANANDA NILAYA, 13TH MAIN ROAD, HANUMANTHANAGAR, BANGALORE-560050</t>
  </si>
  <si>
    <t>HANUMANTHANAGAR</t>
  </si>
  <si>
    <t>080-26679914</t>
  </si>
  <si>
    <t>rholla@rediffmail.com</t>
  </si>
  <si>
    <t>aidenpearce2070@gmail.com</t>
  </si>
  <si>
    <t>31.01.2001</t>
  </si>
  <si>
    <t>RAICHUR</t>
  </si>
  <si>
    <t>JU/SET/PADM/18/288</t>
  </si>
  <si>
    <t>SANGEETHA S</t>
  </si>
  <si>
    <t>SUBASH KUMAR</t>
  </si>
  <si>
    <t>ALKPK0555H</t>
  </si>
  <si>
    <t>232991944646</t>
  </si>
  <si>
    <t>#119, 5TH MAIN, SUBASH NAGAR, NEAR TANK ROAD, MYSORE-570007</t>
  </si>
  <si>
    <t>SUBASH NAGAR</t>
  </si>
  <si>
    <t>sangeetha.s.jain@gmail.com</t>
  </si>
  <si>
    <t>cjjain234@gmail.com</t>
  </si>
  <si>
    <t>PAO,10th Marks Card,12th Marks Card, TC,Photos,Pan &amp; Aadhar Card Copy</t>
  </si>
  <si>
    <t>15.07.1999</t>
  </si>
  <si>
    <t>RIYADH</t>
  </si>
  <si>
    <t>JU/SET/PADM/18/305</t>
  </si>
  <si>
    <t>DHANALAXMI VENKAT RAO</t>
  </si>
  <si>
    <t>RAMU LOGANATHAN</t>
  </si>
  <si>
    <t>ARIPR3741C</t>
  </si>
  <si>
    <t>657083024907</t>
  </si>
  <si>
    <t>#12, SHANTHINIKETHAN, SHETTIAPPA ROAD, UDAYANAGAR, DOORAVANI NAGAR EXTN, BANGALORE-560016</t>
  </si>
  <si>
    <t>UDAYANAGAR</t>
  </si>
  <si>
    <t>#25, BABU NILAYA, 10TH CROSS, RAMESH NAGAR, MARATHALLI POST, BANGALORE-560037</t>
  </si>
  <si>
    <t>laxmi_ramlog123@yahoo.com</t>
  </si>
  <si>
    <t>ajay.gaurav.58@gmail.com</t>
  </si>
  <si>
    <t>AGAMUDAYAR</t>
  </si>
  <si>
    <t>JU/SET/PADM/18/215</t>
  </si>
  <si>
    <t>KOKILAVANI S</t>
  </si>
  <si>
    <t>GOPINATHAN D</t>
  </si>
  <si>
    <t>BCVPG9440G</t>
  </si>
  <si>
    <t>712296107637</t>
  </si>
  <si>
    <t>NO.655, BIG STREET, ASWAREVANTHPURAM, PALLI PATTU TALUK, THIRUVALLUR DIST, TAMILNADU-631302</t>
  </si>
  <si>
    <t>ASWAREVANTHPURAM</t>
  </si>
  <si>
    <t>THIRUVALLUR</t>
  </si>
  <si>
    <t>dgopinathan71@gmail.com</t>
  </si>
  <si>
    <t>kishoregk2001@gmail.com</t>
  </si>
  <si>
    <t>27.11.2000</t>
  </si>
  <si>
    <t>RADHALAKSHMI S</t>
  </si>
  <si>
    <t>BASKAR G</t>
  </si>
  <si>
    <t>ENTREPRENEUR</t>
  </si>
  <si>
    <t>AHCPB2835K</t>
  </si>
  <si>
    <t>407287582520</t>
  </si>
  <si>
    <t>55, VAISHNAVI NAGAR, NEAR ASTC HUDCO, HOSUR, TAMILNADU-635109</t>
  </si>
  <si>
    <t>VAISHNAVI NAGAR</t>
  </si>
  <si>
    <t>uvaneshbaskar2000@gmail.com</t>
  </si>
  <si>
    <t>bphitechcmc@gmail.com</t>
  </si>
  <si>
    <t>DIGAMBARA</t>
  </si>
  <si>
    <t>06.07.2000</t>
  </si>
  <si>
    <t>UADIPUR</t>
  </si>
  <si>
    <t>JU/SET/PADM/18/292</t>
  </si>
  <si>
    <t>ANITA JAIN</t>
  </si>
  <si>
    <t>DINESH KUMAR JAIN</t>
  </si>
  <si>
    <t>GOVERNMENT SERVANT</t>
  </si>
  <si>
    <t>ABPPJ9088F</t>
  </si>
  <si>
    <t>741167970980</t>
  </si>
  <si>
    <t>318, SHIV COLONY, HIRAN MAGRI SECTOR, NO.6, UDAIPUR(RAJASTHAN)PINCODE-313002</t>
  </si>
  <si>
    <t>HIRAN MAGRI SECTOR</t>
  </si>
  <si>
    <t>UDAIPUR</t>
  </si>
  <si>
    <t>nuditjain68348@gmail.com</t>
  </si>
  <si>
    <t>gaurawnikhil993@gmail.com</t>
  </si>
  <si>
    <t>22.09.2000</t>
  </si>
  <si>
    <t>15.06.2018</t>
  </si>
  <si>
    <t>05.06.2001</t>
  </si>
  <si>
    <t>PAO,10th Marks Card,Photos TC, Migration Certificate,Aadhar Card Copy</t>
  </si>
  <si>
    <t>NAMBURU SRI RAM</t>
  </si>
  <si>
    <t>KRAPA VEERA VENKATA ABILASH</t>
  </si>
  <si>
    <t>03.05.1999</t>
  </si>
  <si>
    <t>SATTENAPALLI</t>
  </si>
  <si>
    <t>JU/SET/PADM/18/042</t>
  </si>
  <si>
    <t>NAMBURU SUNITHA</t>
  </si>
  <si>
    <t>NAMBURU SURI BABU</t>
  </si>
  <si>
    <t>626282486793</t>
  </si>
  <si>
    <t>H.NO.12-9-11, ABBARAJUPALEM, 75-TYALLURU(POST), PEDDAKURUPADU(MANDAL), GUNTUR(DISTRICT), ANDHRA PRADESH-522436</t>
  </si>
  <si>
    <t>ABBARAJUPALEM</t>
  </si>
  <si>
    <t>12th Marks Card,Email ID not entered</t>
  </si>
  <si>
    <t>BDIPN4198J</t>
  </si>
  <si>
    <t>BUCHIAYYAPALEM</t>
  </si>
  <si>
    <t>JU/SET/PADM/18/041</t>
  </si>
  <si>
    <t>KRAPA SUJATHA</t>
  </si>
  <si>
    <t>KRAPA SIVA RAMA KRISHNA</t>
  </si>
  <si>
    <t>EXVPK1743N</t>
  </si>
  <si>
    <t>750087975549</t>
  </si>
  <si>
    <t>H.NO.13-101, PANCHAYATHI BUILDING, BUCHIYYAPALEM, HUSSAINAGAR(P), PEDDAKURAPADU(MANDAL), GUNTUR(D), ANDHRA PRADESH-522402</t>
  </si>
  <si>
    <t>BUCHIYYAPALEM</t>
  </si>
  <si>
    <t>abichowdary98765@gmail.com</t>
  </si>
  <si>
    <t>04.12.1999</t>
  </si>
  <si>
    <t>PRODDATUR</t>
  </si>
  <si>
    <t>07.11.1999</t>
  </si>
  <si>
    <t>HARSHA PAVAN GOPAL KARIBANDI</t>
  </si>
  <si>
    <t>09.05.2000</t>
  </si>
  <si>
    <t>RAJAHMUNDRY</t>
  </si>
  <si>
    <t>K USHA RANI</t>
  </si>
  <si>
    <t>K RAMA KANTHA RAO</t>
  </si>
  <si>
    <t>AECPK6192B</t>
  </si>
  <si>
    <t>593392951793</t>
  </si>
  <si>
    <t>KARIBANDI HARSHA PAVAN GOPAL, S/O K RAMA KANTHA RAO, D.NO.34-3-14, SEELAMANTULAVARI STREET, MANGALAVARAPU PETA, RAJAHMUNDRY-I, EAST GODAVARI DISTRICT, ANDHRA PRADESH-533101</t>
  </si>
  <si>
    <t>EAST GODAVARI</t>
  </si>
  <si>
    <t>karibandi123@gmail.com</t>
  </si>
  <si>
    <t>PIDUGURALLA</t>
  </si>
  <si>
    <t>PAYAL JITENDRA JADHAV</t>
  </si>
  <si>
    <t>29.05.2000</t>
  </si>
  <si>
    <t>JU/SET/UNI/18/125</t>
  </si>
  <si>
    <t xml:space="preserve">KETAKI J JADHAV </t>
  </si>
  <si>
    <t>JITENDRA J JADHAV</t>
  </si>
  <si>
    <t>DIRECTOR-CSIR-NAL</t>
  </si>
  <si>
    <t>AAHPJ4885F</t>
  </si>
  <si>
    <t>705899102720</t>
  </si>
  <si>
    <t>NAL DIRECTORS NIVAS, OLD AIRPORT ROAD, OPP MANIPAL HOSPITAL, KODIHALLI, BANGALORE-560017</t>
  </si>
  <si>
    <t>KODIHALLI</t>
  </si>
  <si>
    <t>NAL-DIRECTORS, NIVASOLD AIRPORT ROAD, OPP MANIPAL HOSPITAL, KODIHALLI, BANGALORE NORTH-560017</t>
  </si>
  <si>
    <t>jadhavjj@yahoo.com</t>
  </si>
  <si>
    <t>080-25086115/080-25270584</t>
  </si>
  <si>
    <t>TATAPUDI TEJESH BABU</t>
  </si>
  <si>
    <t>NEYYALA</t>
  </si>
  <si>
    <t>PARVATHIPURAM</t>
  </si>
  <si>
    <t>JU/SET/PADM/18/308</t>
  </si>
  <si>
    <t>TATAPUDI ARATI</t>
  </si>
  <si>
    <t>TATAPUDI VENKATA RAMANA MURTHY</t>
  </si>
  <si>
    <t>AJEPT2509A</t>
  </si>
  <si>
    <t>749181200849</t>
  </si>
  <si>
    <t>34-153, BANGARAMMA COLONY, BELAGAM, PARVATHI PURAM, VIZIANAGARAM(D), ANDHRA PRADESH-535501</t>
  </si>
  <si>
    <t>VIZIANAGARAM</t>
  </si>
  <si>
    <t>tejeshbabu07@gmail.com</t>
  </si>
  <si>
    <t>JENISH J</t>
  </si>
  <si>
    <t>JU/SET/PADM/18/120</t>
  </si>
  <si>
    <t>16.06.2018</t>
  </si>
  <si>
    <t>JAYA RANI R</t>
  </si>
  <si>
    <t>TAILOR</t>
  </si>
  <si>
    <t>JEGAN T</t>
  </si>
  <si>
    <t>BOJPJ2108G</t>
  </si>
  <si>
    <t>339370786662</t>
  </si>
  <si>
    <t>JENISH J, S/O JEGANT, HOUSE NO.7/79E, MOTTAVILAI, KARANKADU(P), KANYAKUMAI DIST, TAMILNADU-629809</t>
  </si>
  <si>
    <t xml:space="preserve">KANYAKUMARI </t>
  </si>
  <si>
    <t>jbrothers0028@gmail.com</t>
  </si>
  <si>
    <t>MOTTAVILAI</t>
  </si>
  <si>
    <t>GOPISETTY JAYASAI KUMAR</t>
  </si>
  <si>
    <t>POLEPALLI SARAYU</t>
  </si>
  <si>
    <t>MAYANK KUMAR SINGH</t>
  </si>
  <si>
    <t>GUNDLURU LIKHITH KRISHNA</t>
  </si>
  <si>
    <t>BUSI YASWANTH REDDY</t>
  </si>
  <si>
    <t>TUSHAR JAIN</t>
  </si>
  <si>
    <t>KRITHIK BABU U P</t>
  </si>
  <si>
    <t>UPPARA</t>
  </si>
  <si>
    <t>14.08.2000</t>
  </si>
  <si>
    <t>GOPISETTY NAGESWARI</t>
  </si>
  <si>
    <t>GOPISETTY RAMA CHANDRAIAH</t>
  </si>
  <si>
    <t>CEXPR9553J</t>
  </si>
  <si>
    <t>247642150035</t>
  </si>
  <si>
    <t>5/120-4A, MUTTARASUPALLI, BHARATNAGAR-2, KADAPA, ANDHRA PRADESH-516002</t>
  </si>
  <si>
    <t>MUTTARASUPALLI</t>
  </si>
  <si>
    <t>#110, SECOND FLOOR, 2E MAIN ROAD, KORAMANGALA 8TH BLOCK, BEHIND CORPORATION BANK, BANGALORE-560095</t>
  </si>
  <si>
    <t>sudhakarnjalla@gmail.com</t>
  </si>
  <si>
    <t>jaisairoyal2@gmail.com</t>
  </si>
  <si>
    <t>23.03.2001</t>
  </si>
  <si>
    <t>JU/SET/PADM/18/076</t>
  </si>
  <si>
    <t>POLEPALLI VIJAYA DEEPA</t>
  </si>
  <si>
    <t>POLEPALLI SREENIVASULU</t>
  </si>
  <si>
    <t>UPTO 4 LAKHS</t>
  </si>
  <si>
    <t>ACUPP6387R</t>
  </si>
  <si>
    <t>561393341644</t>
  </si>
  <si>
    <t>D.NO.4/140, TEMPLE STREET, KADIRI, ANANTAPUR DIST, ANDHRA PRADESH-515591</t>
  </si>
  <si>
    <t>psreenivasulukdr@gmail.com</t>
  </si>
  <si>
    <t>KUSHWAHA</t>
  </si>
  <si>
    <t>05.09.1999</t>
  </si>
  <si>
    <t xml:space="preserve">BOKARO </t>
  </si>
  <si>
    <t>JHARKHAND</t>
  </si>
  <si>
    <t>MAHENDRA PRASAD SINGH</t>
  </si>
  <si>
    <t>AHOPS9185K</t>
  </si>
  <si>
    <t>738588551260</t>
  </si>
  <si>
    <t>CHANDRAPRUA</t>
  </si>
  <si>
    <t>BOKARO</t>
  </si>
  <si>
    <t>singh.mahen1965@gmail.com</t>
  </si>
  <si>
    <t>mayank.singh1998@gmail.com</t>
  </si>
  <si>
    <t>QTR NO.E/G-4, DVC COLONY, PO-CHANDRAPURA, DIST-BOKARO, JHARKHAND-828403</t>
  </si>
  <si>
    <t>15.11.2000</t>
  </si>
  <si>
    <t>JU/SET/PADM/18/296</t>
  </si>
  <si>
    <t>VISKHAPATNAM</t>
  </si>
  <si>
    <t>BALIJA</t>
  </si>
  <si>
    <t>14.10.2000</t>
  </si>
  <si>
    <t>JU/SET/PADM/18/241</t>
  </si>
  <si>
    <t>N KAMALA</t>
  </si>
  <si>
    <t>G RAMAMURTHY</t>
  </si>
  <si>
    <t>BELOW 500000</t>
  </si>
  <si>
    <t>228389956824</t>
  </si>
  <si>
    <t>11-121/1, S V NAGAR, TIRUPATI, CHITTOOR, ANDHRA PRADESH-517502</t>
  </si>
  <si>
    <t>royallikky@gmail.com</t>
  </si>
  <si>
    <t>THANJAVUR</t>
  </si>
  <si>
    <t>KAPPU</t>
  </si>
  <si>
    <t>06.06.2001</t>
  </si>
  <si>
    <t>BUSI BHARATHI</t>
  </si>
  <si>
    <t>BUSI NAGAMUNI REDDY</t>
  </si>
  <si>
    <t>LESSTHAN150000</t>
  </si>
  <si>
    <t>748048761821</t>
  </si>
  <si>
    <t>BANTHATIPALLI</t>
  </si>
  <si>
    <t>1/105-A, VANTHATIPALLI, SIDDHOUT, KADAPA, ANDHRA PRADESH-516237</t>
  </si>
  <si>
    <t>narayana.thimmareddy@gmail.com</t>
  </si>
  <si>
    <t>yaswanthreddy2909@gmail.com</t>
  </si>
  <si>
    <t>CDDPB1724J</t>
  </si>
  <si>
    <t>JU/SET/PADM/18/317</t>
  </si>
  <si>
    <t>JULIE JAIN</t>
  </si>
  <si>
    <t>SANJAY KUMAR JAIN</t>
  </si>
  <si>
    <t>ADHPJ5618F</t>
  </si>
  <si>
    <t>995858308333</t>
  </si>
  <si>
    <t>OSMANGUNJ</t>
  </si>
  <si>
    <t>5-3-718, SHANKER BAGH, OPP OSMANGUNJ, HYDERABAD, TELAGANA-500012</t>
  </si>
  <si>
    <t>sk1jain@yahoo.com</t>
  </si>
  <si>
    <t>tusharjain137@gmail.com</t>
  </si>
  <si>
    <t>THIYYA</t>
  </si>
  <si>
    <t>THALASSERY</t>
  </si>
  <si>
    <t>JU/SET/PADM/18/310</t>
  </si>
  <si>
    <t>SMITHA M K</t>
  </si>
  <si>
    <t>BABU U P (LATE)</t>
  </si>
  <si>
    <t>DAIPS0035J</t>
  </si>
  <si>
    <t>PADINHATTUMMURI</t>
  </si>
  <si>
    <t>KOZHIKODE</t>
  </si>
  <si>
    <t>smithamk123@gmail.com</t>
  </si>
  <si>
    <t>krithikbabu9@gmail.com</t>
  </si>
  <si>
    <t>774114002914</t>
  </si>
  <si>
    <t>POOTHANGARA HOUSE, PADINHATTUMURI, KAKKODI P O, KOZHIKODE, KERALA-673611</t>
  </si>
  <si>
    <t>33/400A, VRINDHAVAN, KEEZAALANCHERI, PARAMBA, MALAPARAMBA, P.O CALICUT,KERALA-673009</t>
  </si>
  <si>
    <t>0495-2376327</t>
  </si>
  <si>
    <t>OFFICE ASSISTANT</t>
  </si>
  <si>
    <t>PAWAN SAHU</t>
  </si>
  <si>
    <t>04.04.1998</t>
  </si>
  <si>
    <t>JORHAT</t>
  </si>
  <si>
    <t>GUWAHATI</t>
  </si>
  <si>
    <t>ASSAM HIGHER SECONDARY EDUCATION COUNCIL, GUWAHATI</t>
  </si>
  <si>
    <t>JU/SET/PADM/18/307</t>
  </si>
  <si>
    <t>PUSPA SAHU</t>
  </si>
  <si>
    <t>BISHNU SAHU</t>
  </si>
  <si>
    <t>AJVPS9925Q</t>
  </si>
  <si>
    <t>GAR-ALI</t>
  </si>
  <si>
    <t>ASSAM</t>
  </si>
  <si>
    <t>pawancool3539@gmail.com</t>
  </si>
  <si>
    <t>BISHNU STORES, GAR-ALI, JORHAT, ASSAM-785001</t>
  </si>
  <si>
    <t>18.06.2018</t>
  </si>
  <si>
    <t>JU/SET/PADM/18/316</t>
  </si>
  <si>
    <t>PAO,10th Marks Card,12th Marks Card, Caste Certificate,TC,Photos,Pan &amp; Aadhar Card Copy</t>
  </si>
  <si>
    <t>DEEKSHA LOKESH</t>
  </si>
  <si>
    <t>KUNCHITIGA</t>
  </si>
  <si>
    <t>31.03.2000</t>
  </si>
  <si>
    <t>JU/SET/PADM/18/266</t>
  </si>
  <si>
    <t>AMBUJA</t>
  </si>
  <si>
    <t>G LOKESH</t>
  </si>
  <si>
    <t>ASSOCIATE PROFESSOR</t>
  </si>
  <si>
    <t>AACPL7753K</t>
  </si>
  <si>
    <t>711849363515</t>
  </si>
  <si>
    <t>#21, DEEPU NILAYA, 5TH MAIN, ADITYANAGAR, J P NAGAR 8TH PHASE, BANGALORE-560062</t>
  </si>
  <si>
    <t>J P NAGAR 8TH PHASE</t>
  </si>
  <si>
    <t>080-26637042</t>
  </si>
  <si>
    <t>prof.lokeshg@gmail.com</t>
  </si>
  <si>
    <t>deek.lok31@gmail.com</t>
  </si>
  <si>
    <t>VAIBHAV SINGH RAWAT</t>
  </si>
  <si>
    <t>THAKUR</t>
  </si>
  <si>
    <t>13.07.2000</t>
  </si>
  <si>
    <t>LUCKNOW</t>
  </si>
  <si>
    <t>MEENA RAWAT</t>
  </si>
  <si>
    <t>HARSH PAL SINGH RAWAT</t>
  </si>
  <si>
    <t>AEOPR9119K</t>
  </si>
  <si>
    <t>812577570182</t>
  </si>
  <si>
    <t>3/B, KANCHANPURI, SAROJINI NAGAR, LUCKNOW-226008</t>
  </si>
  <si>
    <t>SAROJINI NAGAR</t>
  </si>
  <si>
    <t>0-6391651097</t>
  </si>
  <si>
    <t>hsrawat1468@gmail.com</t>
  </si>
  <si>
    <t>yorishabhy045@gmail.com</t>
  </si>
  <si>
    <t>PAO,10th Marks Card,12th Marks Card, TC,Migration Certificate,Photos,Pan &amp; Aadhar Card Copy</t>
  </si>
  <si>
    <t>PAO,10th Marks Card,12th Marks Card, TC,Migration Certificate,Photos,Aadhar Card Copy</t>
  </si>
  <si>
    <t>RAHUL MANOJKUMAR MAKADIYA</t>
  </si>
  <si>
    <t>MUKESH KANNA V</t>
  </si>
  <si>
    <t>PATEL</t>
  </si>
  <si>
    <t>08.04.2000</t>
  </si>
  <si>
    <t>RAJKOT</t>
  </si>
  <si>
    <t>JU/SET/UNI/18/084</t>
  </si>
  <si>
    <t>SONALBEN MANOJKUMAR MAKADIYA</t>
  </si>
  <si>
    <t>MANOJKUMAR NANALAL MAKADIYA</t>
  </si>
  <si>
    <t>834940381214</t>
  </si>
  <si>
    <t>#212, 2ND FLOOR, 2ND MAIN, 8TH CROSS, TENT ROAD, GANESHA BLOCK, MAHALAKSHMI LAYOUT, BANGALORE-560096</t>
  </si>
  <si>
    <t>080-23193393</t>
  </si>
  <si>
    <t>manojmakadia@yahoo.co.in</t>
  </si>
  <si>
    <t>AEMPM3181J</t>
  </si>
  <si>
    <t>KONGU VELLARS-VELLALA GOUNDER</t>
  </si>
  <si>
    <t>29.08.2000</t>
  </si>
  <si>
    <t xml:space="preserve">KALAIVANI V </t>
  </si>
  <si>
    <t>ASHOK LEYLAND COMPANY EMPLOYEE</t>
  </si>
  <si>
    <t>ACDPV9677R</t>
  </si>
  <si>
    <t>444593420335</t>
  </si>
  <si>
    <t>S VENKATACHALAM, DOOR NO.3/187-33, MEENAKSHI NAGAR, AKASH BAJAJ SHOW ROOM BACKSIDE, KRISHNAGRI MAIN ROAD, HOSUR, TAMIL NADU-635109</t>
  </si>
  <si>
    <t>MEENAKSHI NAGAR</t>
  </si>
  <si>
    <t>vmukeshkanna@gmail.com</t>
  </si>
  <si>
    <t>evergreensrathanamgmail.com</t>
  </si>
  <si>
    <t>10.12.2000</t>
  </si>
  <si>
    <t>NAGAMALLI SURYA TEJ</t>
  </si>
  <si>
    <t>08.05.2001</t>
  </si>
  <si>
    <t>JU/SET/PADM/18/213</t>
  </si>
  <si>
    <t>K SUJATHA</t>
  </si>
  <si>
    <t>N C SREENIVASULU</t>
  </si>
  <si>
    <t>AGJPN1197Q</t>
  </si>
  <si>
    <t>230614496295</t>
  </si>
  <si>
    <t>H.NO.76/97, APOORVA GARDENS, FLAT NO.16, L VENKAIAH NAGAR, NEAR CHOWRASTHA, KURNOOL, ANDHRA PRADESH-518003</t>
  </si>
  <si>
    <t>CHOWRASTHA</t>
  </si>
  <si>
    <t>sreenun.n09@gmail.com</t>
  </si>
  <si>
    <t>suryatej944@gmail.com</t>
  </si>
  <si>
    <t>VONTIMITTA</t>
  </si>
  <si>
    <t>ARUN PRAKASH</t>
  </si>
  <si>
    <t>VILKKITHALANAIR</t>
  </si>
  <si>
    <t>29.03.2000</t>
  </si>
  <si>
    <t>KOTTAYAM</t>
  </si>
  <si>
    <t>OMAN</t>
  </si>
  <si>
    <t>JU/SET/JET/18/132</t>
  </si>
  <si>
    <t>OMANA PRAKASH</t>
  </si>
  <si>
    <t>PRAKASH T S (LATE)</t>
  </si>
  <si>
    <t>ABOPO3134E</t>
  </si>
  <si>
    <t>430190357967</t>
  </si>
  <si>
    <t>THEKKENJARALAKATTU KUNNEL, MONIPALLY POST, KOTTAYAM DIST, KERALA-686636</t>
  </si>
  <si>
    <t>MONIPPALLY</t>
  </si>
  <si>
    <t>omana.prakash92@gmail.com</t>
  </si>
  <si>
    <t>arunp3110c@gmail.com</t>
  </si>
  <si>
    <t>THEKKENJARALAKATTU KUNNEL, MONIPPALLY POST, KOTTAYAM DIST, KERALA-686636</t>
  </si>
  <si>
    <t>JU/SET/PADM/18/329</t>
  </si>
  <si>
    <t>SRIKAKULA VIDHAYINI</t>
  </si>
  <si>
    <t>JU/SET/JET/18/101</t>
  </si>
  <si>
    <t>19.06.2018</t>
  </si>
  <si>
    <t>S BHAGYA LAKSHMI</t>
  </si>
  <si>
    <t>S MURALIDHAR</t>
  </si>
  <si>
    <t>ABHPM3753C</t>
  </si>
  <si>
    <t>968719331910</t>
  </si>
  <si>
    <t>S MURALIDHAR, 5/166, POOLA BAJAR, KADIRI, ANANTAPUR DISTRICT, ANDHRA PRADESH-515591</t>
  </si>
  <si>
    <t>vidhayini.srikakula@gmail.com</t>
  </si>
  <si>
    <t>NIRANJAN KUMAR A</t>
  </si>
  <si>
    <t>JU/SET/UNI/18/085</t>
  </si>
  <si>
    <t>ANURADHA S</t>
  </si>
  <si>
    <t>ANANTHA MURTHY A N</t>
  </si>
  <si>
    <t>AGENT LIC OF INDIA</t>
  </si>
  <si>
    <t>SERVICE (PRINT MEDIA)</t>
  </si>
  <si>
    <t>AAZPN5825H</t>
  </si>
  <si>
    <t>697735570780</t>
  </si>
  <si>
    <t>NIRANJAN KUMAR A, S/O A N ANANTHA MURTHY, NO.1960, KAMALA, SHANI MAHATMA ROAD, RAGHUNAHALLI, KANAKAPURA RAOD, BANGALORE-560109</t>
  </si>
  <si>
    <t>RAGHUNAHALLI</t>
  </si>
  <si>
    <t>ananthamurthy@live.com</t>
  </si>
  <si>
    <t>niranjan.arkalgud@gmail.com</t>
  </si>
  <si>
    <t>28.11.1999</t>
  </si>
  <si>
    <t>KOLHAPUR</t>
  </si>
  <si>
    <t>PAO,10th Marks Card,12th Marks Card,TC,Photos ,Pan and Aadhar Card Copy</t>
  </si>
  <si>
    <t>TC</t>
  </si>
  <si>
    <t>S DHARANESHWARAN</t>
  </si>
  <si>
    <t>JU/SET/PADM/18/279</t>
  </si>
  <si>
    <t>SUGUNA S</t>
  </si>
  <si>
    <t>SAMPATH KUMAR M</t>
  </si>
  <si>
    <t>DRIVER</t>
  </si>
  <si>
    <t>CNLPS8959J</t>
  </si>
  <si>
    <t>565280170000</t>
  </si>
  <si>
    <t xml:space="preserve">ELECTRONICS CITY </t>
  </si>
  <si>
    <t>s.rekhanttf@gmail.com</t>
  </si>
  <si>
    <t>dharaneshsampath@gmail.com</t>
  </si>
  <si>
    <t>PAO,10th Marks Card,12th Marks Card,TC,Photos , Aadhar Card Copy</t>
  </si>
  <si>
    <t>Migration Certificate, Pan Copy</t>
  </si>
  <si>
    <t>S/O M SAMPATH KUMAR, 23RD &amp; 24TH, 1ST FLOOR, MOULI NILAYA, 2ND MAIN ROAD, BALAJI LAYOUT, DODDANAGAMAGALA, ELECTRONIC CITY-560100</t>
  </si>
  <si>
    <t>MADALA NITISH CHANDRA GUPTHA</t>
  </si>
  <si>
    <t>PATCHIPULUSU DATTA SAI AKASH</t>
  </si>
  <si>
    <t>NAMITH MANOJ</t>
  </si>
  <si>
    <t>15.03.2001</t>
  </si>
  <si>
    <t>ATCHAMPET</t>
  </si>
  <si>
    <t>JU/SET/PADM/18/068</t>
  </si>
  <si>
    <t>MADALA LAKSHMI SATYAVANI</t>
  </si>
  <si>
    <t>MADALA PRASAD</t>
  </si>
  <si>
    <t>AIZPM3114E</t>
  </si>
  <si>
    <t>370733546509</t>
  </si>
  <si>
    <t>D.NO.-8-1-39.LAWYERPET, JAMMICHETTU STREET, ONGOLE, PRAKASM DISTRICT, ANDHRA PRADESH-523002</t>
  </si>
  <si>
    <t>ONGOLE</t>
  </si>
  <si>
    <t>08592-220435</t>
  </si>
  <si>
    <t>prasadmadala73@gmail.com</t>
  </si>
  <si>
    <t>nitishmadala2001@gmail.com</t>
  </si>
  <si>
    <t>JU/SET/PADM/18/069</t>
  </si>
  <si>
    <t>PATCHIPULUSU PADMAJA</t>
  </si>
  <si>
    <t>PATCHIPULUSU SRINIVAS</t>
  </si>
  <si>
    <t xml:space="preserve"> 1 LAKH BELOW</t>
  </si>
  <si>
    <t>ACCPP7844F</t>
  </si>
  <si>
    <t>314246860579</t>
  </si>
  <si>
    <t>S/O SRINIVAS, 28-1-1/C, SOUTH STREET, OPP GANDHI STATUE, ONGOLE, PRAKASAM DISTRICT, ANDHRA PRADESH-523001</t>
  </si>
  <si>
    <t>08592-233321</t>
  </si>
  <si>
    <t>srinivaspadamaja@gmail.com</t>
  </si>
  <si>
    <t>akashpatchipulusu10@gmail.com</t>
  </si>
  <si>
    <t>10.03.1998</t>
  </si>
  <si>
    <t>JU/SET/PADM/18/332</t>
  </si>
  <si>
    <t>A V SHEHEERA</t>
  </si>
  <si>
    <t>N V MANOJ</t>
  </si>
  <si>
    <t>10 LAKHS</t>
  </si>
  <si>
    <t>ADXPM2060J</t>
  </si>
  <si>
    <t>857943248681</t>
  </si>
  <si>
    <t>SHANGRILA, P O KOTAYAMPOIL, KANNUR,KERALA-670691</t>
  </si>
  <si>
    <t>KOTAYAMPOIL</t>
  </si>
  <si>
    <t>KANNUR</t>
  </si>
  <si>
    <t>manojnv770@gmail.com</t>
  </si>
  <si>
    <t>namithmn@gmail.com</t>
  </si>
  <si>
    <t>PAO,10th Marks Card,12th Marks Card, TC,Migration CertificatePhotos,Aadhar Card Copy</t>
  </si>
  <si>
    <t>VISHNU S S</t>
  </si>
  <si>
    <t>HARRSH V NAIR</t>
  </si>
  <si>
    <t>VETTUVA GOUNDER</t>
  </si>
  <si>
    <t>SAKTHI NAGAR</t>
  </si>
  <si>
    <t>KALAISELVI P</t>
  </si>
  <si>
    <t>SIVASHIGISATHY</t>
  </si>
  <si>
    <t>POSTAL ASSISTANT-INDIA POST</t>
  </si>
  <si>
    <t>832486545047</t>
  </si>
  <si>
    <t>81/68, SANGAMPALAYAM, K K PALAYAM(P), ERODE(D), TAMILNADU-638457</t>
  </si>
  <si>
    <t>SANGAMPALAYAM</t>
  </si>
  <si>
    <t>4, POORANI NAGAR, GOBICHETTIPALAYAM, ERODE(D), TAMILNADU-638452</t>
  </si>
  <si>
    <t>kalaishigi@gmail.com</t>
  </si>
  <si>
    <t>ssvishnu28shigi@gmail.com</t>
  </si>
  <si>
    <t>KALOOR</t>
  </si>
  <si>
    <t>JU/SET/UNI/18/088</t>
  </si>
  <si>
    <t>SUSHAMA NAIR</t>
  </si>
  <si>
    <t>VINOD NAIR</t>
  </si>
  <si>
    <t>ARCHITECT</t>
  </si>
  <si>
    <t>AAEPN9653L</t>
  </si>
  <si>
    <t>577253108664</t>
  </si>
  <si>
    <t>403, SUNRISE VILLAS, BELLANDUR MAIN ROAD, BANGALORE-560103</t>
  </si>
  <si>
    <t>080-41159692</t>
  </si>
  <si>
    <t>vinodsnair@live.com</t>
  </si>
  <si>
    <t>harrshdx@gmail.com</t>
  </si>
  <si>
    <t>SASHANK GOENKA</t>
  </si>
  <si>
    <t>MARAWADI</t>
  </si>
  <si>
    <t>18.10.1998</t>
  </si>
  <si>
    <t>SHILLONG</t>
  </si>
  <si>
    <t>MINU GOENKA</t>
  </si>
  <si>
    <t>RAJESH GOENKA</t>
  </si>
  <si>
    <t>ADXPG3909L</t>
  </si>
  <si>
    <t>TOKOBARI</t>
  </si>
  <si>
    <t>KAMMRUP</t>
  </si>
  <si>
    <t>r4gu@gmail.com</t>
  </si>
  <si>
    <t>sashankgoenka23@gmail.com</t>
  </si>
  <si>
    <t>JU/SET/JET/18/134</t>
  </si>
  <si>
    <t>787888234292</t>
  </si>
  <si>
    <t>M G STORE, TOKOBARI, FANCY BAZZAR, NEAR POLICE RESERVE, KAMMRUP, ASSAM-781001</t>
  </si>
  <si>
    <t>20.06.2018</t>
  </si>
  <si>
    <t>KEERTHANA L</t>
  </si>
  <si>
    <t>KORAMA</t>
  </si>
  <si>
    <t>25.03.1999</t>
  </si>
  <si>
    <t>JU/SET/PADM/18/355</t>
  </si>
  <si>
    <t>NIRMALA M</t>
  </si>
  <si>
    <t>LAKSHMI NARASIMHAIAH V</t>
  </si>
  <si>
    <t>RETIRED</t>
  </si>
  <si>
    <t>AKCPN5983H</t>
  </si>
  <si>
    <t>929782379996</t>
  </si>
  <si>
    <t>#13, A1 CROSS, APPOLO PHARMACY, VISHWAPRIYA LAYOUT, BEGUR ROAD, BANGALORE-560068</t>
  </si>
  <si>
    <t>VISHWAPRIYA LAYOUT</t>
  </si>
  <si>
    <t>BANGALOR</t>
  </si>
  <si>
    <t>keerthychintu@gmail.com</t>
  </si>
  <si>
    <t>CHIRAYU TULSYAN</t>
  </si>
  <si>
    <t>24.10.1999</t>
  </si>
  <si>
    <t xml:space="preserve">ADILABAD </t>
  </si>
  <si>
    <t>JU/SET/PADM/18/223</t>
  </si>
  <si>
    <t>KIRAN TULSYAN</t>
  </si>
  <si>
    <t>ANIL KUMAR TULSYAN</t>
  </si>
  <si>
    <t>AAFPT7003H</t>
  </si>
  <si>
    <t>493768009683</t>
  </si>
  <si>
    <t>H.NO.4-2-385/1, RANI SATIJI COLONY, ADILABAD, TELANGANA, HYDERABAD-504001</t>
  </si>
  <si>
    <t>ADILABAD</t>
  </si>
  <si>
    <t>KIRAN TEX, M G ROAD, ADILABAD, TELANGANA, HYDERABAD-504001</t>
  </si>
  <si>
    <t>08732-225577</t>
  </si>
  <si>
    <t>tulsyanadb@gmail.com</t>
  </si>
  <si>
    <t>chirayu8787@gmail.com</t>
  </si>
  <si>
    <t>PAO,10th Marks Card,12th MC, Transfer Certificate, Photos ,Pan &amp; Aadhar Card Copy</t>
  </si>
  <si>
    <t>VENKATACHALAPATHI L</t>
  </si>
  <si>
    <t>VAKKALIGA</t>
  </si>
  <si>
    <t>22.03.2000</t>
  </si>
  <si>
    <t>JU/SET/PADM/18/081</t>
  </si>
  <si>
    <t>RAMA C</t>
  </si>
  <si>
    <t>LAKSHMANAN C</t>
  </si>
  <si>
    <t>MD OF MAHALAKSHMI PLASTICS ENGINEERING PVT LTD</t>
  </si>
  <si>
    <t>AJOPL3313N</t>
  </si>
  <si>
    <t>460151952315</t>
  </si>
  <si>
    <t>3/303, MGR NAGAR, BEDARAPALLI, SIPCOT(P), HOSUR(T), KRISHNAGIRI(D), TAMILNADU(S)-635126</t>
  </si>
  <si>
    <t>mahaplastics@gmail.com</t>
  </si>
  <si>
    <t>venkatahk05@gmail.com</t>
  </si>
  <si>
    <t>MAHESHWARI</t>
  </si>
  <si>
    <t>JU/SET/PADM/18/190</t>
  </si>
  <si>
    <t>21.06.2018</t>
  </si>
  <si>
    <t>PAO,10th Marks Card,Photos ,Migration Certificate,TC, Pan &amp; Aadhar Card Copy</t>
  </si>
  <si>
    <t>MIYAPUR</t>
  </si>
  <si>
    <t>BABAIAH GANDLURU</t>
  </si>
  <si>
    <t>ARNAV SRIVASTAVA</t>
  </si>
  <si>
    <t>14.09.1999</t>
  </si>
  <si>
    <t>CHAND BEEBI GANDLURU</t>
  </si>
  <si>
    <t>BASHA GANDLURU</t>
  </si>
  <si>
    <t>2 LAKHS</t>
  </si>
  <si>
    <t>968115080085</t>
  </si>
  <si>
    <t>SAMATHA NAGAR, IIND LINE, MY HOME RESIDENCY, FLOT NO-401, ONGOLE, ANDHRA PRADESH-523002</t>
  </si>
  <si>
    <t>SAMATHA NAGAR</t>
  </si>
  <si>
    <t>babaiah28@gmail.com</t>
  </si>
  <si>
    <t>AJAPG4427A</t>
  </si>
  <si>
    <t>KAYASTHA</t>
  </si>
  <si>
    <t>27.08.2001</t>
  </si>
  <si>
    <t>GOPALGANJ</t>
  </si>
  <si>
    <t>KIRAN PRAKASH</t>
  </si>
  <si>
    <t>NAVEEN PRAKASH</t>
  </si>
  <si>
    <t>AKIPP2468D</t>
  </si>
  <si>
    <t>951548919789</t>
  </si>
  <si>
    <t>326, WARD NO.14, BEHID HEAD POST OFFICE, INDRAPURI, GOPALGANJ, BIHAR-841428</t>
  </si>
  <si>
    <t>INDRAPURI</t>
  </si>
  <si>
    <t>navin209prakash@gmail.com</t>
  </si>
  <si>
    <t>arnavsriva@gmail.com</t>
  </si>
  <si>
    <t>09.04.2000</t>
  </si>
  <si>
    <t>SHASHANK J R</t>
  </si>
  <si>
    <t>GANIGA</t>
  </si>
  <si>
    <t>24.05.2000</t>
  </si>
  <si>
    <t>JU/SET/PADM/18/358</t>
  </si>
  <si>
    <t>22.06.2018</t>
  </si>
  <si>
    <t>SHYLAJA V</t>
  </si>
  <si>
    <t>RAVI KUMAR J V</t>
  </si>
  <si>
    <t>CHIEF ENGINEER</t>
  </si>
  <si>
    <t>KBXPS5791C</t>
  </si>
  <si>
    <t>725954075922</t>
  </si>
  <si>
    <t>BANASHANKARI III STAGE</t>
  </si>
  <si>
    <t>#663, II MAIN, II CROSS, 7TH BLOCK, BANSHANKARI III STAGE, NEAR 43E LAST BUS STOP, BENGALORE-560085</t>
  </si>
  <si>
    <t>080-26721886</t>
  </si>
  <si>
    <t>jvravikumar7@gmail.com</t>
  </si>
  <si>
    <t>VELUGURI MANIKANTA RAMU</t>
  </si>
  <si>
    <t>12.07.2001</t>
  </si>
  <si>
    <t>JU/SET/PADM/18/270</t>
  </si>
  <si>
    <t>VELUGURI BHARGAVI</t>
  </si>
  <si>
    <t>AJDPR2120C</t>
  </si>
  <si>
    <t>650633034306</t>
  </si>
  <si>
    <t>2-49, PEDAKODAMAGUNDLA, KARAMPUDI(MANDAL), GUNTUR(D), ANDHRA PRADESH-522614</t>
  </si>
  <si>
    <t>PEDAKONDAMAGUNDLA</t>
  </si>
  <si>
    <t>08649-258047</t>
  </si>
  <si>
    <t>ramuveluguri12@gmail.com</t>
  </si>
  <si>
    <t>VELUGURI VENKATA RATNAM</t>
  </si>
  <si>
    <t>velugurivenkataratnam@gmail.com</t>
  </si>
  <si>
    <t>ADAMMY PRATAP SINGH DHUPAR</t>
  </si>
  <si>
    <t>09.07.2000</t>
  </si>
  <si>
    <t>JU/SET/PADM/18/361</t>
  </si>
  <si>
    <t>KANCHAN DHUPAR</t>
  </si>
  <si>
    <t>KAMLESH DHUPAR</t>
  </si>
  <si>
    <t>10-12 LAKHS</t>
  </si>
  <si>
    <t>AAUPD8361M</t>
  </si>
  <si>
    <t>909977274975</t>
  </si>
  <si>
    <t>ASHOK NAGAR, 228/15, BEHIND MAYA MISTHAN BHANDAR, UDAIPUR, RAJASTHAN-313001</t>
  </si>
  <si>
    <t>0294-2412067</t>
  </si>
  <si>
    <t>dhuparadammya@gmail.com</t>
  </si>
  <si>
    <t>PALAKKAD</t>
  </si>
  <si>
    <t>G S SUDHAANSHU JAIN</t>
  </si>
  <si>
    <t>DIGAMBAR</t>
  </si>
  <si>
    <t>29.01.1999</t>
  </si>
  <si>
    <t>M Y NAYANA</t>
  </si>
  <si>
    <t>D SHANTESH</t>
  </si>
  <si>
    <t>DEPUTY MANAGER</t>
  </si>
  <si>
    <t>AHJPN8137H</t>
  </si>
  <si>
    <t>2592-8557-8200</t>
  </si>
  <si>
    <t>D.SHANTESH, 1300, 20TH MAIN, 9TH CROSS, J P NAGAR II PHASE, BANGALORE-560078</t>
  </si>
  <si>
    <t>J P NAGAR II PHASE</t>
  </si>
  <si>
    <t>nayana.shantesh1@gmail.com</t>
  </si>
  <si>
    <t>JU/SET/UNI/18/095</t>
  </si>
  <si>
    <t>sudhaanshu.jain@gmail.com</t>
  </si>
  <si>
    <t>PAO,10th Marks Card, TC,Migration Certificate,Photos,Pan &amp; Aadhar Card Copy</t>
  </si>
  <si>
    <t>TALARI RAJESH YADAV</t>
  </si>
  <si>
    <t>10.07.2001</t>
  </si>
  <si>
    <t>GIDDALUR</t>
  </si>
  <si>
    <t>TALARI SANKARAIAH</t>
  </si>
  <si>
    <t>TALARI SAROJA</t>
  </si>
  <si>
    <t>ADPPT5606B</t>
  </si>
  <si>
    <t>215207070306</t>
  </si>
  <si>
    <t>8-21-120/A, MAYABAZAR, GIDDALUR, PRAKASAM(D), ANDHRA PRADESH-523357</t>
  </si>
  <si>
    <t>rajeshtalari.sunkar@gmail.com</t>
  </si>
  <si>
    <t>23.06.2018</t>
  </si>
  <si>
    <t>SAI DEEP I</t>
  </si>
  <si>
    <t>JU/SET/PADM/18/290</t>
  </si>
  <si>
    <t>JU/SET/UNI/18/089</t>
  </si>
  <si>
    <t>KALPANA I</t>
  </si>
  <si>
    <t>BALAJI I</t>
  </si>
  <si>
    <t>AACPI3110M</t>
  </si>
  <si>
    <t>931017557546</t>
  </si>
  <si>
    <t>19-55, M M RATHNAM STREET, PALAMANER, CHITTOOR DIST, ANDHRA PRADESH-517408</t>
  </si>
  <si>
    <t>indukuriagencies@gmail.com</t>
  </si>
  <si>
    <t>sai.indukur@gmail.com</t>
  </si>
  <si>
    <t>GNANESH M</t>
  </si>
  <si>
    <t>ABHINAV KUMAR</t>
  </si>
  <si>
    <t>K G F</t>
  </si>
  <si>
    <t>JU/SET/UNI/18/109</t>
  </si>
  <si>
    <t>VIJAYA LAKSHMI V S</t>
  </si>
  <si>
    <t>MUNINDRA KUMAR K</t>
  </si>
  <si>
    <t>SERVICE IN BANKING</t>
  </si>
  <si>
    <t>AGYPK5829K</t>
  </si>
  <si>
    <t>791539477183</t>
  </si>
  <si>
    <t>#D-452, SAPTHAGIRI NIVAS, NEAR MARIYAMMA TEMPLE, BOWRILALPET, ROBERTSON PET, K G F-563122</t>
  </si>
  <si>
    <t>BOWRILALPET</t>
  </si>
  <si>
    <t>08153-262614</t>
  </si>
  <si>
    <t>kmunindrakumar@gmail.com</t>
  </si>
  <si>
    <t>gnanesh.kgf@gmail.com</t>
  </si>
  <si>
    <t>KOERI</t>
  </si>
  <si>
    <t>GODDA</t>
  </si>
  <si>
    <t>ALKA DEVI</t>
  </si>
  <si>
    <t>GANDHI PRASAD MANJHI</t>
  </si>
  <si>
    <t>AGGPM4158H</t>
  </si>
  <si>
    <t>845582862773</t>
  </si>
  <si>
    <t>AT KARPURI PATH, LOHIYA NAGAR, GODDA, JHARKHAND-814133</t>
  </si>
  <si>
    <t>LOHIYA NAGAR</t>
  </si>
  <si>
    <t>abhinavgoddakumar@gmail.com</t>
  </si>
  <si>
    <t>VYSHNAV RAJ</t>
  </si>
  <si>
    <t>JU/SET/PADM/18/373</t>
  </si>
  <si>
    <t>SHEEJA P</t>
  </si>
  <si>
    <t>RAJEEVAN E</t>
  </si>
  <si>
    <t>LABOUR</t>
  </si>
  <si>
    <t>895491718106</t>
  </si>
  <si>
    <t>PALOTT HOUSE, K KANNAPURAM, MOTTAMMAL P O, MOTTAMMALS O, MOTTAMMAL, KANNUR, KERALA-670331</t>
  </si>
  <si>
    <t>K KANNAPURAM</t>
  </si>
  <si>
    <t>vyshnavraj9947@gmail.com</t>
  </si>
  <si>
    <t>PAO,10th Marks Card,12th Marks Card, TC,Migration Certificate,Photos,adhar Card Copy</t>
  </si>
  <si>
    <t>NARESAPALLI NAGA SRINIVASA</t>
  </si>
  <si>
    <t>JU/SET/PADM/18/375</t>
  </si>
  <si>
    <t>NARESAPALLI VIJAYA GOWRI</t>
  </si>
  <si>
    <t>NARESAPALLI SHANKARAIAH</t>
  </si>
  <si>
    <t>GZBPS6518B</t>
  </si>
  <si>
    <t>995467716636</t>
  </si>
  <si>
    <t>D.NO.8-174/3, BANKA MATTI STREET, TADIPATRI, ANANTAPUR(DISTRICT), ANDHRA PRADESH-515411</t>
  </si>
  <si>
    <t>NO.1/3, FIRST FLOOR, 19TH MAIN, RAGHAVENDRA LAYOUT, BTM I STAGE, MLARUTHI NAGAR, BANGALORE-560029</t>
  </si>
  <si>
    <t>tejaswininarsepalli@gmail.com</t>
  </si>
  <si>
    <t>nagasrinivas1800@gmail.com</t>
  </si>
  <si>
    <t>25.06.2018</t>
  </si>
  <si>
    <t>GADDE LAKSHMI VENKATARAMANA JAYACHANDRA</t>
  </si>
  <si>
    <t>20.06.2000</t>
  </si>
  <si>
    <t>JU/SET/PADM/18/309</t>
  </si>
  <si>
    <t>N PADMAVATHI</t>
  </si>
  <si>
    <t>G RAJA</t>
  </si>
  <si>
    <t>AEKPG5572R</t>
  </si>
  <si>
    <t>H.NO-4-109-6, NEW MAMATHA NAGAR, KURNOOL, ANDRA PRADESH-518006</t>
  </si>
  <si>
    <t>NEW MAMATHA NAGAR</t>
  </si>
  <si>
    <t>godderaja123@gmail.com</t>
  </si>
  <si>
    <t>jaichandra830@gmail.com</t>
  </si>
  <si>
    <t>633488754589</t>
  </si>
  <si>
    <t>GAZAL JOHNY</t>
  </si>
  <si>
    <t>20.08.1999</t>
  </si>
  <si>
    <t>JOHNY O V</t>
  </si>
  <si>
    <t>POLICE (RETIRED)</t>
  </si>
  <si>
    <t>AIIPJ3741K</t>
  </si>
  <si>
    <t>GAZAL JOHNY, URUMBIL(H), KOTTIYOOR P O, KANNUR (D), KERALA-670651</t>
  </si>
  <si>
    <t>URUMBLI</t>
  </si>
  <si>
    <t>ROSAKKUTTY</t>
  </si>
  <si>
    <t>728141066502</t>
  </si>
  <si>
    <t>gazaljohnygj@gmail.com</t>
  </si>
  <si>
    <t>PAVITHRA S</t>
  </si>
  <si>
    <t>05.10.2000</t>
  </si>
  <si>
    <t xml:space="preserve">SHANTHI S </t>
  </si>
  <si>
    <t>SHANKAR C</t>
  </si>
  <si>
    <t>CMNPS7119H</t>
  </si>
  <si>
    <t>405330530661</t>
  </si>
  <si>
    <t>#197, 13A ST MARYS STREET, CHELAKERE, MEGINAPALYA, CROWN PLAZA HOTEL, NORTH KALYANAGAR, BANGALORE-560043</t>
  </si>
  <si>
    <t>CHELAKERE</t>
  </si>
  <si>
    <t>#28, GEMINI HOVINA THOTA, 1ST BLOCK, 12TH CROSS, AKSHAYA NAGAR, RAMAMURTHY NAGAR, BANGALORE-560016</t>
  </si>
  <si>
    <t>pavithrashankar4698@gmail.com</t>
  </si>
  <si>
    <t>JU/SET/PADM/18/345</t>
  </si>
  <si>
    <t>13.01.2001</t>
  </si>
  <si>
    <t>RAJITH BHARGAV RAJU</t>
  </si>
  <si>
    <t>BHATTARAJU</t>
  </si>
  <si>
    <t>JU/SET/PADM/18/253</t>
  </si>
  <si>
    <t>NALINI K</t>
  </si>
  <si>
    <t>SRIRAM RAJU V (LATE)</t>
  </si>
  <si>
    <t>OFFICE INCHARGE</t>
  </si>
  <si>
    <t>BCIPN3538F</t>
  </si>
  <si>
    <t>996546818702</t>
  </si>
  <si>
    <t>#147, KARIYAMMANA AGRAHARA, BELLANDUR, BANGALORE</t>
  </si>
  <si>
    <t>KAIYAMMANA AGRAHARA</t>
  </si>
  <si>
    <t>revanthraju66@gmail.com</t>
  </si>
  <si>
    <t>01.03.2000</t>
  </si>
  <si>
    <t>TANMAY JATIN DANI</t>
  </si>
  <si>
    <t>ROURKELA</t>
  </si>
  <si>
    <t>JALNA</t>
  </si>
  <si>
    <t>WELLINGTON</t>
  </si>
  <si>
    <t>JU/SET/PADM/18/384</t>
  </si>
  <si>
    <t>JATIN DANI</t>
  </si>
  <si>
    <t>PUNITA DANI</t>
  </si>
  <si>
    <t>519058487666</t>
  </si>
  <si>
    <t>7/E, VIMAL SMURTHI, WOODCOTE ESTATE, COONOOR, THRNLLGLATS,TAMILNADU-643102</t>
  </si>
  <si>
    <t>THRNLLGLATES</t>
  </si>
  <si>
    <t>trptea@gmail.com</t>
  </si>
  <si>
    <t>tanmaydani2000@gmail.com</t>
  </si>
  <si>
    <t>AEEPD7844M</t>
  </si>
  <si>
    <t>SURI</t>
  </si>
  <si>
    <t>JU/SET/PADM/18/383</t>
  </si>
  <si>
    <t>26.06.2018</t>
  </si>
  <si>
    <t>INDORE</t>
  </si>
  <si>
    <t>PATEL SHIVANI RAKESHBHAI</t>
  </si>
  <si>
    <t>LEUVA PATIDAR</t>
  </si>
  <si>
    <t>09.10.2000</t>
  </si>
  <si>
    <t>JU/SET/PADM/18/386</t>
  </si>
  <si>
    <t>PATEL KAMINI R</t>
  </si>
  <si>
    <t>PATEL RAKESH S</t>
  </si>
  <si>
    <t>768260132662</t>
  </si>
  <si>
    <t>TC 20/4/197), SNRA-92, SASTHA NAGAR, KARAMANA, TRIVANDRU, KERALA-695002</t>
  </si>
  <si>
    <t>SASTHA NAGAR</t>
  </si>
  <si>
    <t>TRIVANDRUM</t>
  </si>
  <si>
    <t>prakmin@yahoo.co.in</t>
  </si>
  <si>
    <t>shivani.patel0910@gmail.com</t>
  </si>
  <si>
    <t>AKXPP9618A</t>
  </si>
  <si>
    <t>GINJUPALLI VENKATA NAGA SAI</t>
  </si>
  <si>
    <t>23.07.2000</t>
  </si>
  <si>
    <t>MADHIRA</t>
  </si>
  <si>
    <t>GINJUPALLI LATHA</t>
  </si>
  <si>
    <t>GINJUPALLI NARASIMHA RAO</t>
  </si>
  <si>
    <t>BMYPG444H</t>
  </si>
  <si>
    <t>992056420453</t>
  </si>
  <si>
    <t>D.NO-2-95, JONALAGADDA, NANDIGAMA MANDAL, KRISHNA DISTRICT, ANDHRA PRADESH-521185</t>
  </si>
  <si>
    <t>JUNALAGADDA</t>
  </si>
  <si>
    <t>gvnsaichowdary44@gmail.com</t>
  </si>
  <si>
    <t>JU/SET/PADM/18/367</t>
  </si>
  <si>
    <t>SHAH VEDANT MITESHKUMAR</t>
  </si>
  <si>
    <t>SHAIK MOHAMMAD MUJAHID ALI</t>
  </si>
  <si>
    <t>VAISHNAV</t>
  </si>
  <si>
    <t>B-210714</t>
  </si>
  <si>
    <t>HETAL MITESHKUMAR SHAH</t>
  </si>
  <si>
    <t>MITESHKUMAR D SHAH</t>
  </si>
  <si>
    <t>231669050477</t>
  </si>
  <si>
    <t>WARASIYA RING ROAD</t>
  </si>
  <si>
    <t>57-PARAS SOCIETY, NEAR RTO OFFICE, WARASIYA RING ROAD, VADODARA(D), GUJARATH-390006</t>
  </si>
  <si>
    <t>0265-2571909</t>
  </si>
  <si>
    <t>hetmit07@gmail.com</t>
  </si>
  <si>
    <t>shahvedant2666@gmail.com</t>
  </si>
  <si>
    <t>AGTPS9466M</t>
  </si>
  <si>
    <t>01.07.2001</t>
  </si>
  <si>
    <t>JU/SET/UNI/18/142</t>
  </si>
  <si>
    <t>SHAIK HASEENA</t>
  </si>
  <si>
    <t>SHAIK MADARVALI</t>
  </si>
  <si>
    <t>EKRPS9876M</t>
  </si>
  <si>
    <t>420428945760</t>
  </si>
  <si>
    <t>MALIK CUT PIECE CENTER, BESIDE TERIVANI HOTEL STREET, GANDI BAZAR, RAYACHOTY, ANDHRA PRADESH-516269</t>
  </si>
  <si>
    <t>GANDI BAZAR</t>
  </si>
  <si>
    <t>s.m.d.mujahid.ali007@gmail.com</t>
  </si>
  <si>
    <t>RIYA GAUR</t>
  </si>
  <si>
    <t>11.12.1999</t>
  </si>
  <si>
    <t>MANPUR</t>
  </si>
  <si>
    <t>JU/SET/PADM/18/389</t>
  </si>
  <si>
    <t>ARTI GAUR</t>
  </si>
  <si>
    <t>PRAMOD KUMAR GAUR</t>
  </si>
  <si>
    <t>AEPPG8654K</t>
  </si>
  <si>
    <t>362767860988</t>
  </si>
  <si>
    <t>II FLOOR, 84, POCKET-14, SECTOR-24, ROHINI, NEW DELHI-110085</t>
  </si>
  <si>
    <t>POCKET-14</t>
  </si>
  <si>
    <t>ROHINI</t>
  </si>
  <si>
    <t>pkgaur7@gmail.com</t>
  </si>
  <si>
    <t>riyagaur12@gmail.com</t>
  </si>
  <si>
    <t>THUSHAR RAJEEV</t>
  </si>
  <si>
    <t>EZHAVA</t>
  </si>
  <si>
    <t>JU/SET/PADM/18/394</t>
  </si>
  <si>
    <t>A V MINI</t>
  </si>
  <si>
    <t>K D RAJEEV</t>
  </si>
  <si>
    <t>SITE MANAGER(O I G)</t>
  </si>
  <si>
    <t>CMKPM1588H</t>
  </si>
  <si>
    <t>507430158506</t>
  </si>
  <si>
    <t>A J M HOUSE, AVIYAKODE NSS COLLAGE(PO), NEMMARA, PALAKKAD, KERALA</t>
  </si>
  <si>
    <t>AVIYAKODE</t>
  </si>
  <si>
    <t>00-96892542763</t>
  </si>
  <si>
    <t>thusharraj17@gmail.com</t>
  </si>
  <si>
    <t>27.06.2018</t>
  </si>
  <si>
    <t xml:space="preserve"> </t>
  </si>
  <si>
    <t>ASWIN BHARATHI K B</t>
  </si>
  <si>
    <t>KONGU VELLALA GOWNDER</t>
  </si>
  <si>
    <t>18.11.2000</t>
  </si>
  <si>
    <t>GOBI</t>
  </si>
  <si>
    <t>JU/SET/PADM/18/396</t>
  </si>
  <si>
    <t>DEIVAMANI K B</t>
  </si>
  <si>
    <t>BALASUBRAMANIAM K S</t>
  </si>
  <si>
    <t>813848179818</t>
  </si>
  <si>
    <t>155, ATTRUKKAL ROAD, KAPPIPATTI(P), GOBI(T), ERODE(D), TAMILNADU-638505</t>
  </si>
  <si>
    <t>KAPPIPATTI</t>
  </si>
  <si>
    <t>aswinbharathijee2018@gmail.com</t>
  </si>
  <si>
    <t>AKQPD8927R</t>
  </si>
  <si>
    <t>DINDIGUL</t>
  </si>
  <si>
    <t>ARAVIND ANNADURAI</t>
  </si>
  <si>
    <t>NIMISHA JAIN</t>
  </si>
  <si>
    <t>R D PRADEEKAR</t>
  </si>
  <si>
    <t>MARVTHVVAR</t>
  </si>
  <si>
    <t>JU/SET/PADM/18/291</t>
  </si>
  <si>
    <t>ARUNA ANNADURAI</t>
  </si>
  <si>
    <t>ANNADURAI NATESAN</t>
  </si>
  <si>
    <t>AIHPA5410D</t>
  </si>
  <si>
    <t>629085580960</t>
  </si>
  <si>
    <t>#20, SAKTHI NAGAR, 1ST STREET, VALALLAR, VELLORE(D), TAMILNADU-632009</t>
  </si>
  <si>
    <t>VALALLAR</t>
  </si>
  <si>
    <t>aravind.annadurai12@gmail.com</t>
  </si>
  <si>
    <t>annadurain@gmail.com</t>
  </si>
  <si>
    <t>12.07.2000</t>
  </si>
  <si>
    <t>SIKAR</t>
  </si>
  <si>
    <t>JU/SET/PADM/18/398</t>
  </si>
  <si>
    <t>SARAL JAIN</t>
  </si>
  <si>
    <t>ADOPJ9879R</t>
  </si>
  <si>
    <t>525381581719</t>
  </si>
  <si>
    <t>FLAT NO.102, VILOK RESIDENCY, PLOT NO.83,84,85, MANGAL VIHAR, GOPALPURA BYPASS, JAIPUR, RAJASTHAN-302018</t>
  </si>
  <si>
    <t>MANGAL VIHAR</t>
  </si>
  <si>
    <t>0141-2762511/2504930</t>
  </si>
  <si>
    <t>ss.jain@yahoo.co.in</t>
  </si>
  <si>
    <t>sweetnikku1234@gmail.com</t>
  </si>
  <si>
    <t>NAIDU, MUTHARIYAR</t>
  </si>
  <si>
    <t>02.02.2000</t>
  </si>
  <si>
    <t>JU/SET/PADM/18/300</t>
  </si>
  <si>
    <t>D PRABHAVATHY</t>
  </si>
  <si>
    <t>R DEENADAYALAN</t>
  </si>
  <si>
    <t>PERSUING PHD</t>
  </si>
  <si>
    <t>MECHANICAL ENGINEER</t>
  </si>
  <si>
    <t>ALOPD7964R</t>
  </si>
  <si>
    <t>319878532183</t>
  </si>
  <si>
    <t>331/1, SF-6 SWARNA MERIDIAN HOMES, N S PALAYA, 29TH MAIN, BTM II STAGE, BANGALORE-560076</t>
  </si>
  <si>
    <t>N S PALAYA</t>
  </si>
  <si>
    <t>prabhavathy4131@gmail.com</t>
  </si>
  <si>
    <t>pradeekdeenadayan@gmail.com</t>
  </si>
  <si>
    <t>VARSHITHA Y R</t>
  </si>
  <si>
    <t>24.05.2001</t>
  </si>
  <si>
    <t>JU/SET/PADM/18/371</t>
  </si>
  <si>
    <t>JAYARAGINI</t>
  </si>
  <si>
    <t>YOGESH</t>
  </si>
  <si>
    <t>AJUPJ3928K</t>
  </si>
  <si>
    <t>983751637473</t>
  </si>
  <si>
    <t>#27/130, BAIRAVESHWARA LAYOUT, VAJRALLI, NELMANGALA, BANGALORE-562123</t>
  </si>
  <si>
    <t>VAJRALLI</t>
  </si>
  <si>
    <t>NELMANGALA</t>
  </si>
  <si>
    <t>ragini.n.n@gmail.com</t>
  </si>
  <si>
    <t>PAWAN SINGH KULEGI</t>
  </si>
  <si>
    <t>MANAS RAWAT</t>
  </si>
  <si>
    <t>ANIL SINGH RANA</t>
  </si>
  <si>
    <t>20.09.2000</t>
  </si>
  <si>
    <t>JU/SET/PADM/18/405</t>
  </si>
  <si>
    <t>MUNNI KULEGI</t>
  </si>
  <si>
    <t>KUSHAL SINGH KULEGI</t>
  </si>
  <si>
    <t>AOSPK2929L</t>
  </si>
  <si>
    <t>287282061240</t>
  </si>
  <si>
    <t>NEELIYAM COLONY, DEVALCHARD, NEAR SIDESHWAR MANDIR, HALDWANI,NANITAL(D), UTTARKHAND-263931</t>
  </si>
  <si>
    <t>HALDWANI</t>
  </si>
  <si>
    <t>NANITAL</t>
  </si>
  <si>
    <t>kulegipawan@gmail.com</t>
  </si>
  <si>
    <t>RANIKHET</t>
  </si>
  <si>
    <t>JU/SET/PADM/18/404</t>
  </si>
  <si>
    <t>BIMLA RAWAT</t>
  </si>
  <si>
    <t>D S RAWAT</t>
  </si>
  <si>
    <t>BEUPR3795C</t>
  </si>
  <si>
    <t>947014250442</t>
  </si>
  <si>
    <t>S/O DHAN SINGH RAWAT, BADRIVIEW, RANIKHET, ALMORA, UTTARKHAND-263645</t>
  </si>
  <si>
    <t>ALMORA</t>
  </si>
  <si>
    <t>05966-221097</t>
  </si>
  <si>
    <t>manasrawat1234@gmail.com</t>
  </si>
  <si>
    <t>05.06.2000</t>
  </si>
  <si>
    <t>GINNI</t>
  </si>
  <si>
    <t>JU/SET/PADM/18/406</t>
  </si>
  <si>
    <t xml:space="preserve">PUSHPA DEVI </t>
  </si>
  <si>
    <t>KUNDAN SINGH</t>
  </si>
  <si>
    <t>ASRPR2086C</t>
  </si>
  <si>
    <t>934967483281</t>
  </si>
  <si>
    <t>S/O KUNDAN SINGH, GINNI, GIRGAON, PITHORAGASH, MUNSIYARI, UTTARKHAND-262553</t>
  </si>
  <si>
    <t>GIRGAON</t>
  </si>
  <si>
    <t>PITHORAGASH</t>
  </si>
  <si>
    <t>SF QTR NO 53/2, HALF MOON LINE, RANIKHET, ALMORA(D), UTTARAKHAND-263645</t>
  </si>
  <si>
    <t>anil92480@gmail.com</t>
  </si>
  <si>
    <t>28.06.2018</t>
  </si>
  <si>
    <t>M PREM KUMAR</t>
  </si>
  <si>
    <t>KUPPAM</t>
  </si>
  <si>
    <t>JU/SET/PADM/18/412</t>
  </si>
  <si>
    <t>M SAVITHRAMMA</t>
  </si>
  <si>
    <t>P V MUNIRATHNAM</t>
  </si>
  <si>
    <t>BJIPM1990F</t>
  </si>
  <si>
    <t>468315114391</t>
  </si>
  <si>
    <t>S/O P V MUNIRATHNAM,18-353, PATRAPALLE(V), VENKATAGIRIKOTA(M), CHITTOR(D), ANDHRA PRADESH-517424</t>
  </si>
  <si>
    <t>munirathnampv@gmail.com</t>
  </si>
  <si>
    <t>pk5805223@gmail.com</t>
  </si>
  <si>
    <t>22.01.2001</t>
  </si>
  <si>
    <t>MOHAMMED YAMIN A</t>
  </si>
  <si>
    <t>KASHIF IFTEKHAR</t>
  </si>
  <si>
    <t>MITHILESH VAIRAGADE</t>
  </si>
  <si>
    <t>JU/SET/PADM/18/417</t>
  </si>
  <si>
    <t>ABDUL NAZEER</t>
  </si>
  <si>
    <t>RABIYA ROWTHER</t>
  </si>
  <si>
    <t>ASXPR1073R</t>
  </si>
  <si>
    <t>289824337993</t>
  </si>
  <si>
    <t>#19/1 B, MANGO GARDEN LAYOUT, KONANKUNTE CROSS, KANANKAPURA MAIN ROAD, BANGALORE-560062</t>
  </si>
  <si>
    <t>KONANAKUNTE CROSS</t>
  </si>
  <si>
    <t>mohammedyamin44@gmail.com</t>
  </si>
  <si>
    <t>MULLICK</t>
  </si>
  <si>
    <t>08.06.2000</t>
  </si>
  <si>
    <t>JU/SET/PADM/18/410</t>
  </si>
  <si>
    <t>SHAHLA ALAM</t>
  </si>
  <si>
    <t>IFTEKHAR ALAM</t>
  </si>
  <si>
    <t>ANCPA1282F</t>
  </si>
  <si>
    <t>923581066475</t>
  </si>
  <si>
    <t>SINGH COMPLEX, BTM BYPASS CHOWK, JHARSUGUDA(D), ODISHA</t>
  </si>
  <si>
    <t>BTM BY PASS CHOWK</t>
  </si>
  <si>
    <t>idam12373@gmail.com</t>
  </si>
  <si>
    <t>kashifalam48@gmail.com</t>
  </si>
  <si>
    <t>22.05.1999</t>
  </si>
  <si>
    <t>N038121/N039385</t>
  </si>
  <si>
    <t>JU/SET/PADM/18/416</t>
  </si>
  <si>
    <t>ANITA</t>
  </si>
  <si>
    <t>KEDAR</t>
  </si>
  <si>
    <t>BBEPV1791D</t>
  </si>
  <si>
    <t>617486054777</t>
  </si>
  <si>
    <t>50/8, M I G COLONY, HIWARI NAGAR, 4 MAHARASHTRA, NEAR MAHESHWARI BHAVAN, NAGPUR(D),MAHARASHTRA-440008</t>
  </si>
  <si>
    <t>HIWARI NAGAR</t>
  </si>
  <si>
    <t>mithieshvairagade@gmail.com</t>
  </si>
  <si>
    <t>kedarvairagade@gmil.com</t>
  </si>
  <si>
    <t>K R SAGAR GURIKAR</t>
  </si>
  <si>
    <t>10.10.2000</t>
  </si>
  <si>
    <t>29.06.2018</t>
  </si>
  <si>
    <t>B V KALPANA</t>
  </si>
  <si>
    <t>K V RAVI KUMAR</t>
  </si>
  <si>
    <t>BDKPR6773B</t>
  </si>
  <si>
    <t>714006878333</t>
  </si>
  <si>
    <t>#241, MATHRUSRI NILAYA, 8TH MAIN, BALAJI LAYOUT, KANANKAPURA MAIN ROAD, THALAGHATTAPURA, BANGALORE-560062</t>
  </si>
  <si>
    <t>THALAGHATTAPURA</t>
  </si>
  <si>
    <t>ravikumarkv1966@gmail.com</t>
  </si>
  <si>
    <t>sagarkr987@gmail.com</t>
  </si>
  <si>
    <t>PAO,10th Marks Card,12th Marks Card,Transfer Certificate,Photos,Pan &amp; Aadhar Card Copy</t>
  </si>
  <si>
    <t>ZAKEER LOHAR</t>
  </si>
  <si>
    <t>RANIBENNUR</t>
  </si>
  <si>
    <t>JU/SET/PADM/18/422</t>
  </si>
  <si>
    <t>SHAHINA BANU</t>
  </si>
  <si>
    <t>IRFAN AHMAD</t>
  </si>
  <si>
    <t>367834317129</t>
  </si>
  <si>
    <t>VIDYA NAGAR, 10TH CROSS, NEAR VENKATESHWARA PARK, RANEBENNUR, HAVERI(D)-581115</t>
  </si>
  <si>
    <t>RANEBENNUR</t>
  </si>
  <si>
    <t>HAVERI</t>
  </si>
  <si>
    <t>zakeerlohar@gmail.com</t>
  </si>
  <si>
    <t>AAKANKSHA D</t>
  </si>
  <si>
    <t>MOHAMMED P K</t>
  </si>
  <si>
    <t>GHOSH</t>
  </si>
  <si>
    <t xml:space="preserve">SILIGURI </t>
  </si>
  <si>
    <t>SILIGURI</t>
  </si>
  <si>
    <t>SETTIBALIJA</t>
  </si>
  <si>
    <t>30.03.2001</t>
  </si>
  <si>
    <t>JU/SET/JET/18/144</t>
  </si>
  <si>
    <t>DONGALA SUGUNA DEVI</t>
  </si>
  <si>
    <t>DONGALA ANANDA LAKSHMI PRASAD</t>
  </si>
  <si>
    <t>AFKPD2524D</t>
  </si>
  <si>
    <t>495004992401</t>
  </si>
  <si>
    <t>FLAT NO.1116, PRESTIGE KENSINGTON GARDEN, HMT MAIN ROAD, JALAHALLI VILLAGE, BANGALORE-560013</t>
  </si>
  <si>
    <t>JALAHALLI</t>
  </si>
  <si>
    <t>080-23089797</t>
  </si>
  <si>
    <t>dalprasad1974@gmail.com</t>
  </si>
  <si>
    <t>dsdevi1978@gmail.com</t>
  </si>
  <si>
    <t>MAPILA</t>
  </si>
  <si>
    <t>JU/SET/PADM/18/210</t>
  </si>
  <si>
    <t xml:space="preserve">NUSARATH P K </t>
  </si>
  <si>
    <t>IRBRAHIM P P</t>
  </si>
  <si>
    <t>AHGPI7823L</t>
  </si>
  <si>
    <t>532318549722</t>
  </si>
  <si>
    <t>UTCHUMMAL, (PO) KOTTAYAM MALABAR, KUTHUPARAMBA, KANNUR, KERALA-670643</t>
  </si>
  <si>
    <t>KUTHUPARAMBA</t>
  </si>
  <si>
    <t>#30, KADAMBA ROAD, JAIADARSHINI LAYOUT, NEAR REVA INDEPENDENT PU, RMV II STAGE, BANGALORE,KARNATKA-560094</t>
  </si>
  <si>
    <t>04902-360565</t>
  </si>
  <si>
    <t>jerin.ibrahim@outlook.com</t>
  </si>
  <si>
    <t>mohammedpk63@gmail.com</t>
  </si>
  <si>
    <t>VISHNU DINESH</t>
  </si>
  <si>
    <t>30.12.2000</t>
  </si>
  <si>
    <t>21.08.1999</t>
  </si>
  <si>
    <t>JU/SET/PADM/18/425</t>
  </si>
  <si>
    <t>PRASEENA E</t>
  </si>
  <si>
    <t>DINESH KUMAR V V</t>
  </si>
  <si>
    <t>GUIF EMPLOYEE</t>
  </si>
  <si>
    <t>EDRPP6798C</t>
  </si>
  <si>
    <t>MOTLAMMAL</t>
  </si>
  <si>
    <t>KRISHNA KRIPA, K KANNAPURAM, P O MOTLAMMAL, KANNUR, KERALA</t>
  </si>
  <si>
    <t>praseenad@gmail.com</t>
  </si>
  <si>
    <t>vishnavichavv09@gmail.com</t>
  </si>
  <si>
    <t>212303352963</t>
  </si>
  <si>
    <t>PABITRA PRADIP MAITI</t>
  </si>
  <si>
    <t>14.01.2001</t>
  </si>
  <si>
    <t>JU/SET/PADM/18/428</t>
  </si>
  <si>
    <t>30.06.2018</t>
  </si>
  <si>
    <t>MANASI PRADIP MAITI</t>
  </si>
  <si>
    <t>PRADIP KUMAR MAITI</t>
  </si>
  <si>
    <t>BOGPM9042B</t>
  </si>
  <si>
    <t>935637059057</t>
  </si>
  <si>
    <t>VYAHRUTI VANDANA, PLOT NO-49/60/61, FLAT NO-602, SECTOR-20, ROADPALI KALAMBOLI, RAIGHAD(D), NAVI MUMBAI-410218</t>
  </si>
  <si>
    <t>ROADPALI KALAMBOLI</t>
  </si>
  <si>
    <t>RAIGHAD</t>
  </si>
  <si>
    <t>NAI MUMBAI</t>
  </si>
  <si>
    <t>maitipradipkumar@gmail.com</t>
  </si>
  <si>
    <t>pabitramaity2001@gmail.com</t>
  </si>
  <si>
    <t>20.10.2000</t>
  </si>
  <si>
    <t>K P SREENIDHI</t>
  </si>
  <si>
    <t>15.01.2001</t>
  </si>
  <si>
    <t>JU/SET/UNI/18/145</t>
  </si>
  <si>
    <t>K P JYOTHI</t>
  </si>
  <si>
    <t>K P PARTHASARATHI REDDY</t>
  </si>
  <si>
    <t>889295786220</t>
  </si>
  <si>
    <t>D/O PARTHASARATHI REDDY, #17-151-B, KALLUBHAVI STREET, ADONI, KURNOOL(D), ANDHRA PRADESH-518301</t>
  </si>
  <si>
    <t>ADONI</t>
  </si>
  <si>
    <t>9886445551/9591155565</t>
  </si>
  <si>
    <t>suismaakb@gmail.com</t>
  </si>
  <si>
    <t>sreenidhi.pureddy@gmail.com</t>
  </si>
  <si>
    <t>AUQPK0604A</t>
  </si>
  <si>
    <t>C/O CHAKRADHAR REDDY, GREENALY SIGNATURE APPARTMENTS, A BLOCK, 105, HANUMAN NAGAR, HULIMAVU, BANGALORE-560076</t>
  </si>
  <si>
    <t>10.06.2001</t>
  </si>
  <si>
    <t>JOSHUA A</t>
  </si>
  <si>
    <t>PARKAVAKULAM NATHAMAR</t>
  </si>
  <si>
    <t>28.12.2000</t>
  </si>
  <si>
    <t>PUDUKKOTAI</t>
  </si>
  <si>
    <t>JU/SET/PADM/18/432</t>
  </si>
  <si>
    <t>SOFIA KALAI SELVI M</t>
  </si>
  <si>
    <t>AROCKIA SAMY T S</t>
  </si>
  <si>
    <t>ADWPA5355R</t>
  </si>
  <si>
    <t>738271980383</t>
  </si>
  <si>
    <t>1A/19, 1ST CROSS, KRISHNA NAGAR, HOSUR, KRISHNAGIRI DISTRICT, TAMILNADU-635109</t>
  </si>
  <si>
    <t>sofiaarockia@gmail.com</t>
  </si>
  <si>
    <t>arojoshua8@gmail.com</t>
  </si>
  <si>
    <t>POTTI DHARMA</t>
  </si>
  <si>
    <t>27.12.2000</t>
  </si>
  <si>
    <t xml:space="preserve">KURMAGUDA </t>
  </si>
  <si>
    <t>JU/SET/PADM/18/435</t>
  </si>
  <si>
    <t>P AMARAVANI</t>
  </si>
  <si>
    <t>POTTI SRI KALYAN CHAKRAVARTHY</t>
  </si>
  <si>
    <t>PURCHASING MANAGER</t>
  </si>
  <si>
    <t>ANLPP2393R</t>
  </si>
  <si>
    <t>260353658070</t>
  </si>
  <si>
    <t>FLAT NO 115, VENKATADRI BLOCK, SVRS BRINDHAVAN, SAROORNAGR, HYDERABAD, TELANGANA-500025</t>
  </si>
  <si>
    <t>SAROORNAGAR</t>
  </si>
  <si>
    <t>kalyanpotti.rsb@gmail.com</t>
  </si>
  <si>
    <t>pdharma2000@gmail.com</t>
  </si>
  <si>
    <t>PAO,10th Marks Card,12th Marks Card,Photos ,TC, Pan &amp; Aadhar Card Copy</t>
  </si>
  <si>
    <t>02.07.2018</t>
  </si>
  <si>
    <t>MOYUKH SAHA</t>
  </si>
  <si>
    <t>MANASH PROTIM DUTTA PHUKAN</t>
  </si>
  <si>
    <t>GOPAL SHARMA</t>
  </si>
  <si>
    <t>BAISHYA</t>
  </si>
  <si>
    <t>05.08.1998</t>
  </si>
  <si>
    <t>SILCHAR, ASSAM</t>
  </si>
  <si>
    <t>00-97</t>
  </si>
  <si>
    <t>JU/SET/PADM/18/442</t>
  </si>
  <si>
    <t>MOUSHUMI SAHA</t>
  </si>
  <si>
    <t>MANIK LAL SHA</t>
  </si>
  <si>
    <t>841, 10TH CROSS ROAD, LAKSHMI LAYOUT, BTM II STAGE, BANGALORE-560075</t>
  </si>
  <si>
    <t>HOUSE NO.10, DURGA SHANHAR LANE, AMPTCAPATTY, SILCHAR, ASSAM-788004</t>
  </si>
  <si>
    <t>DURGA SHANHAR LANE</t>
  </si>
  <si>
    <t>SILCHAR</t>
  </si>
  <si>
    <t>sahamousumj.ms@gmail.com</t>
  </si>
  <si>
    <t>sahamayuhh.ms@gmail.com</t>
  </si>
  <si>
    <t>Migration Certificate,Aadhar Card Copy</t>
  </si>
  <si>
    <t>ANNPS7702D</t>
  </si>
  <si>
    <t>KUCH</t>
  </si>
  <si>
    <t>DIGBOI, ASSAM</t>
  </si>
  <si>
    <t>ASSMESE</t>
  </si>
  <si>
    <t>JU/SET/PADM/18/441</t>
  </si>
  <si>
    <t>BEBEE DUTTA PHUKAN</t>
  </si>
  <si>
    <t>AJIT KUMAR DUTTA</t>
  </si>
  <si>
    <t>AJNPD8202H</t>
  </si>
  <si>
    <t>383105846088</t>
  </si>
  <si>
    <t>BAPAPUNG AOC SETTLEMENT AREA, DIGBOI, TINSUKIA(D), ASSAM-786171</t>
  </si>
  <si>
    <t>DIGBOI</t>
  </si>
  <si>
    <t>TINSUKIA</t>
  </si>
  <si>
    <t>03751-264431</t>
  </si>
  <si>
    <t>ajitdigboi1234@gmail.com</t>
  </si>
  <si>
    <t>manashpdphukan@gmail.com</t>
  </si>
  <si>
    <t>PAO,10th Marks Card,12th Marks Card, TC,Pan &amp; Aadhar Card Copy</t>
  </si>
  <si>
    <t>Migration Certificate,Photos</t>
  </si>
  <si>
    <t>30.10.1998</t>
  </si>
  <si>
    <t>JU/SET/PADM/18/443</t>
  </si>
  <si>
    <t>RAJANI SHARMA</t>
  </si>
  <si>
    <t>BHAWANI SHARMA (LATE)</t>
  </si>
  <si>
    <t>267260472572</t>
  </si>
  <si>
    <t>M G ROAD, KHALPURA NARAYAN NIWAS, SILIGURI, WEST BENGAL-734005</t>
  </si>
  <si>
    <t>M G ROAD</t>
  </si>
  <si>
    <t>gopal891@gmail.com</t>
  </si>
  <si>
    <t>03.07.2018</t>
  </si>
  <si>
    <t>ABHISHEK MISHRA</t>
  </si>
  <si>
    <t>ADITYA VELUGOTLA</t>
  </si>
  <si>
    <t>DAMMU SAI VAMSI KRISHNA</t>
  </si>
  <si>
    <t>GORAKHPUR</t>
  </si>
  <si>
    <t>29.05.2017</t>
  </si>
  <si>
    <t>JU/SET/PADM/18/444</t>
  </si>
  <si>
    <t>KOKILA MISHRA</t>
  </si>
  <si>
    <t>AKHILESH MISHRA</t>
  </si>
  <si>
    <t>ALSPM1056F</t>
  </si>
  <si>
    <t>956124369095</t>
  </si>
  <si>
    <t>H.NO.1132, SECTOR-31, NEAR AJANTA PUBLIC SCHOOL, GURGAON(HR), HARYANA-122001</t>
  </si>
  <si>
    <t>GURGAON</t>
  </si>
  <si>
    <t>ap.engg@yahoo.com</t>
  </si>
  <si>
    <t>abhi22319997@gmail.com</t>
  </si>
  <si>
    <t>ADI ANDHRA</t>
  </si>
  <si>
    <t>26.03.2000</t>
  </si>
  <si>
    <t>HARIPALEM</t>
  </si>
  <si>
    <t>JU/SET/PADM/18/409</t>
  </si>
  <si>
    <t>ANURADHA VELUGOTLA</t>
  </si>
  <si>
    <t>RAVEENDRANATH VELUGOTLA</t>
  </si>
  <si>
    <t>APDPV9520L</t>
  </si>
  <si>
    <t>709754239800</t>
  </si>
  <si>
    <t>#301, 10TH MAIN, NRI LAYOUT, RAMMURTHY NAGAR, BANGALORE-560016</t>
  </si>
  <si>
    <t>RAMMURTHY NAGAR</t>
  </si>
  <si>
    <t>rvelugotla@gmail.com</t>
  </si>
  <si>
    <t>adityavelugotla0326@gmail.com</t>
  </si>
  <si>
    <t>JU/SET/PADM/18/111</t>
  </si>
  <si>
    <t>D SAILAJA</t>
  </si>
  <si>
    <t>D MARIYAN RAJU</t>
  </si>
  <si>
    <t>AWPPR5246Q</t>
  </si>
  <si>
    <t>537356511883</t>
  </si>
  <si>
    <t>FLAT NO-203, VASUNDHAR NEST APPARTMENT, NEAR YELUKUR BANGLAW, BELLARY ROAD, KURNOOL, AP-518003</t>
  </si>
  <si>
    <t>NEAR YELUKUR BANGLAW</t>
  </si>
  <si>
    <t>dammuraju0321@gmail.com</t>
  </si>
  <si>
    <t>dammusai256@gmail.com</t>
  </si>
  <si>
    <t>04.07.2018</t>
  </si>
  <si>
    <t>KAMPILI YASHWANTH</t>
  </si>
  <si>
    <t>NISHANT JAIN</t>
  </si>
  <si>
    <t>24.12.2000</t>
  </si>
  <si>
    <t>JU/SET/JET/18/133</t>
  </si>
  <si>
    <t>KAMPILI KALAVATHI</t>
  </si>
  <si>
    <t>81-288-1B, RAMA KRISHNA NAGAR, KURNOOL, ANDHRA PRADESH-518002</t>
  </si>
  <si>
    <t>RAMA KRISHNA NAGAR</t>
  </si>
  <si>
    <t>rkkampili54@gmail.com</t>
  </si>
  <si>
    <t>kampilliyashwanth525@gmail.com</t>
  </si>
  <si>
    <t>KAMPILI RAMAKRISNAIAH</t>
  </si>
  <si>
    <t>AKOPR0647N</t>
  </si>
  <si>
    <t>725413095728</t>
  </si>
  <si>
    <t>JU/SET/JET/18/150</t>
  </si>
  <si>
    <t>SAMTA JAIN</t>
  </si>
  <si>
    <t>SUMAN JAIN</t>
  </si>
  <si>
    <t>AMBPS2042K</t>
  </si>
  <si>
    <t>307963142657</t>
  </si>
  <si>
    <t>SUMAN JAIN, B-501, GEETANJALI APTS, #15, 2ND ST, MEDVAKKAM TANK ROAD, KELLYS, CHENNAI, TAMILNADU-600010</t>
  </si>
  <si>
    <t>KELLYS</t>
  </si>
  <si>
    <t>C/O SHRENIK H JAIN, FLAT NO-304, KRISHNA PRASAD APTS, EAR DATTATTREYA TEMPLE, PIPELINE MAIN ROAD, MALLESHWARAM ,BANGALORE-560003</t>
  </si>
  <si>
    <t>044-43548220</t>
  </si>
  <si>
    <t>sumanjain567@gmail.com</t>
  </si>
  <si>
    <t>nishant14jain@gmail.com</t>
  </si>
  <si>
    <t>Pan copy</t>
  </si>
  <si>
    <t>MOHAMED AASIM K</t>
  </si>
  <si>
    <t>05.07.2018</t>
  </si>
  <si>
    <t>LABBAI</t>
  </si>
  <si>
    <t>16.05.2000</t>
  </si>
  <si>
    <t>JU/SET/PADM/18/391</t>
  </si>
  <si>
    <t>MEH JABEEN M</t>
  </si>
  <si>
    <t>MOHAMMED ALI K</t>
  </si>
  <si>
    <t>AAFPA5188A</t>
  </si>
  <si>
    <t>759630969985</t>
  </si>
  <si>
    <t>65TH, SANTHAPET, MOSQUE STREET, AMBUR, VELLORE(D), TAMILNADU-635802</t>
  </si>
  <si>
    <t>AMBUR</t>
  </si>
  <si>
    <t>aazi.razan@gmail.com</t>
  </si>
  <si>
    <t>AKSHAY M</t>
  </si>
  <si>
    <t>CHARMARAJANAGAR</t>
  </si>
  <si>
    <t>JU/SET/PADM/18/455</t>
  </si>
  <si>
    <t>YASHODA</t>
  </si>
  <si>
    <t>MAHADEVASWAMY</t>
  </si>
  <si>
    <t>CNKPM7985F</t>
  </si>
  <si>
    <t>469220629981</t>
  </si>
  <si>
    <t>CHAMARAJANAGAR</t>
  </si>
  <si>
    <t>akshaymm2000@gmail.com</t>
  </si>
  <si>
    <t>KUDLUR VILLAGE AND POST, CHAMARAJANAGAR TALUK AND DISTRICT, CHAMARAJANAGAR-571342</t>
  </si>
  <si>
    <t>NAVEEN SHRIRAM P U</t>
  </si>
  <si>
    <t>G PRABHA</t>
  </si>
  <si>
    <t>UNNI KRISHNAN N</t>
  </si>
  <si>
    <t>RTD-SUB INSPECTOR</t>
  </si>
  <si>
    <t>AAKPU1817D</t>
  </si>
  <si>
    <t>865694609808</t>
  </si>
  <si>
    <t>NO.10, KANDASAAMY NAGAR, NAGARPALAYAM ROAD, GOBI, ERODE(D),TAMIL NADU-638452</t>
  </si>
  <si>
    <t>naveenunni1269@gmail.com</t>
  </si>
  <si>
    <t>JU/SET/PADM/18/457</t>
  </si>
  <si>
    <t>ADITYA BAWANKULE</t>
  </si>
  <si>
    <t>21.02.2000</t>
  </si>
  <si>
    <t>JU/SET/PADM/18/453</t>
  </si>
  <si>
    <t>BHAGYASHRI R BAWANKULE</t>
  </si>
  <si>
    <t>RAJENDRA BAWANKULE</t>
  </si>
  <si>
    <t>SERVICE (TEACHER)</t>
  </si>
  <si>
    <t>AFTPB4031J</t>
  </si>
  <si>
    <t>522073740457</t>
  </si>
  <si>
    <t>CHITANVIS NAGAR</t>
  </si>
  <si>
    <t>rbawankule1971@gmail.com</t>
  </si>
  <si>
    <t>adityabawankule12345@gmail.com</t>
  </si>
  <si>
    <t>PAO,10th Marks Card, TC,Migration Certificate,Photos,Aadhar Card Copy</t>
  </si>
  <si>
    <t>166, CHITANVIS NAGAR, UMRED ROAD, BEHIND CHURCH, SHIV CENA CHOWK, NAGPUR, MAHARASHTRA-440023</t>
  </si>
  <si>
    <t>PAO,10th Marks Card,12th Marks Card, Migration CertificatePhotos ,TC, Pan &amp; Aadhar Card Copy</t>
  </si>
  <si>
    <t>06.07.2018</t>
  </si>
  <si>
    <t>13.02.1999</t>
  </si>
  <si>
    <t>DHAMDAHA</t>
  </si>
  <si>
    <t>JU/SET/PADM/18/440</t>
  </si>
  <si>
    <t>RESHMI DEVI</t>
  </si>
  <si>
    <t>HANSRAJ BAID</t>
  </si>
  <si>
    <t>AFJPB2949H</t>
  </si>
  <si>
    <t>675067130740</t>
  </si>
  <si>
    <t>MAIN MARKET, KHUSHKIBAGH, PURNEA(D), BIHAR-854305</t>
  </si>
  <si>
    <t>KHUSHKIBAGH</t>
  </si>
  <si>
    <t>PURNEA</t>
  </si>
  <si>
    <t>muditjain153@gmail.com</t>
  </si>
  <si>
    <t>07.07.2018</t>
  </si>
  <si>
    <t>24.04.2001</t>
  </si>
  <si>
    <t>PAO,10th Marks Card, TC,Migration Certificate,Photos,Pan Copy and Aadhar Card Copy</t>
  </si>
  <si>
    <t>24.04.2000</t>
  </si>
  <si>
    <t>JALADI VENKATA YATWIN PRAGNAY</t>
  </si>
  <si>
    <t>31.10.2000</t>
  </si>
  <si>
    <t>JU/SET/UNI/18/140</t>
  </si>
  <si>
    <t>JALADI NEETA</t>
  </si>
  <si>
    <t>JALADI CHANDRA SEKHAR</t>
  </si>
  <si>
    <t>ACDPJ8599G</t>
  </si>
  <si>
    <t>670228320188</t>
  </si>
  <si>
    <t>F3, SWATHI ENCLAVE, BESIDE VIJAYA LAKHSMI HOSPITAL, POGATHOTA, NELLORE, ANDHRA PRADESH-524001</t>
  </si>
  <si>
    <t>0861-2337877</t>
  </si>
  <si>
    <t>jaladi.chandrasekhar@gmail.com</t>
  </si>
  <si>
    <t>yatwinpragnay@gmail.com</t>
  </si>
  <si>
    <t>POGATHOTA</t>
  </si>
  <si>
    <t>DEEKSHA YADAV</t>
  </si>
  <si>
    <t>DOSHI NAMAN HITESHBHAI</t>
  </si>
  <si>
    <t>DEEPTHESH JAIN B A</t>
  </si>
  <si>
    <t>BODIREDDY POOJITHA</t>
  </si>
  <si>
    <t>12th Marks Card, Migration Certificate(Given 10th Marks Card for Passport purpose on 09.07.2018)</t>
  </si>
  <si>
    <t>YADAV</t>
  </si>
  <si>
    <t>09.07.2018</t>
  </si>
  <si>
    <t>JU/SET/PADM/18/463</t>
  </si>
  <si>
    <t>GEETA YADAV</t>
  </si>
  <si>
    <t>VIRENDRA KUMAR YADAV</t>
  </si>
  <si>
    <t>EX SERVICE MEN</t>
  </si>
  <si>
    <t>AAHPY6873G</t>
  </si>
  <si>
    <t>951061899720</t>
  </si>
  <si>
    <t>H.NO-110-C, JEETPUR DARGAHIYA, KUNRAGHAT, GORAKHPUR, UTTARPRADESH-273008</t>
  </si>
  <si>
    <t>KUNRAGHAT</t>
  </si>
  <si>
    <t>UTTAR PRADESH</t>
  </si>
  <si>
    <t>vkyadav_19@rediffmail.com</t>
  </si>
  <si>
    <t>yadavdeeksha31@rediffmail.com</t>
  </si>
  <si>
    <t>BANIA</t>
  </si>
  <si>
    <t>JU/SET/PADM/18/260</t>
  </si>
  <si>
    <t>BINA</t>
  </si>
  <si>
    <t>HITESHBHAI</t>
  </si>
  <si>
    <t>AFGPD4526F</t>
  </si>
  <si>
    <t>SAI DARSAN APARTMENT, 6TH FLOOR, BLOCK-603, S B I ROAD, VIVEKANAND MARG, PUTTAPARTHI, ANANTPUR(D),ANDHRA PRADESH-515134</t>
  </si>
  <si>
    <t>PUTTAPARTHI</t>
  </si>
  <si>
    <t>doshinaman69@gmail.com</t>
  </si>
  <si>
    <t>789403859663</t>
  </si>
  <si>
    <t>mkvshotel@gmail.com</t>
  </si>
  <si>
    <t>NEPALI</t>
  </si>
  <si>
    <t>ELECTRICIAN</t>
  </si>
  <si>
    <t>25.09.1999</t>
  </si>
  <si>
    <t>JU/SET/PADM/18/465</t>
  </si>
  <si>
    <t>VEENA DEVI V</t>
  </si>
  <si>
    <t>ANANTHA RAJ B C</t>
  </si>
  <si>
    <t>AKGPC4772R</t>
  </si>
  <si>
    <t>295296555008</t>
  </si>
  <si>
    <t>#89/A, MES COLONEY, KONENA AGRAHARA, FLOUR MILL ROAD, 2ND CROSS, HAL POST, BANGALORE-560017</t>
  </si>
  <si>
    <t>KONENA AGRAHARA</t>
  </si>
  <si>
    <t>080-41169734</t>
  </si>
  <si>
    <t>deeptheshjain@gmail.com</t>
  </si>
  <si>
    <t>25.12.2000</t>
  </si>
  <si>
    <t>JU/SET/PADM/18/466</t>
  </si>
  <si>
    <t>B GIRIJA</t>
  </si>
  <si>
    <t>B PEDDASWAMY REDDY</t>
  </si>
  <si>
    <t>BCOPB8327E</t>
  </si>
  <si>
    <t>569220405637</t>
  </si>
  <si>
    <t>JEEVAKONA</t>
  </si>
  <si>
    <t>poojitha25122000@gmail.com</t>
  </si>
  <si>
    <t>D.NO.13-440, JEEVKONA, RAJIVGANDHI COLONY, TIRUPATHI, ANDHARA PRADESH-517501</t>
  </si>
  <si>
    <t>10.07.2018</t>
  </si>
  <si>
    <t>HARSHITH GUPTHA S</t>
  </si>
  <si>
    <t>04.10.1999</t>
  </si>
  <si>
    <t>JU/SET/PADM/18/403</t>
  </si>
  <si>
    <t>NALINI M R</t>
  </si>
  <si>
    <t>PRASAD GUPTHA S S R</t>
  </si>
  <si>
    <t>PROFESSIONAL</t>
  </si>
  <si>
    <t>BPZPS7714C</t>
  </si>
  <si>
    <t>669968936065</t>
  </si>
  <si>
    <t>MAHALAXMIPURAM</t>
  </si>
  <si>
    <t>BANGAGLORE</t>
  </si>
  <si>
    <t>ssrprasadguptha@gmail.com</t>
  </si>
  <si>
    <t>shguptha99@gmail.com</t>
  </si>
  <si>
    <t>#20, IST MAIN RAOD, 8TH CROSS, BHOVIPALYA, MAHALAXMI PURAM, BANGALORE-560086</t>
  </si>
  <si>
    <t>PAO,10th Marks Card,12th Marks Card,TC, Photos ,Pan and Aadhar Card Copy</t>
  </si>
  <si>
    <t>GONGATI SURYA CHAITANYA REDDY</t>
  </si>
  <si>
    <t>JU/SET/PADM/18/470</t>
  </si>
  <si>
    <t>G NAGA LAKSHMI</t>
  </si>
  <si>
    <t>G SUDHAKAR REDDY</t>
  </si>
  <si>
    <t>CENTRAL POLICE</t>
  </si>
  <si>
    <t>APRPR7192A</t>
  </si>
  <si>
    <t>779081517765</t>
  </si>
  <si>
    <t>1-68, MAIN ROAD, VELAGATUR VILLAGE, KOILAKUNTLA MANDALAM, KURNOOL DISTRICT, ANDHRA PRADESH-518134</t>
  </si>
  <si>
    <t>VELAGATUR</t>
  </si>
  <si>
    <t>QTR NO.402, 34TH BLOCK, GC CRPF, RANGAREDDY, HAKIMPET, SHAMIRPET, HYDERABAD, TELANGANA-500078</t>
  </si>
  <si>
    <t>suryasreddy143@gmail.com</t>
  </si>
  <si>
    <t>BORNAK PAUL</t>
  </si>
  <si>
    <t>KAYASTHAS</t>
  </si>
  <si>
    <t xml:space="preserve">LUMDING </t>
  </si>
  <si>
    <t>JU/SET/PADM/18/408</t>
  </si>
  <si>
    <t>CHAMPA PAUL</t>
  </si>
  <si>
    <t>BAPAN KANTI PAUL</t>
  </si>
  <si>
    <t>AJWPP5836E</t>
  </si>
  <si>
    <t>844746151278</t>
  </si>
  <si>
    <t>S/O BAPAN KANTI PAUL, NO.56, B M B SCHOOL ROAD, LUMDING, NEAR PLAY BOYS SPORTS CLUB, WEST LUMDING, HOJAI, ASSAM</t>
  </si>
  <si>
    <t>LUMDING</t>
  </si>
  <si>
    <t>HOJAI</t>
  </si>
  <si>
    <t>THAVAREKERE BUS STOP, HOUSE NO.#14, 2ND CROSS ROAD, NEAR KAMDHENA APARTMENT, BANGALORE, KARNATAKA-560029</t>
  </si>
  <si>
    <t>paul.bapankanti@gmail.com</t>
  </si>
  <si>
    <t>bornakpaul@gmail.com</t>
  </si>
  <si>
    <t>BALAJI NAGAR</t>
  </si>
  <si>
    <t>PAO,10th Marks Card,12th Marks Card,TC,Migration Certificate,Photos,Pan and  Aadhar Card Copy</t>
  </si>
  <si>
    <t>GOVT TEACHER</t>
  </si>
  <si>
    <t>12.07.2018</t>
  </si>
  <si>
    <t>PAO,10th Marks Card,12th Marks Card,TC,Migration Certificate,Photos ,Pan &amp; Aadhar Card Copy</t>
  </si>
  <si>
    <t>KUNDA SUCHITRA</t>
  </si>
  <si>
    <t>THOGATA</t>
  </si>
  <si>
    <t>13.07.2018</t>
  </si>
  <si>
    <t>KUNDA YASODAMMA</t>
  </si>
  <si>
    <t>KUNDA MEENAKSHAIAH</t>
  </si>
  <si>
    <t>AHPPK4172M</t>
  </si>
  <si>
    <t>530658947326</t>
  </si>
  <si>
    <t>11/543, SALE STREET, DHARMAVARAM, ANANTAPUR DIST, ANDHRA PRADESH-515671</t>
  </si>
  <si>
    <t>kundasuchitra098@gmail.com</t>
  </si>
  <si>
    <t>A K LOKESH SHAKTHI</t>
  </si>
  <si>
    <t>10.09.2001</t>
  </si>
  <si>
    <t>JU/SETPADM/18/376</t>
  </si>
  <si>
    <t>JU/SET/UNI/18/082</t>
  </si>
  <si>
    <t>R RAMA</t>
  </si>
  <si>
    <t>A R KUMAR</t>
  </si>
  <si>
    <t>JOURNALIST</t>
  </si>
  <si>
    <t>AIHPA7059C</t>
  </si>
  <si>
    <t>866210202906</t>
  </si>
  <si>
    <t>25-642, MNS COLONY, NEW PET, PALAMANER, CHITTOOR DISTRICT, ANDHRA PRADESH-517408</t>
  </si>
  <si>
    <t>arkumar1966plnr@gmail.com</t>
  </si>
  <si>
    <t>lokeshrckz369@gmail.com</t>
  </si>
  <si>
    <t>SANJEEV KUMAR THAKUR</t>
  </si>
  <si>
    <t>05.01.2001</t>
  </si>
  <si>
    <t>JU/SETPADM/18/481</t>
  </si>
  <si>
    <t>MEENA DEVI THAKUR</t>
  </si>
  <si>
    <t>RAMESH KUMAR THAKUR</t>
  </si>
  <si>
    <t>CARPENTRY</t>
  </si>
  <si>
    <t>AQNPR9976P</t>
  </si>
  <si>
    <t>606194120932</t>
  </si>
  <si>
    <t>#17/1, 3RD CROSS, MANJUNATH NAGAR, MAGADI ROAD, BANGALORE-560023</t>
  </si>
  <si>
    <t>MANJUNATH NAGAR</t>
  </si>
  <si>
    <t>sanjeevrsharma010@gmail.com</t>
  </si>
  <si>
    <t>PAO,10th Marks Card,12th Marks Card, Migration Certificate,Photos ,TC, Pan &amp; Aadhar Card Copy</t>
  </si>
  <si>
    <t>14.07.2018</t>
  </si>
  <si>
    <t>AKASH BISWAS</t>
  </si>
  <si>
    <t>NAPIT</t>
  </si>
  <si>
    <t>18.06.2000</t>
  </si>
  <si>
    <t>BADURIA</t>
  </si>
  <si>
    <t>BANGALI</t>
  </si>
  <si>
    <t>MANOJ BISWAS</t>
  </si>
  <si>
    <t>MOUSUMI BISWAS</t>
  </si>
  <si>
    <t>AICPB8695C</t>
  </si>
  <si>
    <t>679615414098</t>
  </si>
  <si>
    <t>BADURIA PACHIMPARA IN WEST BENGAL, DIST NORTH 24 PARG-743401</t>
  </si>
  <si>
    <t>NORTH 24 PARG</t>
  </si>
  <si>
    <t>6TH MAIN CROSS, LAKSHMI NARAYAN LAYOUT, MUNNEKOLALA, BANGALORE NORTH, MARATHALLI, KARNATAKA-560037</t>
  </si>
  <si>
    <t>subratabiswas0510@gmail.com</t>
  </si>
  <si>
    <t>biswasakash743285@gmail.com</t>
  </si>
  <si>
    <t>JU/SET/PADM/18/484</t>
  </si>
  <si>
    <t>PAO,10th Marks Card,12th Marks Card, Transfer Certificate,Photos ,TC,  Pan and Aadhar Card Copy</t>
  </si>
  <si>
    <t>TAMATAM KRISHNA MOHAN REDDY</t>
  </si>
  <si>
    <t>25.07.2001</t>
  </si>
  <si>
    <t>JU/SET/PADM/18/096</t>
  </si>
  <si>
    <t>TAMATAM MANJULA</t>
  </si>
  <si>
    <t>TAMATAM RAMAMOHAN REDDY</t>
  </si>
  <si>
    <t>AXKPR1217P</t>
  </si>
  <si>
    <t>698902790815</t>
  </si>
  <si>
    <t>1/1189-25-1, N G O COLONY, KADIRI, ANANTAPUR DISTRICT, ANDHRA PRADESH-515591</t>
  </si>
  <si>
    <t>ANANTAPUR DISTRICT</t>
  </si>
  <si>
    <t>tamatamr@gmail.com</t>
  </si>
  <si>
    <t>krishnamohan.tamatam@gmail.com</t>
  </si>
  <si>
    <t>PAO,10th Marks Card, TC,Migration Certificate,Photos,Pan copy</t>
  </si>
  <si>
    <t>12th Marks Card,Aadhar Card Copy</t>
  </si>
  <si>
    <t>MERCHANT MARK DICKINSON</t>
  </si>
  <si>
    <t>VARDHAN JAIN</t>
  </si>
  <si>
    <t>GUJARATI PROTESTANT</t>
  </si>
  <si>
    <t>B233586</t>
  </si>
  <si>
    <t>JU/SET/PADM/18/480</t>
  </si>
  <si>
    <t>16.07.2018</t>
  </si>
  <si>
    <t>MERCHANT MONA DICKINSON</t>
  </si>
  <si>
    <t>STAFF NURSE (GOVT)</t>
  </si>
  <si>
    <t>DICKINSON WILFRED MERCHANT</t>
  </si>
  <si>
    <t>GOVT JOB CLERK</t>
  </si>
  <si>
    <t>ANBPM8731E</t>
  </si>
  <si>
    <t>357514686978</t>
  </si>
  <si>
    <t>C/302, SPARSH ARISTA, B/H G .B SHAH COLLEGE, OPP SAHAJ SOLARIUM, VASNA, AHMEDABAD, GUJARAT-380007</t>
  </si>
  <si>
    <t>VASNA</t>
  </si>
  <si>
    <t>079-26578733</t>
  </si>
  <si>
    <t>dickingson.merchant@yahoo.co.in</t>
  </si>
  <si>
    <t>markmerchant415@gmail.com</t>
  </si>
  <si>
    <t>SINGHAL DIGAMBARA</t>
  </si>
  <si>
    <t>JHANSI</t>
  </si>
  <si>
    <t>JU/SET/PADM/18/489</t>
  </si>
  <si>
    <t>RITA JAIN</t>
  </si>
  <si>
    <t>ANANT JAIN</t>
  </si>
  <si>
    <t>371349893222</t>
  </si>
  <si>
    <t>1126, NAGARIYA COLONY, JHANSI(D), UTTARPRADESH-284002</t>
  </si>
  <si>
    <t>NAGARIYA COLONY</t>
  </si>
  <si>
    <t>vardhanjain.123@gmail.com</t>
  </si>
  <si>
    <t>AFMPJ6843H</t>
  </si>
  <si>
    <t>RIYA GARG</t>
  </si>
  <si>
    <t>VAISHYA</t>
  </si>
  <si>
    <t>30.08.2000</t>
  </si>
  <si>
    <t>GAZIAHBAD</t>
  </si>
  <si>
    <t>JU/SET/PADM/18/208</t>
  </si>
  <si>
    <t>17.07.2018</t>
  </si>
  <si>
    <t>PRACHI GARG</t>
  </si>
  <si>
    <t>SANDEEP GARG</t>
  </si>
  <si>
    <t>ACHPG6297N</t>
  </si>
  <si>
    <t>978506035799</t>
  </si>
  <si>
    <t>8/4, J M SENGUPTA, B-ZONE, DURGAPUR, BURDAMAN(D), WEST BENGAL-713205</t>
  </si>
  <si>
    <t>BURDAMAN</t>
  </si>
  <si>
    <t>6/27, S P MUKERJEE ROAD, A-ZONE, DURGAPUR, BURDAMAN(D), WEST BENGAL-713204</t>
  </si>
  <si>
    <t>0343-2565884</t>
  </si>
  <si>
    <t>sandpgarg99@gmail.com</t>
  </si>
  <si>
    <t>riyagarg3082000@gmail.com</t>
  </si>
  <si>
    <t>SHIVANI S</t>
  </si>
  <si>
    <t>JU/SET/PADM/18/496</t>
  </si>
  <si>
    <t>D SATHYA NARAYAN</t>
  </si>
  <si>
    <t>5 TO 6 LAKHS</t>
  </si>
  <si>
    <t>BYKPD7005H</t>
  </si>
  <si>
    <t>R.S.N 1039/2, PLOT NO.2, FLAT NO.103, V R CASTLE, NAVIN VASHINAKA KOLHAPUR, MAHARASHTRA-416012</t>
  </si>
  <si>
    <t>NAVIN VASHINAKA</t>
  </si>
  <si>
    <t>ssrs2070@gmail.com</t>
  </si>
  <si>
    <t>SANGEETA</t>
  </si>
  <si>
    <t>454154776531</t>
  </si>
  <si>
    <t>P VISHAL NAIDU</t>
  </si>
  <si>
    <t>30.09.1999</t>
  </si>
  <si>
    <t>JAMSHEDPUR</t>
  </si>
  <si>
    <t>JU/SET/PADM/18/207</t>
  </si>
  <si>
    <t>P HEMALATHA</t>
  </si>
  <si>
    <t>P VENKATESWARA NAIDU</t>
  </si>
  <si>
    <t>PRIVATE SERVICE</t>
  </si>
  <si>
    <t>ASLPV1260E</t>
  </si>
  <si>
    <t>246339499127</t>
  </si>
  <si>
    <t>F-169, UTCL, TOWNSHIP, APCW TADIPATRI, THUMMALAPENTA(VIL), KURNOOL(D), ANDHRA PRADESH-518123</t>
  </si>
  <si>
    <t>THUMMALAPENTA</t>
  </si>
  <si>
    <t>vishalnaidu0313@gmail.com</t>
  </si>
  <si>
    <t>TIRTH SHAH</t>
  </si>
  <si>
    <t>DASHA DISHAVAL VANIYA</t>
  </si>
  <si>
    <t>22.12.2000</t>
  </si>
  <si>
    <t>VAISHALI SHAH</t>
  </si>
  <si>
    <t>GAURANG SHAH</t>
  </si>
  <si>
    <t>6 TO 10 LACKH</t>
  </si>
  <si>
    <t>AVVPS0471R</t>
  </si>
  <si>
    <t>932696723106</t>
  </si>
  <si>
    <t>A-89, SIDDHARTH BUNGLOWS, SAMA-SAVLI ROAD, VADODARA, GUJARAT-390022</t>
  </si>
  <si>
    <t>SAMA-SAVLI ROAD</t>
  </si>
  <si>
    <t>601/3, 15TH MAIN, IST BLOCK, HANUMANTH NAGAR, BANGALORE-560050</t>
  </si>
  <si>
    <t>080-222429135</t>
  </si>
  <si>
    <t>gaurangshah17@yahoo.com</t>
  </si>
  <si>
    <t>tirthshah7@gmail.com</t>
  </si>
  <si>
    <t>18.07.2018</t>
  </si>
  <si>
    <t>PILLADA RAMA SAI SAMEENDRA</t>
  </si>
  <si>
    <t>VISHVABRAHMIN</t>
  </si>
  <si>
    <t>JU/SET/UNI/18/158</t>
  </si>
  <si>
    <t>PILLADA VIJAYA LAKSHMI</t>
  </si>
  <si>
    <t>PILLADA VEERA BRAHMAM</t>
  </si>
  <si>
    <t>PRIVATE SECTOR</t>
  </si>
  <si>
    <t>BAFPB8404F</t>
  </si>
  <si>
    <t>617586705726</t>
  </si>
  <si>
    <t>P.NO225, B-2 BLOCK, V PHASE, JANAPRIYA APARMTENTS, MIYAPUR, HYDERABAD, TELANGANA-500049</t>
  </si>
  <si>
    <t>HIG-341, P.NO 303, G K NAIDU RESIDENCY, K P H B COLONY, KUKATPALLY. HYDERABAD, TELANGANA-500085</t>
  </si>
  <si>
    <t>vijji.mailme@gmail.com</t>
  </si>
  <si>
    <t>daringsam7@gmail.com</t>
  </si>
  <si>
    <t>4628992/463788</t>
  </si>
  <si>
    <t>SANSETTY VENKATA SAI KUMAR</t>
  </si>
  <si>
    <t>17.03.1999</t>
  </si>
  <si>
    <t>JU/SET/PADM/18/503</t>
  </si>
  <si>
    <t>SANSETTY SANDHYA RANI</t>
  </si>
  <si>
    <t>SANSETTY CHANDRA MOHAN</t>
  </si>
  <si>
    <t>IOXPS6208R</t>
  </si>
  <si>
    <t>315608610201</t>
  </si>
  <si>
    <t>H.NO.5-59, ALA STREET, KOTHPETA, DHONE(M), KURNOOL(D), ANDHRA PRADESH-518222</t>
  </si>
  <si>
    <t>KOTHPETA</t>
  </si>
  <si>
    <t>s.pavankumar1990@gmail.com</t>
  </si>
  <si>
    <t>sunsettyvenkatsai140@gmail.com</t>
  </si>
  <si>
    <t>PAO,10th Marks Card,12th Marks Card,Migration Certificate,Photos ,TC, Pan &amp; Aadhar Card Copy</t>
  </si>
  <si>
    <t>19.07.2018</t>
  </si>
  <si>
    <t>Photos</t>
  </si>
  <si>
    <t>PUNJABI</t>
  </si>
  <si>
    <t>HIMACHAL PRADESH</t>
  </si>
  <si>
    <t>AB'-'VE</t>
  </si>
  <si>
    <t>ADITYA SACHIN PATIL</t>
  </si>
  <si>
    <t>MALI-PACHKALSHI</t>
  </si>
  <si>
    <t>21.11.1999</t>
  </si>
  <si>
    <t>VIRAR</t>
  </si>
  <si>
    <t>JU/SET/PADM/18/508</t>
  </si>
  <si>
    <t>NIVEDEETA SACHIN PATIL</t>
  </si>
  <si>
    <t>SACHIN DINKER PATIL</t>
  </si>
  <si>
    <t>AIUPP0445J</t>
  </si>
  <si>
    <t>304876304449</t>
  </si>
  <si>
    <t>A-202, BLD NO.1, VINAY UNIQUE, GOKUL TOWNSHIP, VIRAR WEST, MUMBAI, MAHARASHTRA-401303</t>
  </si>
  <si>
    <t>VIRAR WEST</t>
  </si>
  <si>
    <t>iamsachin71@gmail.com</t>
  </si>
  <si>
    <t>patil11aditya@gmail.com</t>
  </si>
  <si>
    <t>GOVT JOB</t>
  </si>
  <si>
    <t>PALUKURI SUPTHA</t>
  </si>
  <si>
    <t>11.07.2001</t>
  </si>
  <si>
    <t>JU/SET/PADM/18/238</t>
  </si>
  <si>
    <t>21.07.2018</t>
  </si>
  <si>
    <t>PALUKURI CHANDANA</t>
  </si>
  <si>
    <t>P K N JAGANNADHAM</t>
  </si>
  <si>
    <t>AIDPJ5579N</t>
  </si>
  <si>
    <t>491252430168</t>
  </si>
  <si>
    <t>D.NO.4-4/11-A, KOTHAGRAHARAM III STREET, NEAR RAILWAY LANE, VIZIANAGARAM(D), ANDHRA PRADESH-535001</t>
  </si>
  <si>
    <t>KOTHAGRAHARAM</t>
  </si>
  <si>
    <t>08922-237832</t>
  </si>
  <si>
    <t>p8886693333@gmail.com</t>
  </si>
  <si>
    <t>palukurisuptha@gmail.com</t>
  </si>
  <si>
    <t>SPARSH</t>
  </si>
  <si>
    <t>11.10.1998</t>
  </si>
  <si>
    <t xml:space="preserve">KANGRA </t>
  </si>
  <si>
    <t>HIMACHAL PRADESH BOARD OF SCHOOL EDUCATION</t>
  </si>
  <si>
    <t>JU/SET/PADM/18/511</t>
  </si>
  <si>
    <t>SAROJ</t>
  </si>
  <si>
    <t>BALDEV SINGH</t>
  </si>
  <si>
    <t>244275849552</t>
  </si>
  <si>
    <t>VILL-KIORIAN, PO-BANDI, TECH-SHAHPUR, DIST-KANGRA, HIMACHAL PRADESH-176209</t>
  </si>
  <si>
    <t>KIORIAN</t>
  </si>
  <si>
    <t>KANGRA</t>
  </si>
  <si>
    <t>01892-231368</t>
  </si>
  <si>
    <t>shikha.chauhan71@gmail.com</t>
  </si>
  <si>
    <t>sparshc881@gmail.com</t>
  </si>
  <si>
    <t>PAO,10th Marks Card,12th Marks Card,Photos ,TC, Migration Certificate,Pan &amp; Aadhar Card Copy</t>
  </si>
  <si>
    <t>PAO,10th Marks Card,12th Marks Card,TC,Migration Certificate,Photos ,Pan and Aadhar Card Copy</t>
  </si>
  <si>
    <t>DHRUV KUMAR GINORIA</t>
  </si>
  <si>
    <t>3.10.2000</t>
  </si>
  <si>
    <t>SAINTHIA</t>
  </si>
  <si>
    <t>JU/SET/PADM/18/267</t>
  </si>
  <si>
    <t>23.07.2018</t>
  </si>
  <si>
    <t>RINKU GINORIA</t>
  </si>
  <si>
    <t>SUNIL GINORIA</t>
  </si>
  <si>
    <t>ADFPG9568B</t>
  </si>
  <si>
    <t>340797277127</t>
  </si>
  <si>
    <t>F C I GODOWN ROAD, SAINTHIA, BIRBHUM(D), WEST BENGAL-731234</t>
  </si>
  <si>
    <t>BIRBHUM</t>
  </si>
  <si>
    <t>ginoriasunil@gmail.cm</t>
  </si>
  <si>
    <t>dhruvginoria@gmail.com</t>
  </si>
  <si>
    <t>SHREEMAN R</t>
  </si>
  <si>
    <t>ADITYA RAJPUTH R</t>
  </si>
  <si>
    <t>PAO,10th Marks Card,12th MC, Transfer Certificate,Migration Certificate,Photos ,Pan &amp; Aadhar Card Copy</t>
  </si>
  <si>
    <t>PAO,10th Marks Card,12th MC,Transfer Certificate,Migration Certificate, Photos ,Pan &amp; Aadhar Card Copy</t>
  </si>
  <si>
    <t>08.03.2001</t>
  </si>
  <si>
    <t>JU/SET/JET/18/039</t>
  </si>
  <si>
    <t>R CHANDRALAKSHMI</t>
  </si>
  <si>
    <t>V RUKMANGATHAN</t>
  </si>
  <si>
    <t>859298693882</t>
  </si>
  <si>
    <t>AIEPR5363F</t>
  </si>
  <si>
    <t>NO-1, NORTH PERUMAL KOVIL STREET, FORT, ERODE-1(D), TAMILNADU-638001</t>
  </si>
  <si>
    <t>rukma172@gmail.com</t>
  </si>
  <si>
    <t>shreemanraja@gmail.com</t>
  </si>
  <si>
    <t>KOVIL STREET</t>
  </si>
  <si>
    <t>RAJEEV JAIN</t>
  </si>
  <si>
    <t>PAO,10th Marks Card,12th Marks Card, TC, Migration Certificate,Photos ,Pan &amp; Aadhar Card Copy</t>
  </si>
  <si>
    <t>06.01.2001</t>
  </si>
  <si>
    <t>JU/SET/PADM/18/520</t>
  </si>
  <si>
    <t>UMA SINGH T G</t>
  </si>
  <si>
    <t>RAKESH SINGH J</t>
  </si>
  <si>
    <t>AIGPR8847L</t>
  </si>
  <si>
    <t>408365881287</t>
  </si>
  <si>
    <t>NO.160, HARIPIRYA APT, F-02, FIRST FLOOR, 4TH MAIN ROAD, 7TH CROSS, CHAMRAJPET, BANGALORE-560018</t>
  </si>
  <si>
    <t>CHAMARAJPET</t>
  </si>
  <si>
    <t>tg.umasingh@gmail.com</t>
  </si>
  <si>
    <t>aditya.rajputh@gmail.com</t>
  </si>
  <si>
    <t>TUMKUR</t>
  </si>
  <si>
    <t>SUPRIYA</t>
  </si>
  <si>
    <t>CHANDRIKA B</t>
  </si>
  <si>
    <t>HAMIRPUR</t>
  </si>
  <si>
    <t>JU/SET/PADM/18/518</t>
  </si>
  <si>
    <t>SHIV KUMAR</t>
  </si>
  <si>
    <t>AMRITA KUMAR</t>
  </si>
  <si>
    <t>AGKPV3915D</t>
  </si>
  <si>
    <t>240691693155</t>
  </si>
  <si>
    <t>PARTAP GALI, WARD NO-05, HOUSE NO-122, HAMIRPUR(HP) DISTRICT-HAMIRPUR, HIMCHAL PRADESH-177001</t>
  </si>
  <si>
    <t>PARTAP GALI</t>
  </si>
  <si>
    <t>supriyaverma000061@gmail.com</t>
  </si>
  <si>
    <t>PAO,10th Marks Card,12th Marks Card, Migration Certificate,Photos,Pan &amp; Aadhar Card Copy</t>
  </si>
  <si>
    <t>KAMMA NAIDU</t>
  </si>
  <si>
    <t>25.03.2001</t>
  </si>
  <si>
    <t>KRISHNAMMA B</t>
  </si>
  <si>
    <t>SHESHADRI NAIDU B</t>
  </si>
  <si>
    <t>767307745857</t>
  </si>
  <si>
    <t>5/16, 6TH CROSS, VINAYAKA NAGAR, KATTRIGUPPE MAIN ROAD, BSK III STAGE, BANGALORE-560085</t>
  </si>
  <si>
    <t>chandrikachowdary025@gmail.com</t>
  </si>
  <si>
    <t>AFTPN3854P</t>
  </si>
  <si>
    <t>JU/SET/PADM/18/377</t>
  </si>
  <si>
    <t>PAO,10th Marks Card,12th Marks Card, TC, Migration Certificate,Photos , Pan &amp;Aadhar Card Copy</t>
  </si>
  <si>
    <t>ANISH BHOWMICK</t>
  </si>
  <si>
    <t>12.10.2000</t>
  </si>
  <si>
    <t>MARIANI</t>
  </si>
  <si>
    <t>JU/SET/JET/18/094</t>
  </si>
  <si>
    <t>24.07.2018</t>
  </si>
  <si>
    <t>SABIYA BHOWMICK</t>
  </si>
  <si>
    <t>ARUN RANJAN BHOWMICK</t>
  </si>
  <si>
    <t>L I C AGENT</t>
  </si>
  <si>
    <t>ADBPB9951B</t>
  </si>
  <si>
    <t>KENEDY PARK, MARIANI, WARD NO-1, P O-MARIANI, P S-MARIANI, DIST-JORHAT, STATE-ASSAM-785634</t>
  </si>
  <si>
    <t>anishbhowmick833@gmail.com</t>
  </si>
  <si>
    <t>443778032026</t>
  </si>
  <si>
    <t>arunbhowmick28@gmail.com</t>
  </si>
  <si>
    <t>Students signature required in Application Form</t>
  </si>
  <si>
    <t>PAO,10th Marks Card,Migration Certificate,12th Marks Card,TC,Photos ,Pan and Aadhar Card Copy</t>
  </si>
  <si>
    <t>YASHITA AGARWAL</t>
  </si>
  <si>
    <t>SOMYA VASHISHT</t>
  </si>
  <si>
    <t>AGRAWAL SALONI SANJAY</t>
  </si>
  <si>
    <t>ANIRUDDH T S</t>
  </si>
  <si>
    <t>NANDAN S RAJEEVAN</t>
  </si>
  <si>
    <t>NANDIPATI JAYA PRADEEP REDDY</t>
  </si>
  <si>
    <t>AYUSH NIGAM</t>
  </si>
  <si>
    <t>JU/SET/PADM/18/397</t>
  </si>
  <si>
    <t>EKATA AGARWAL</t>
  </si>
  <si>
    <t>SANWER AGARWAL</t>
  </si>
  <si>
    <t>ACVPA1083C</t>
  </si>
  <si>
    <t>701477397429</t>
  </si>
  <si>
    <t>E 65, ROOP VIHAR COLONY, NEW SAGANER ROAD, SODALA, JAIPUR, SHYAM NAGAR, RAJASTHAN-302019</t>
  </si>
  <si>
    <t>ekataagarwal23@gmail.com</t>
  </si>
  <si>
    <t>yashitaagarwal00@gmail.com</t>
  </si>
  <si>
    <t>SHYAM NAGAR</t>
  </si>
  <si>
    <t>KAYAST</t>
  </si>
  <si>
    <t>JU/SET/PADM/18/524</t>
  </si>
  <si>
    <t>JYOTI SHARMA</t>
  </si>
  <si>
    <t>ASHWANI KUMAR</t>
  </si>
  <si>
    <t>IT PROFESSONAL</t>
  </si>
  <si>
    <t>CFGPS0126G</t>
  </si>
  <si>
    <t>712237619852</t>
  </si>
  <si>
    <t>H.NO.119, RAILWAY ROAD, NEW DEFENCE COLONY, MURADNAGAR, GHAZIABAD(D), UTTARPRADESH-201206</t>
  </si>
  <si>
    <t>MURADNAGAR</t>
  </si>
  <si>
    <t>GHAZIABAD</t>
  </si>
  <si>
    <t>H.NO.540, SEC-4, FIRST FLOOR, GURUGRAM(D), HARIYANA(S)-122001</t>
  </si>
  <si>
    <t>jyoti.somya@gmail.com</t>
  </si>
  <si>
    <t>somyav45@gmail.com</t>
  </si>
  <si>
    <t>M022246</t>
  </si>
  <si>
    <t>JU/SET/JET/18/166</t>
  </si>
  <si>
    <t>KIRTI AGRAWAL</t>
  </si>
  <si>
    <t>CHEF</t>
  </si>
  <si>
    <t>SANJAY AGRAWAL</t>
  </si>
  <si>
    <t>CIVIL ENGINEER</t>
  </si>
  <si>
    <t>217565599411</t>
  </si>
  <si>
    <t>BLDG NO.5, WING-C, FLAT NO.112, MATUSHREE NAGAR, WIMCO NAKA, AMBERNATH(W), THANE, MUMBAI, MAHARASHTRA-421505</t>
  </si>
  <si>
    <t>kirtiagrawal613@gmail.com</t>
  </si>
  <si>
    <t>sagrawal168@gmail.com</t>
  </si>
  <si>
    <t>AQVPA3220F</t>
  </si>
  <si>
    <t>19.04.2001</t>
  </si>
  <si>
    <t>JU/SET/PADM/18/528</t>
  </si>
  <si>
    <t>V BRUNDHA</t>
  </si>
  <si>
    <t>T R SATHIYANARAYANAN</t>
  </si>
  <si>
    <t>TEAM LEARDER</t>
  </si>
  <si>
    <t>HEAD HR</t>
  </si>
  <si>
    <t>CAFPS4595F</t>
  </si>
  <si>
    <t>250758171031</t>
  </si>
  <si>
    <t>NO.6/24, AYYAPPA APTS, ARUMUGAM STREET, ULLAGARAM, PUZUDIVAKKAM, CHENNAI, TAMILNADU-600091</t>
  </si>
  <si>
    <t>PUZUDIVAKKAM</t>
  </si>
  <si>
    <t>NO.103, OM SAI PEARLS, 16TH CROSS ROAD, NELLADRI NAGAR, ELECTRONIC CITY, BANGALORE-560010</t>
  </si>
  <si>
    <t>sathiya_ani@yahoo.co.in</t>
  </si>
  <si>
    <t>aniruddhnarayanan@gmail.com</t>
  </si>
  <si>
    <t>JU/SET/PADM/18/527</t>
  </si>
  <si>
    <t>SHYJA PANOLI</t>
  </si>
  <si>
    <t>RAJEEVAN K V</t>
  </si>
  <si>
    <t>RETIRED POLICE OFFICER</t>
  </si>
  <si>
    <t>AJVPK7313G</t>
  </si>
  <si>
    <t>838592689496</t>
  </si>
  <si>
    <t>NIRMALYAM, VENDUTTAYI(PO), PINARAYI, KANNUR, KERALA-670741</t>
  </si>
  <si>
    <t>PINARAYI</t>
  </si>
  <si>
    <t>nandansr12345@gmail.com</t>
  </si>
  <si>
    <t>18.06.2001</t>
  </si>
  <si>
    <t>BANDIATMAKURU</t>
  </si>
  <si>
    <t>JU/SET/PADM/18/337</t>
  </si>
  <si>
    <t>N LALITHA</t>
  </si>
  <si>
    <t>N SUBBA REDDY</t>
  </si>
  <si>
    <t>AFOPN2746P</t>
  </si>
  <si>
    <t>663727176755</t>
  </si>
  <si>
    <t>H.NO.4/47, BANDI ATMAKURU VILLAGE/MANDAL, KURNOOL DISTRICT, ANDHRA PRADESH-518523</t>
  </si>
  <si>
    <t>njpr888836@gmail.com</t>
  </si>
  <si>
    <t>19.10.1999</t>
  </si>
  <si>
    <t>SHAHDOL</t>
  </si>
  <si>
    <t>JU/SET/PADM/18/526</t>
  </si>
  <si>
    <t>VINITA NIGAM</t>
  </si>
  <si>
    <t>ASHWANI KUMAR NIGAM</t>
  </si>
  <si>
    <t>AIEPN0487C</t>
  </si>
  <si>
    <t>208873981765</t>
  </si>
  <si>
    <t>BEFAUE, TAKI NALA, BALPURWA, KUDUI ROAD, WARD NO.32, SHAHDOL(D), MADHYA PRADESH-484001</t>
  </si>
  <si>
    <t>BALPURWA</t>
  </si>
  <si>
    <t>ashwanigamsdl@gmail.com</t>
  </si>
  <si>
    <t>ayushnigam0001@gmail.com</t>
  </si>
  <si>
    <t>SHIVANK SHARMA</t>
  </si>
  <si>
    <t>PATAN RIYAN KHAN</t>
  </si>
  <si>
    <t>SHREYANSH KUMAR</t>
  </si>
  <si>
    <t>INDLA KRISHNA CHAITHANYA</t>
  </si>
  <si>
    <t>BHARMAR</t>
  </si>
  <si>
    <t>22.03.1999</t>
  </si>
  <si>
    <t>ALLAHABAD</t>
  </si>
  <si>
    <t>TRIPTI SHARMA</t>
  </si>
  <si>
    <t>RANVIJAY SHARMA</t>
  </si>
  <si>
    <t>CBIPS5232B</t>
  </si>
  <si>
    <t>817036158979</t>
  </si>
  <si>
    <t>F-B1-901, CLASSIC RESIDENCY, RAI NAGAR EXTENSION, GHAZIABAD, UTTARPRADESH-201017</t>
  </si>
  <si>
    <t>RAI NAGAR EXTENSION</t>
  </si>
  <si>
    <t>rvsharma1973@gmail.com</t>
  </si>
  <si>
    <t>sharmashivank4@gmail.com</t>
  </si>
  <si>
    <t>BHILAI</t>
  </si>
  <si>
    <t>PATAN</t>
  </si>
  <si>
    <t>30.07.2001</t>
  </si>
  <si>
    <t>JU/SET/PADM/18/529</t>
  </si>
  <si>
    <t>PATAN RESHMA KHANAM</t>
  </si>
  <si>
    <t>PATAN CHAN KHAN</t>
  </si>
  <si>
    <t>300550561153</t>
  </si>
  <si>
    <t>GHOUSE NAGAR</t>
  </si>
  <si>
    <t>16/510-1, GHOUSE NAGAR, D C ROAD, KADAPA, ANDHRA PRADESH-516001</t>
  </si>
  <si>
    <t>riyanpathan308@gmail.com</t>
  </si>
  <si>
    <t>PAO,10th Marks Card,Photos ,TC</t>
  </si>
  <si>
    <t>JU/SET/PADM/18/531</t>
  </si>
  <si>
    <t>MANJU SINGH</t>
  </si>
  <si>
    <t>SHRAVAN KUMAR SRIVASTAVA</t>
  </si>
  <si>
    <t>AUYPS2525A</t>
  </si>
  <si>
    <t>563049316714</t>
  </si>
  <si>
    <t>C-123/4, R D S O COLONY, MANAK NAGAR, LUCKNOW, UTTARPRADESH-226011</t>
  </si>
  <si>
    <t>MANAK NAGAR</t>
  </si>
  <si>
    <t>shreyanshkumar280100@gmail.com</t>
  </si>
  <si>
    <t>srsrivastava.rdso@gmail.com</t>
  </si>
  <si>
    <t>05.02.2001</t>
  </si>
  <si>
    <t>INDLA LAKSHMI</t>
  </si>
  <si>
    <t>INDLA SURENDRA</t>
  </si>
  <si>
    <t>AATPI0101P</t>
  </si>
  <si>
    <t>808315835098</t>
  </si>
  <si>
    <t>6/138, NEW BALAJI NAGAR, GUDUR RTS BUS STAND BACK SIDE, GUDUR, NELLORE(D), ANDHRA PRADESH-524101</t>
  </si>
  <si>
    <t>GUDUR</t>
  </si>
  <si>
    <t>indlachaithanya@gmail.com</t>
  </si>
  <si>
    <t>BHUPENDRA GUPTA</t>
  </si>
  <si>
    <t>SAH</t>
  </si>
  <si>
    <t>25.11.1999</t>
  </si>
  <si>
    <t>JU/SET/PADM/18/534</t>
  </si>
  <si>
    <t>NIRMALA DEVI SAH</t>
  </si>
  <si>
    <t>SIYA NANDAN SAH</t>
  </si>
  <si>
    <t>AGCPS8905N</t>
  </si>
  <si>
    <t>358325018376</t>
  </si>
  <si>
    <t>239, MARUDHARA COLONY, NEAR NAGNETCHI JI TEMPLE, BIKANER, RAJASTHAN-334003</t>
  </si>
  <si>
    <t>MARUDHAR A COLONY</t>
  </si>
  <si>
    <t>siyanandan@yahoo.co.in</t>
  </si>
  <si>
    <t>bhupendragupta250@gmail.com</t>
  </si>
  <si>
    <t>PAO,10th Marks Card, TC, Migration Certificate, Photos, Pan andAadhar Card Copy</t>
  </si>
  <si>
    <t>PAO,10th Marks Card,12th Marks Card, TC,Photos ,Pan &amp; Aadhar Card Copy</t>
  </si>
  <si>
    <t>THIRUVAIPATI SURYA</t>
  </si>
  <si>
    <t>PUSHPINDER KAUR</t>
  </si>
  <si>
    <t>PAO,10th Marks Card, 12th Marks Card,TC,Photos,Pan &amp; Aadhar Card Copy</t>
  </si>
  <si>
    <t>CHAMARTHI VINAY JANARDHANA</t>
  </si>
  <si>
    <t>CHATTADA SRIVAYASHNAVA</t>
  </si>
  <si>
    <t>JU/SET/PADM/18/147</t>
  </si>
  <si>
    <t>25.07.2018</t>
  </si>
  <si>
    <t>THIRUVAIPATI GEETHAVANI</t>
  </si>
  <si>
    <t>THIRUVAIPATI VENKATA NAGESWARA PRASAD</t>
  </si>
  <si>
    <t>661562761625</t>
  </si>
  <si>
    <t>5-195(D), N G O COLONY, SRI VENKATESWARA NAGAR, ONGOLE, PRAKASAN(D), ANDHRA PRADESH-523001</t>
  </si>
  <si>
    <t>nageswaraprasadtv@gmail.com</t>
  </si>
  <si>
    <t>AMDPN4145N</t>
  </si>
  <si>
    <t>suryathiruvaipati05112000@gmail.com</t>
  </si>
  <si>
    <t>SIKH</t>
  </si>
  <si>
    <t>JATT</t>
  </si>
  <si>
    <t>02.05.1999</t>
  </si>
  <si>
    <t>PUNJAB</t>
  </si>
  <si>
    <t>PARAMJEET KAUR</t>
  </si>
  <si>
    <t>JAGDEEP SINGH</t>
  </si>
  <si>
    <t>DEFENCE SERVICES</t>
  </si>
  <si>
    <t>684923954487</t>
  </si>
  <si>
    <t>PUSHPINDER KAUR, D/O JAGDEEP SINGH, V P O RALLA, PATTI MAL, DISTT-MANSA, PUNJAB-148109</t>
  </si>
  <si>
    <t>PATTIMAL</t>
  </si>
  <si>
    <t>MANSA</t>
  </si>
  <si>
    <t>jagdeepsingh1490a@gmail.com</t>
  </si>
  <si>
    <t>pushpinderchahal99@gmail.com</t>
  </si>
  <si>
    <t>CBJPS3345G</t>
  </si>
  <si>
    <t>COIMBATORE</t>
  </si>
  <si>
    <t>RLYKODUR</t>
  </si>
  <si>
    <t>LAKSHMI DEVI C</t>
  </si>
  <si>
    <t>JANARDHANA RAJU</t>
  </si>
  <si>
    <t>AEXPC1443A</t>
  </si>
  <si>
    <t>962412256346</t>
  </si>
  <si>
    <t>A-304, GARDEN VIEW CAMPUS, NEAR BOTANICAL GARDEN, UGAT ROAD, MORABHAGAL, SURAT, GUJARAT-395005</t>
  </si>
  <si>
    <t>MORABHAGAL</t>
  </si>
  <si>
    <t>sjaganathent@gmail.com</t>
  </si>
  <si>
    <t>vinaychamarthi98@gmail.com</t>
  </si>
  <si>
    <t>YELURI SOMA SEKHARA SRIRAM</t>
  </si>
  <si>
    <t>VELUGURI LOK SAI PREETHAM</t>
  </si>
  <si>
    <t>PAO,12th Marks Card</t>
  </si>
  <si>
    <t>YELURI SUDHA RANI</t>
  </si>
  <si>
    <t>YELURI UMA MAHESWARA RAO</t>
  </si>
  <si>
    <t>AAQPU0901L</t>
  </si>
  <si>
    <t>841159225562</t>
  </si>
  <si>
    <t>D.NO.12-131/1, OPP KANYAKA PARAMESWARI TEMPLE, JANAPADU ROAD, PIDUGURALLA, GUNTUR(D), ANDHRA PRADESH-522413</t>
  </si>
  <si>
    <t>nameissriram@gmail.com</t>
  </si>
  <si>
    <t>29.11.2001</t>
  </si>
  <si>
    <t>VELUGURI SATYANARAYANA</t>
  </si>
  <si>
    <t>AEOPV3072K</t>
  </si>
  <si>
    <t>515262852519</t>
  </si>
  <si>
    <t>D.NO.8/298, BRAHMAM GARI GUDI BACK SIDE, PIDUGURALLA CITY, GUNTUR DISTRICT, ANDHRA PADESH-522413</t>
  </si>
  <si>
    <t>satish.veluguri33@gmail.com</t>
  </si>
  <si>
    <t>preethamveluguri@gmail.com</t>
  </si>
  <si>
    <t>VELUGURI JAYA LAKSHMI</t>
  </si>
  <si>
    <t>16.03.2000</t>
  </si>
  <si>
    <t>GOVARDHAN KRISHNAN</t>
  </si>
  <si>
    <t>PANCHAL NIRMIT MANOJKUMAR</t>
  </si>
  <si>
    <t>NAKUL J KRISHNAN</t>
  </si>
  <si>
    <t>KAPISH</t>
  </si>
  <si>
    <t>PAO,10th Marks Card,Photos ,TC, , Migration Certificate,Pan &amp; Aadhar Card Copy</t>
  </si>
  <si>
    <t>PAO,10th Marks Card,  TC, Photos,Migration Certificate,  Pan and Aadhar Card Copy</t>
  </si>
  <si>
    <t>PAO,10th Marks Card,Photos ,TC,Migration Certificate, Pan &amp; Aadhar Card Copy</t>
  </si>
  <si>
    <t>PAO,10th Marks Card, TC,Migration Certificate,Photos, Pan andAadhar Card Copy</t>
  </si>
  <si>
    <t>PAO,10th Marks Card,  TC,Migration Certificate, Photos, Pan and Aadhar Card Copy</t>
  </si>
  <si>
    <t>PAO,10th Marks Card,Pan &amp; Aadhar Card Copy,12th Marks Card, Migration Certificate,TC,Photos</t>
  </si>
  <si>
    <t>PAO,10th Marks Card,12th Marks Card,Migration Certificate,TC,Photos ,Pan and Aadhar Card Copy</t>
  </si>
  <si>
    <t>AHJPP8273G</t>
  </si>
  <si>
    <t>PAO,10th Marks Card, Photos ,TC,Migration Certificate, Pan Copy,Aadhar Card Copy</t>
  </si>
  <si>
    <t>PAO,10th Marks Card,12th Marks Card, TC,Photos,Aadhar Card Copy,Pan Copy</t>
  </si>
  <si>
    <t>PAO,10th Marks Card,12th Marks Card, TC, Photos, Pan &amp; Aadhar Card Copy</t>
  </si>
  <si>
    <t>Migration Certificate(Submitted 10 Mig Cer)</t>
  </si>
  <si>
    <t>PAO,10th Marks Card,12th Marks Card TC,,Photos,Pan &amp; Aadhar Card Copy</t>
  </si>
  <si>
    <t>PAO,10th Marks Card,12th Marks card,TC Photos, Pan andAadhar Card Copy</t>
  </si>
  <si>
    <t>PAO,10th Marks Card,12th Marks Card,Migration Certificate,Transfer CertificatePhotos,Pan &amp; Aadhar Card Copy</t>
  </si>
  <si>
    <t>PAO,10th Marks Card, Migration Certificate,12th Marks Card,Photos ,TC, Pan &amp; Aadhar Card Copy</t>
  </si>
  <si>
    <t>PAO,10TH MARKS CARD, 12th Marks Card, TC,Migration Certificate,PAN COPY,PHOTOS, Aadhar Card Copy</t>
  </si>
  <si>
    <t>PAN COPY</t>
  </si>
  <si>
    <t>PAO,10TH MARKS CARD, 12th Marks Card, TC,Migration Certificate,PHOTOS, Aadhar Card Copy</t>
  </si>
  <si>
    <t>PAO,10th Marks Card,Photos, ,Migration Certificate,Pan Copy,Aadhar Card Copy</t>
  </si>
  <si>
    <t>PAO,10th Marks Card,, Migration Certificate,Photos ,TC, Pan &amp; Aadhar Card Copy</t>
  </si>
  <si>
    <t>PAO,10th Marks Card,12th Marks Card, TC,Migration Certificate,Photos,Aadhar Card Copy,Pan Copy</t>
  </si>
  <si>
    <t>PAO,10th Marks Card,12th Marks Card, Migration Certificate, Pan Copy,Photos ,TC, Aadhar Card Copy</t>
  </si>
  <si>
    <t>PAO, 10th Marks Card,12th Marks Card, Transfer Certificate, Pan &amp; Aadhar Card Photo Copies</t>
  </si>
  <si>
    <t>Students signature required in Application form</t>
  </si>
  <si>
    <t>PAO,10th Marks Card,12th Marks Card, ,Photos ,TC, Pan &amp; Aadhar Card Copy</t>
  </si>
  <si>
    <t>PAO,10th Marks Card, Migration Certificate TC, Photos, Pan and Aadhar Card Copy</t>
  </si>
  <si>
    <t>PAO,10th Marks Card,  TC, , Migration Certificate,Photos, Pan and Aadhar Card Copy</t>
  </si>
  <si>
    <t>PAO,TC,10th Marks Card,Migration CertificatePhotos,Pan and  Aadhar Card Copy</t>
  </si>
  <si>
    <t>BMUPV1604A</t>
  </si>
  <si>
    <t>PAO,10th Marks Card,12th Marks Card, TC,Migration CertificatePhotos,Aadhar Card Copy,Pan Copy</t>
  </si>
  <si>
    <t>RAMANAGAR</t>
  </si>
  <si>
    <t>Aadhar Card Copy</t>
  </si>
  <si>
    <t>JU/SET/JET/18/086</t>
  </si>
  <si>
    <t>VANI K</t>
  </si>
  <si>
    <t>KRISHNANUNNI K B</t>
  </si>
  <si>
    <t>AYYPK5165G</t>
  </si>
  <si>
    <t>602574734847</t>
  </si>
  <si>
    <t>KAVASSERY</t>
  </si>
  <si>
    <t>kripaunni708@gmail.com</t>
  </si>
  <si>
    <t>KRISHNA KRIPA, VAKEELPADI, KAVASSERY(P), ALATHUR, PALAKKKAD, KERALA-678543</t>
  </si>
  <si>
    <t>govugv07@gmail.com</t>
  </si>
  <si>
    <t>MODASA, GUJARAT</t>
  </si>
  <si>
    <t>GUJARATHI</t>
  </si>
  <si>
    <t>M088898</t>
  </si>
  <si>
    <t>JU/SET/PADM/18/393</t>
  </si>
  <si>
    <t>MEETA MANOJKUMAR PANCHAL</t>
  </si>
  <si>
    <t>MANOJKUMAR MAGANLAL PANCHAL</t>
  </si>
  <si>
    <t>SALARIED</t>
  </si>
  <si>
    <t>AAJPP9058Q</t>
  </si>
  <si>
    <t>834267635827</t>
  </si>
  <si>
    <t>C/503, ASHAKUNJ, SAMARTH GARDEN, DATTA MANDIR ROAD, BHANDUP(W), MUMBAI, MAHARASHTRA-400078</t>
  </si>
  <si>
    <t>BHANDUP</t>
  </si>
  <si>
    <t>manojpanchal1975@gmail.com</t>
  </si>
  <si>
    <t>nirmitpanchal2000@gmail.com</t>
  </si>
  <si>
    <t>01.11.1999</t>
  </si>
  <si>
    <t>THIRUVARNATHAPURAM</t>
  </si>
  <si>
    <t>JU/SET/UNI/18/167</t>
  </si>
  <si>
    <t>I SREELATHA</t>
  </si>
  <si>
    <t>K JAYAKRISHNAN</t>
  </si>
  <si>
    <t>AGKPP9477C</t>
  </si>
  <si>
    <t>987978842422</t>
  </si>
  <si>
    <t>TC 36/871, "ROHINI", ERA-27, PALKULANGARA, TRIVANDRUM, KERALA-695008</t>
  </si>
  <si>
    <t>PALKULANGARA</t>
  </si>
  <si>
    <t>0471-2450835</t>
  </si>
  <si>
    <t>jaypillai.k@gmail.com</t>
  </si>
  <si>
    <t>nakul11999@gmail.com</t>
  </si>
  <si>
    <t>JINDGAR</t>
  </si>
  <si>
    <t>02.10.2000</t>
  </si>
  <si>
    <t>SIRSA</t>
  </si>
  <si>
    <t>JU/SET/PADM/18/540</t>
  </si>
  <si>
    <t>TANU JINDGAR</t>
  </si>
  <si>
    <t>SUNIL JINDGAR</t>
  </si>
  <si>
    <t>920553242752</t>
  </si>
  <si>
    <t>HOUSE NUMBER-280, STREET NUMBER-5A, AGGGARSAIN COLONY, SIRSA, HARYANA-125055</t>
  </si>
  <si>
    <t>AGGARSAIN COLONY</t>
  </si>
  <si>
    <t>AMDPK1774E</t>
  </si>
  <si>
    <t>kapishjindgar@gmail.com</t>
  </si>
  <si>
    <t>PAO,10th Marks Card,12th Marks Card, TC,Migration Certificate,Photos,Pan Copy</t>
  </si>
  <si>
    <t>PAO,10th Marks Card,TC,Migration Certificate,Photos,Pan &amp; Aadhar Card Copy</t>
  </si>
  <si>
    <t>04.04.2000</t>
  </si>
  <si>
    <t>16.07.2001</t>
  </si>
  <si>
    <t>JUPALLE LAXMI SAI MANEESH REDDY</t>
  </si>
  <si>
    <t>CHETAS MURALI</t>
  </si>
  <si>
    <t>INTERNATIONAL</t>
  </si>
  <si>
    <t>POLIREDDY NISHITH REDDY</t>
  </si>
  <si>
    <t>RANGA SUDHEER</t>
  </si>
  <si>
    <t>KONDURU NITHIN VARMA</t>
  </si>
  <si>
    <t>JEEVANANDHAM S</t>
  </si>
  <si>
    <t>SHANU SHARMA</t>
  </si>
  <si>
    <t>DEEPAK RAJA G</t>
  </si>
  <si>
    <t>PUCHAKAYALA PRANEETH NAIDU</t>
  </si>
  <si>
    <t>P HARSH MEHTA</t>
  </si>
  <si>
    <t>KESHAV CHOUDHARY</t>
  </si>
  <si>
    <t>KUTAGOLLA MANOJKUMAR REDDY</t>
  </si>
  <si>
    <t>KRITI BANTHIA</t>
  </si>
  <si>
    <t>ROHIT KANYAL</t>
  </si>
  <si>
    <t>CHEREDDY GOVARDHAN REDDY</t>
  </si>
  <si>
    <t>ADITYA VISWANADHAM NOOKALA</t>
  </si>
  <si>
    <t>PRASHANTH BAFNA M</t>
  </si>
  <si>
    <t>PRANAV J</t>
  </si>
  <si>
    <t>GOWREDDY MANOHAR REDDY</t>
  </si>
  <si>
    <t>ANKUR GUPTA</t>
  </si>
  <si>
    <t>DODDA DIRAN SRINATH REDDY</t>
  </si>
  <si>
    <t>KASSETTY KRISHNA</t>
  </si>
  <si>
    <t>POTHAMSETTY SASI AMARNATDH REDDY</t>
  </si>
  <si>
    <t>MANASVI TRIVEDI</t>
  </si>
  <si>
    <t>CHAMA HARSHAVARDHAN REDDY</t>
  </si>
  <si>
    <t>GUNJAN KUMAR</t>
  </si>
  <si>
    <t>CHITTELA SATVIK REDDY</t>
  </si>
  <si>
    <t>ASHISH KUMAR RAY</t>
  </si>
  <si>
    <t>NEPAL</t>
  </si>
  <si>
    <t>SUGGUNA KESAVA SAI</t>
  </si>
  <si>
    <t>TADIBOYINA RAMGOPAL</t>
  </si>
  <si>
    <t>SHAIK SABEEHA</t>
  </si>
  <si>
    <t>T AAKASH KUMAR</t>
  </si>
  <si>
    <t>GONA TARUN SAI</t>
  </si>
  <si>
    <t>GADIKOTA LAVAN KUMAR REDDY</t>
  </si>
  <si>
    <t>MISBAHUDDIN ANSARI</t>
  </si>
  <si>
    <t>SHAIK SUJATH</t>
  </si>
  <si>
    <t>GANNAMANENI CHANDU SRI VENKAT</t>
  </si>
  <si>
    <t>PHYSICALLY CHALLENGED</t>
  </si>
  <si>
    <t>28.09.1999</t>
  </si>
  <si>
    <t>JU/SET/PADM/18/134</t>
  </si>
  <si>
    <t>26.07.2018</t>
  </si>
  <si>
    <t>JUPALLE VEDAVATHI</t>
  </si>
  <si>
    <t>JUPALLE SANJEEVA REDDY</t>
  </si>
  <si>
    <t>ADPPJ1288D</t>
  </si>
  <si>
    <t>379412013953</t>
  </si>
  <si>
    <t>FLAT NO.503, BALAJI HEIGHTS APARTMENTS, BALAJI COMPLEX, NANDYAL, KURNOOL DIST, ANDHRAPRADESH-518501</t>
  </si>
  <si>
    <t>jupalle.sanjeev77@gmail.com</t>
  </si>
  <si>
    <t>maneeshreddy28@gmail.com</t>
  </si>
  <si>
    <t>PAO,10th Marks Card, TC,12th Marks Card,Migration Certificate,Photos,Pan &amp; Aadhar Card Copy</t>
  </si>
  <si>
    <t>PAO,10th Marks Card,Photos ,TC,, Migration Certificate, Pan &amp; Aadhar Card Copy</t>
  </si>
  <si>
    <t>BHRPS5083C</t>
  </si>
  <si>
    <t>PAO,10th Marks Card,12th Marks Card, TC,Migration Certificate,Pan Copy,Photos,Aadhar Card Copy</t>
  </si>
  <si>
    <t>NIKITHA V</t>
  </si>
  <si>
    <t>KUCHI AAHLAD</t>
  </si>
  <si>
    <t>5-6 LAKHS</t>
  </si>
  <si>
    <t>UAE</t>
  </si>
  <si>
    <t>03.11.1998</t>
  </si>
  <si>
    <t>US$1000</t>
  </si>
  <si>
    <t>US$4500</t>
  </si>
  <si>
    <t>PRAHLADA RAO SAVITHA</t>
  </si>
  <si>
    <t>SALES MANAGER</t>
  </si>
  <si>
    <t>AKXPR0121N</t>
  </si>
  <si>
    <t>934168383958</t>
  </si>
  <si>
    <t>1690, 17TH MAIN, J P NAGAR, 2ND PHASE, BENGALORE-569078</t>
  </si>
  <si>
    <t>J P NAGAR 2ND PHASE</t>
  </si>
  <si>
    <t>971-563024013</t>
  </si>
  <si>
    <t>murlirrao@gmail.com</t>
  </si>
  <si>
    <t>thephantumblu@gmail.com</t>
  </si>
  <si>
    <t>JU/JR/NRI-UAE/755/2018/01</t>
  </si>
  <si>
    <t>MURLI RAGHAVENDRAN RAO</t>
  </si>
  <si>
    <t>JU/SET/PADM/18/402</t>
  </si>
  <si>
    <t>POLIREDDY SHOBHARANI</t>
  </si>
  <si>
    <t>POLIREDDY SRINIVAS REDDY</t>
  </si>
  <si>
    <t>AMBPP7184P</t>
  </si>
  <si>
    <t>684325712640</t>
  </si>
  <si>
    <t>D.NO-25-9-635, III CROSS, POSTAL COLONY, NELLORE, ANDHRA PRADESH-524004</t>
  </si>
  <si>
    <t>POSTAL COLONY</t>
  </si>
  <si>
    <t>0861-2300042</t>
  </si>
  <si>
    <t>shrini5599@gmail.com</t>
  </si>
  <si>
    <t>JU/SET/PADM/18/331</t>
  </si>
  <si>
    <t>14.06.2001</t>
  </si>
  <si>
    <t>ANKAPALLE</t>
  </si>
  <si>
    <t>RANGA SUNEETHA</t>
  </si>
  <si>
    <t>RANGA SUBRAMANYAM</t>
  </si>
  <si>
    <t>AJOPR8156M</t>
  </si>
  <si>
    <t>699749117925</t>
  </si>
  <si>
    <t>BOMBAY SILK HOUSE MAIN ROAD, YELLAMANCHILI (Y L M), VIZAG (D), ANDHRA PRADESH</t>
  </si>
  <si>
    <t>YELLAMANCHILI</t>
  </si>
  <si>
    <t>VIZAG</t>
  </si>
  <si>
    <t>sudheerranga4@gmail.com</t>
  </si>
  <si>
    <t>PAO,10th Marks Card,12th Marks Card, TC,Migration Certificate,Photos, Aadhar Card Copy</t>
  </si>
  <si>
    <t>datturanga@gmail.com</t>
  </si>
  <si>
    <t>KSHATRIYAS</t>
  </si>
  <si>
    <t>RAJACHOTY</t>
  </si>
  <si>
    <t>KONDURU LAKSHMIDEVI</t>
  </si>
  <si>
    <t>KONDURU UMA MAHESWAR RAJU</t>
  </si>
  <si>
    <t>DNPRK4243C</t>
  </si>
  <si>
    <t>793282460306</t>
  </si>
  <si>
    <t>1-28, GARADADRINAGAR, AVILAL, TIRUPATI, CHITTOOR, ANDHRA PADESH-517501</t>
  </si>
  <si>
    <t>nithinkonduru3@gmail.com</t>
  </si>
  <si>
    <t>KANGAYAM</t>
  </si>
  <si>
    <t>JU/SET/PADM/18/456</t>
  </si>
  <si>
    <t>SOWDAMBIKA S</t>
  </si>
  <si>
    <t>SIVABALAN K S</t>
  </si>
  <si>
    <t>283498096183</t>
  </si>
  <si>
    <t>75/31, KARTHIGAI NAGAR, TIPURUR ROAD, KANGAYAM, TIRUPUR(D), TAMILNADU-638701</t>
  </si>
  <si>
    <t>sjeevanandham2000@gmail.com</t>
  </si>
  <si>
    <t>CAOPS2308P</t>
  </si>
  <si>
    <t>KARUR</t>
  </si>
  <si>
    <t>BETUL</t>
  </si>
  <si>
    <t>JU/SET/PADM/18/544</t>
  </si>
  <si>
    <t>RENU SHARMA</t>
  </si>
  <si>
    <t>RAKESH SHARMA</t>
  </si>
  <si>
    <t>AJUPS0931K</t>
  </si>
  <si>
    <t>227546128510</t>
  </si>
  <si>
    <t>NEAR KAMANI GATE, KOTHI BAZAR BETUL (M P)-460001</t>
  </si>
  <si>
    <t xml:space="preserve">KOTHI BAZAR </t>
  </si>
  <si>
    <t>sharmashanu0700@gmail.com</t>
  </si>
  <si>
    <t>rsrakeshsharma705@gmail.com</t>
  </si>
  <si>
    <t>OKALIYAR GAUDA</t>
  </si>
  <si>
    <t>21.07.2000</t>
  </si>
  <si>
    <t>JU/SET/PADM/18/247</t>
  </si>
  <si>
    <t xml:space="preserve">CHITRA G </t>
  </si>
  <si>
    <t>GANESAN P</t>
  </si>
  <si>
    <t>546104956003</t>
  </si>
  <si>
    <t>VEDASENDUR</t>
  </si>
  <si>
    <t>deepakdhoni4576@gmail.com</t>
  </si>
  <si>
    <t>5-1-13J/14A, SRI SAINATH BAVANAM, YOUSUF NAGAR, MARAMBADI ROAD, VEDASENDUR(T), DINDIGAL(D), TAMILNADU-694710</t>
  </si>
  <si>
    <t>10.06.2002</t>
  </si>
  <si>
    <t>JU/SET/PADM/18/067</t>
  </si>
  <si>
    <t>PUCHKAYALA RAJAMMA</t>
  </si>
  <si>
    <t>PUCHAKAYLA ADISESHA NAIDU</t>
  </si>
  <si>
    <t>BPOPA9277D</t>
  </si>
  <si>
    <t>408158166186</t>
  </si>
  <si>
    <t>11-2-495-4-7, NAYAK NAGAR, ANANTAPUR, OPP CHURUCH GATE, ANDHRA PRADESH-515001</t>
  </si>
  <si>
    <t>NAYAK NAGAR</t>
  </si>
  <si>
    <t>chowdarypraneeth143@gmail.com</t>
  </si>
  <si>
    <t>13.12.2000</t>
  </si>
  <si>
    <t>MANGALORE</t>
  </si>
  <si>
    <t>JU/SET/PADM/18/498</t>
  </si>
  <si>
    <t>MONICA MEHTA</t>
  </si>
  <si>
    <t>PRAKASH MEHTA</t>
  </si>
  <si>
    <t>AAIPP3559P</t>
  </si>
  <si>
    <t>521526080369</t>
  </si>
  <si>
    <t>3571/2, 6TH CROSS, ARULANDNAGAR, NEAR ARUL NURSERY GARDEN, THANJAVUR, TAMILNADU-613006</t>
  </si>
  <si>
    <t>ARULANDNAGAR</t>
  </si>
  <si>
    <t>04362-233683/276683</t>
  </si>
  <si>
    <t>happyh1312@gmail.com</t>
  </si>
  <si>
    <t>NADAUN</t>
  </si>
  <si>
    <t>JU/SET/PADM/18/547</t>
  </si>
  <si>
    <t>MADHU BALA</t>
  </si>
  <si>
    <t>SANDEEP KUMAR</t>
  </si>
  <si>
    <t>5 TO 10 LAC</t>
  </si>
  <si>
    <t>460085384801</t>
  </si>
  <si>
    <t>VPO KOHLA, TEH NADAUN, DIST-HAMJUPUR, HIMCHALPRADESH-177033</t>
  </si>
  <si>
    <t>THE NADAUN</t>
  </si>
  <si>
    <t>HAMJUPUR</t>
  </si>
  <si>
    <t>HIMCHALPRADESH</t>
  </si>
  <si>
    <t>keshavchoudhary1902@gmail.com</t>
  </si>
  <si>
    <t>GHIRTH</t>
  </si>
  <si>
    <t>ADJPK4162B</t>
  </si>
  <si>
    <t>07.11.2000</t>
  </si>
  <si>
    <t>JU/SET/PADM/18/248</t>
  </si>
  <si>
    <t>KUTAGOLLA BHAVANI REDDY</t>
  </si>
  <si>
    <t>KUTAGOLLA RAVINDRANATHA REDDY</t>
  </si>
  <si>
    <t>AJNPR4781P</t>
  </si>
  <si>
    <t>863668160659</t>
  </si>
  <si>
    <t>D.NO.4/2/414, YUVAJANA COLONY, ANANTAPUR, ANDHRA PRADESH-515004</t>
  </si>
  <si>
    <t>YUVAJANA COLONY</t>
  </si>
  <si>
    <t>manojreddyk2007@gmail.com</t>
  </si>
  <si>
    <t>BELOW 1 LAKH</t>
  </si>
  <si>
    <t>BANTHIA</t>
  </si>
  <si>
    <t>03.10.1999</t>
  </si>
  <si>
    <t>JU/SET/PADM/18/446</t>
  </si>
  <si>
    <t>SIMMI BANTHIA</t>
  </si>
  <si>
    <t>BUSINESMAN</t>
  </si>
  <si>
    <t>5-7 LAKHS</t>
  </si>
  <si>
    <t>ARWPB7953L</t>
  </si>
  <si>
    <t>852932385824</t>
  </si>
  <si>
    <t>NEW LANE BOTHRA CHOWK, GANGASHAHAR, BIKANER, RAJASTHAN</t>
  </si>
  <si>
    <t>GANGASHAHAR</t>
  </si>
  <si>
    <t>kritibanthia.1999@gmail.com</t>
  </si>
  <si>
    <t>CHAINROOP BANTHIA</t>
  </si>
  <si>
    <t>KANGAL</t>
  </si>
  <si>
    <t>27.05.1999</t>
  </si>
  <si>
    <t>JU/SET/PADM/18/550</t>
  </si>
  <si>
    <t>KUSUM KANYAL</t>
  </si>
  <si>
    <t>VINOD KANYAL</t>
  </si>
  <si>
    <t>AROPK5391H</t>
  </si>
  <si>
    <t>338394963990</t>
  </si>
  <si>
    <t>AMBEDKAR WARD, RIDIHAT, DISTRICT-PITHARAGARH,UTTARAKHAND-262551</t>
  </si>
  <si>
    <t>RIDIHAT</t>
  </si>
  <si>
    <t>PITHARAGARH</t>
  </si>
  <si>
    <t>hero.15oct@gmail.com</t>
  </si>
  <si>
    <t>01.09.2000</t>
  </si>
  <si>
    <t>JU/SET/PADM/18/286</t>
  </si>
  <si>
    <t>CHEREDDY ADI LAKSHMAMMA</t>
  </si>
  <si>
    <t>CHEREDDY VENKATA RAMANA REDDY</t>
  </si>
  <si>
    <t>659252691559</t>
  </si>
  <si>
    <t>PODALAKONDA PALLI, GIDDALUR MANDAL, PRAKASAM (D), ANDHRA PRADESH</t>
  </si>
  <si>
    <t>chereddygovar9@gmail.com</t>
  </si>
  <si>
    <t>AERPC4671A</t>
  </si>
  <si>
    <t>JU/SET/PADM/18/545</t>
  </si>
  <si>
    <t>NAGA LAKSHMI NOOKALA</t>
  </si>
  <si>
    <t>SURYA PRAKASH NOOKALA</t>
  </si>
  <si>
    <t>ADUPN1414A</t>
  </si>
  <si>
    <t>382147752565</t>
  </si>
  <si>
    <t>N SURYA PRAKASH, D.NO.2-42-10/5, SECTOR-XI, M V P COLONY, VISKHAPATNAM, ANDHRA PRADESH-530017</t>
  </si>
  <si>
    <t>M V P COLONY</t>
  </si>
  <si>
    <t>suryaprakashnookala13@gmail.com</t>
  </si>
  <si>
    <t>adityarock231@gmail.com</t>
  </si>
  <si>
    <t>JU/SET/PADM/18/555</t>
  </si>
  <si>
    <t xml:space="preserve">GUNAVANTHI M </t>
  </si>
  <si>
    <t>MAHENDAR KUMAR L</t>
  </si>
  <si>
    <t>927717429463</t>
  </si>
  <si>
    <t>#30/12, DEVAN BU STREET, NEAR REDHILLS MARKET, REDHILLS, CHENNAI-600052</t>
  </si>
  <si>
    <t>REDHILLS</t>
  </si>
  <si>
    <t>044-26418303/26320261</t>
  </si>
  <si>
    <t>mahendarjainl@gmail.com</t>
  </si>
  <si>
    <t>prasanthbafna@gmail.com</t>
  </si>
  <si>
    <t>AAKPM0629B</t>
  </si>
  <si>
    <t>HBC-VANNIYAR</t>
  </si>
  <si>
    <t>UDAMALPET</t>
  </si>
  <si>
    <t>JU/SET/PADM/18/178</t>
  </si>
  <si>
    <t>27.07.2018</t>
  </si>
  <si>
    <t>S MAHESWARI</t>
  </si>
  <si>
    <t>G JAYA KUMAR</t>
  </si>
  <si>
    <t>AENPJ4848N</t>
  </si>
  <si>
    <t>928087670366</t>
  </si>
  <si>
    <t>18/1, PRANAV, ICIAM, MAHALAKSHMI NAGAR, 1ST STREET, NEAR UGV GARDEN, KANNEGAM ROAD, TIRUPUR, TAMILNADU-641606</t>
  </si>
  <si>
    <t>MAHALAKSHMI NAGAR</t>
  </si>
  <si>
    <t>0421-4242745</t>
  </si>
  <si>
    <t>agatirupur@gmail.com</t>
  </si>
  <si>
    <t>CUMBUM</t>
  </si>
  <si>
    <t>GOWREDDY KRISHNAVENI</t>
  </si>
  <si>
    <t>GOWREDDY CHINNA MADDULETI REDDY</t>
  </si>
  <si>
    <t>AWQPG5974R</t>
  </si>
  <si>
    <t>826071345154</t>
  </si>
  <si>
    <t>PLOT NO.23, N/E, SAI PADMAVATHI COLONY, BACKSIDE B.N REDDY, FUNCTION HALL, ANMUGAL, HYDERABAD, HAYATHNAGAR-501505</t>
  </si>
  <si>
    <t>ANMUGAL</t>
  </si>
  <si>
    <t>HYATHNAGAR</t>
  </si>
  <si>
    <t>gowreddymanohar01@gmail.com</t>
  </si>
  <si>
    <t>BAHRAICH, U P</t>
  </si>
  <si>
    <t>JU/SET/PADM/18/525</t>
  </si>
  <si>
    <t>ANJANI GUPTA</t>
  </si>
  <si>
    <t>PRATEEK KUMAR GUPTA</t>
  </si>
  <si>
    <t>PHARMECIST</t>
  </si>
  <si>
    <t>206, VAZIR BAGH-2, BAHRAICH(D), UTTARPRADESH-271801</t>
  </si>
  <si>
    <t>449538441461</t>
  </si>
  <si>
    <t>VAZIR BAGH-2</t>
  </si>
  <si>
    <t>BAHRAICH</t>
  </si>
  <si>
    <t>ankurgupta25.98@gmail.com</t>
  </si>
  <si>
    <t>EIWPK0552H</t>
  </si>
  <si>
    <t>15.09.2000</t>
  </si>
  <si>
    <t>D LATHA</t>
  </si>
  <si>
    <t>D RAGHU RAMI REDDY(LATE)</t>
  </si>
  <si>
    <t>AHSPL5964D</t>
  </si>
  <si>
    <t>12-2-506/1, FLAT-G6, WINDSOR CASTLE APPTS, GUDIMAL KAPUR,MEHDIPETNAM, HYDERABAD</t>
  </si>
  <si>
    <t>GUDIMAL KAPUR</t>
  </si>
  <si>
    <t>MEHDIPETNAM</t>
  </si>
  <si>
    <t>niftydiran@gmail.com</t>
  </si>
  <si>
    <t>364223525904</t>
  </si>
  <si>
    <t>JU/SET/PADM/18/486</t>
  </si>
  <si>
    <t>KASSETTY SULOCHANA DEVI</t>
  </si>
  <si>
    <t>KASSETTY SUBBARAO</t>
  </si>
  <si>
    <t>BUSINESS(DAILY WAGE EARNER)</t>
  </si>
  <si>
    <t>CXQPK4153B</t>
  </si>
  <si>
    <t>306274860185</t>
  </si>
  <si>
    <t>D.NO-5-15-20, TRUNK ROAD, FIVE LAMPS STET KAVALI, NELLORE(D), ANDHRA PRADESH--524201</t>
  </si>
  <si>
    <t>KAVALI</t>
  </si>
  <si>
    <t>kassettysusmitha@gmail.com</t>
  </si>
  <si>
    <t>kassettykrishna@gmail.com</t>
  </si>
  <si>
    <t>TULSI THEATRE ROAD, MARATHAHALI MULTIPLEX, BANGALORE, KARNATAKA-560037</t>
  </si>
  <si>
    <t>08.08.2001</t>
  </si>
  <si>
    <t>TANUKIL</t>
  </si>
  <si>
    <t>JU/SET/PADM/18/249</t>
  </si>
  <si>
    <t>POTHAMSETTY SURYA KUMARI</t>
  </si>
  <si>
    <t>POTHAMSETTY NARSI REDDY</t>
  </si>
  <si>
    <t>820212402884</t>
  </si>
  <si>
    <t>2-84, RAMALAAYM STREAT, PENUMANTRAMANDAL, NATTARAMESWARAM, WEST GODAWARI, ANDHRA PRADESH-534124</t>
  </si>
  <si>
    <t>PENUMANTRA</t>
  </si>
  <si>
    <t>16, 23 MAIN ROAD, J P NAGAR, 6TH PHASE, NEAR NANDHINI HOTEL, BANGALORE, KARNATAKA-560078</t>
  </si>
  <si>
    <t>amarnathreddypothamsetti@gmail.com</t>
  </si>
  <si>
    <t>05.07.2000</t>
  </si>
  <si>
    <t>JU/SET/PADM/18/363</t>
  </si>
  <si>
    <t>JYOTI TRIVEDI</t>
  </si>
  <si>
    <t>VIVEK TRIVEDI</t>
  </si>
  <si>
    <t>TEACHER EDUCATOR</t>
  </si>
  <si>
    <t>FINANCIAL ADVISOR</t>
  </si>
  <si>
    <t>ABHPT5937D</t>
  </si>
  <si>
    <t>389132428350</t>
  </si>
  <si>
    <t>#257,24TH MAIN, 20TH CROSS, 3RD STAGE, C-BLOCK, VIJAYANAGAR, MYSORE-570030</t>
  </si>
  <si>
    <t>VIJAYANAGAR</t>
  </si>
  <si>
    <t>0821-2410067</t>
  </si>
  <si>
    <t>trivedi.jyoti@gmail.com</t>
  </si>
  <si>
    <t>manasvitrivedi@gmail.com</t>
  </si>
  <si>
    <t>23.06.2001</t>
  </si>
  <si>
    <t>CHAMA SUBBA NARASAMMA</t>
  </si>
  <si>
    <t>CHAMA SRINIVASULU REDDY</t>
  </si>
  <si>
    <t>AYFPH5364P</t>
  </si>
  <si>
    <t>310719495503</t>
  </si>
  <si>
    <t>NADIMPALLI, 2/10, O C COLONY, KADAPA, VONTIMITTA MANDAL, KADAPA DISTRICT, ANDHRA PRADESH-516213</t>
  </si>
  <si>
    <t>N G O COLONY, 40/39-2, NEAR CHINNACHOWK , POLICE STATION-516002</t>
  </si>
  <si>
    <t>harshachama143@gmail.com</t>
  </si>
  <si>
    <t>POTHU JEEVAN REDDY</t>
  </si>
  <si>
    <t>SRIJAN KUMAR SRIVASTAVA</t>
  </si>
  <si>
    <t>PAO,10th Marks Card,12th Marks Card, TC,Migration Certificate,Photos</t>
  </si>
  <si>
    <t>Pan &amp; Aadhar Card Copy</t>
  </si>
  <si>
    <t>12th Marks Card, Pan &amp; Aadhar Card Copy</t>
  </si>
  <si>
    <t>PAO,10th Marks Card,Photos ,TC,Migration Certificate,</t>
  </si>
  <si>
    <t>12th Marks Card,</t>
  </si>
  <si>
    <t>02.02.2001</t>
  </si>
  <si>
    <t>ODISSHA</t>
  </si>
  <si>
    <t>JU/SET/PADM/18/561</t>
  </si>
  <si>
    <t>SAROWATI DEVI</t>
  </si>
  <si>
    <t>HARI SANKAR SAW</t>
  </si>
  <si>
    <t>ARTPS1040G</t>
  </si>
  <si>
    <t>200881096698</t>
  </si>
  <si>
    <t>BANSJOR</t>
  </si>
  <si>
    <t>SIMDEGA</t>
  </si>
  <si>
    <t>AT-TARGA NUATOLI, BANSJOR, DIST-SIMDEGA, JHARKHAND-835226</t>
  </si>
  <si>
    <t>AT-BIRMITRAPUR, BHATIROAD, CITY-ROURKELA, SUNDAGARH, ODISHA-770033</t>
  </si>
  <si>
    <t>sakunravi@gmail.com</t>
  </si>
  <si>
    <t>okgunjan123@gmail.com</t>
  </si>
  <si>
    <t>16.05.2001</t>
  </si>
  <si>
    <t>CHITTELA SATYA</t>
  </si>
  <si>
    <t>CHITTELA VENKATA RAMANA REDDY</t>
  </si>
  <si>
    <t>357562411048</t>
  </si>
  <si>
    <t>7-77, INAMUKKALA(P), DORNALA(M), PRAKASAM(D), ANDHRA PRADESH-523331</t>
  </si>
  <si>
    <t>DORNALA</t>
  </si>
  <si>
    <t>FLAT NO.404, WHITE ROSE APARTMENT, VIJAYAPURI COLONY 'D' LINE, J K C COLLEGE MAIN ROAD, GUNTUR(D), ANDHRA PRADESH-522006</t>
  </si>
  <si>
    <t>dornalacoldstorage@gmail.com</t>
  </si>
  <si>
    <t>satvikreddy79@gmail.com</t>
  </si>
  <si>
    <t>AJYPR3300B</t>
  </si>
  <si>
    <t>04.12.1998</t>
  </si>
  <si>
    <t>BIRATNAGAR</t>
  </si>
  <si>
    <t>GOVERNMENT OF NEPAL MINISTRY OF EDUCATION</t>
  </si>
  <si>
    <t>JU/JR/NEPAL/408/2018/02</t>
  </si>
  <si>
    <t>RUPA DEVI RAY</t>
  </si>
  <si>
    <t>SHYAM KUMAR RAY</t>
  </si>
  <si>
    <t>BIRATNAGAR-13, MORANG, NEPAL</t>
  </si>
  <si>
    <t>BIRATHNAGAR-13</t>
  </si>
  <si>
    <t>MORANG</t>
  </si>
  <si>
    <t>OMBHAL-23, KATHMANDU, NEPAL</t>
  </si>
  <si>
    <t>1977-9841487444</t>
  </si>
  <si>
    <t>shyamkumaray@gmail.com</t>
  </si>
  <si>
    <t>SUGGUNA ANUSHA</t>
  </si>
  <si>
    <t>SUGGUNA MALLESWARA RAO</t>
  </si>
  <si>
    <t>678296433820</t>
  </si>
  <si>
    <t>S/O MALLESWAR RAO, D.NO.4-57/1, SUGGUNALANKA, KOLLOUR(MAD), GUNTUR(D), ANDHRA PRADESH-522301</t>
  </si>
  <si>
    <t>KOLLOUR</t>
  </si>
  <si>
    <t>kesavasai1297416@gmail.com</t>
  </si>
  <si>
    <t>S/O MALLESWAR RAO, D.NO.1-57/1, SUGGUNALANKA, KOLLOUR(MAD), GUNTUR(D), ANDHRA PRADESH-522301</t>
  </si>
  <si>
    <t>06.11.2001</t>
  </si>
  <si>
    <t>JU/SET/PADM/18/563</t>
  </si>
  <si>
    <t>TADIBOYINA SANTHI</t>
  </si>
  <si>
    <t>TADIBOYINA SESHU KUMAR</t>
  </si>
  <si>
    <t>977450722830</t>
  </si>
  <si>
    <t>D.NO.1-3-25, NEAR HINDI PREMI MANDAL, NAZARPET, KALIDASU STREET, TENALI, GUNTUR DISTRICT,ANDHRA PRADESH-522201</t>
  </si>
  <si>
    <t>SRI KRISHNA SMURTHI, #68, 1ST FLOOR, 6TH MAIN, 2ND A CROSS, GAURAVNAGAR, J P NAGAR, 7TH PHASE, BANGALORE-560078</t>
  </si>
  <si>
    <t>deepthi1816@gmail.com</t>
  </si>
  <si>
    <t>ramgopaltad.21@gmail.com</t>
  </si>
  <si>
    <t>ABWPL0083H</t>
  </si>
  <si>
    <t>PAO,10th Marks Card,12th Marks Card,TC,Photos , Pan Card Copy,Aadhar Card Copy</t>
  </si>
  <si>
    <t>JU/SET/PADM/18/137</t>
  </si>
  <si>
    <t>BENDAKAYALA KAREEMULLA BASHA</t>
  </si>
  <si>
    <t>JUNIOR LECTURER</t>
  </si>
  <si>
    <t>H.NO-29/55-1, TEKKE STREET, NANDYAL(P&amp; M),KURNOOL(D), ANDHRAPRADESH</t>
  </si>
  <si>
    <t>995599134588</t>
  </si>
  <si>
    <t>bashakareemulla@gmail.com</t>
  </si>
  <si>
    <t>shaiksabeeh@gmail.com</t>
  </si>
  <si>
    <t>BCZPB1994G</t>
  </si>
  <si>
    <t>KONGU</t>
  </si>
  <si>
    <t>JU/SET/UNI/18/174</t>
  </si>
  <si>
    <t>S THANGAVEL</t>
  </si>
  <si>
    <t>P THANGAVEL</t>
  </si>
  <si>
    <t>265325504755</t>
  </si>
  <si>
    <t>Q.NO.3A/7, RAJRAPPA PROJECT, RANCHI, JHARKAND-829150</t>
  </si>
  <si>
    <t>RAJRAPP PROJECT</t>
  </si>
  <si>
    <t>RANCHI</t>
  </si>
  <si>
    <t>thangavel108@gmail.com</t>
  </si>
  <si>
    <t>aakashkumar8038@gmail.com</t>
  </si>
  <si>
    <t>JU/SET/PADM/18/224</t>
  </si>
  <si>
    <t>28.07.2018</t>
  </si>
  <si>
    <t>GONA VENKATA SUBBAMMA</t>
  </si>
  <si>
    <t>GONA VENKATA SRINIVASA RAO</t>
  </si>
  <si>
    <t>335625054334</t>
  </si>
  <si>
    <t>S/O VENKATA SRINIVASA RAO, D.NO..1-44, SUGGUNALANKA, KOLLUR(M), GUNTUR(D), ANDHRA PRADESH-522301</t>
  </si>
  <si>
    <t>KOLLUR</t>
  </si>
  <si>
    <t>tarunsainaidugona@gmail.com</t>
  </si>
  <si>
    <t>PITTA MANI KIRAN GOUD</t>
  </si>
  <si>
    <t>NAYAK ABDUL KHALIQ</t>
  </si>
  <si>
    <t>NANDALUR</t>
  </si>
  <si>
    <t>JU/SET/PADM/18/376</t>
  </si>
  <si>
    <t>G SUNANDHA</t>
  </si>
  <si>
    <t>G PENCHAL REDDY</t>
  </si>
  <si>
    <t>BMWPG2240P</t>
  </si>
  <si>
    <t>586955812562</t>
  </si>
  <si>
    <t>2/54, NALLATHIMMAYAPALLI, NANDALUR(M), KADAPA(D), ANDHRA PRADESH-516151</t>
  </si>
  <si>
    <t>23reddy1981@gmail.com</t>
  </si>
  <si>
    <t>10th Marks Card,12th Marks Card</t>
  </si>
  <si>
    <t>PAO,TC,Migration Certificate,Photos,Pan &amp; Aadhar Card Copy</t>
  </si>
  <si>
    <t>MOMIN ANSAR</t>
  </si>
  <si>
    <t>30.06.1998</t>
  </si>
  <si>
    <t>MUHAMMADABAD</t>
  </si>
  <si>
    <t>BOARD OF HIGH SCHOOL AND INTERMEDIATE EDUCATION, UP</t>
  </si>
  <si>
    <t>JU/SET/UNI/18/169</t>
  </si>
  <si>
    <t>TAHIRA KHATOON</t>
  </si>
  <si>
    <t>SALAHUDDIN</t>
  </si>
  <si>
    <t>MORE THAN 3 LACK</t>
  </si>
  <si>
    <t>AXRPS9621D</t>
  </si>
  <si>
    <t>470636945544</t>
  </si>
  <si>
    <t>HAYATNAGAR (RASOOLPUR), MUHAMMADABAD GOHNA, DISTT-MAU, UTTAR PRADESH-276403</t>
  </si>
  <si>
    <t>HAYATNAGAR</t>
  </si>
  <si>
    <t>MAU</t>
  </si>
  <si>
    <t>misbahuddin021@gmail.com</t>
  </si>
  <si>
    <t>JU/SET/PADM/18/039</t>
  </si>
  <si>
    <t>SHAIK SHAKILA BEGUM</t>
  </si>
  <si>
    <t>SHAIK SHAFIVULLA</t>
  </si>
  <si>
    <t>546054794503</t>
  </si>
  <si>
    <t>D.NO.15/105, JINNA ROAD, OPP CANERA BANK, PRODDATUR, KADAPA (D), ANDHRA PRADESH-516360</t>
  </si>
  <si>
    <t>shuja644@gmail.com</t>
  </si>
  <si>
    <t>24.07.2000</t>
  </si>
  <si>
    <t>JU/SET/PADM/18/557</t>
  </si>
  <si>
    <t>G ANANTHA LAKSHMI</t>
  </si>
  <si>
    <t>LIC AGENT</t>
  </si>
  <si>
    <t>G SURENDRA (LATE)</t>
  </si>
  <si>
    <t>BNNPG3434M</t>
  </si>
  <si>
    <t>457312734822</t>
  </si>
  <si>
    <t>H.NO-2-95, KOTTHAPETA, CHINNAYAGUDEM VILLAGE, DEVARAPALLI MANDAL (WEST GODAWARI), ANDHRA PRADESH-534313</t>
  </si>
  <si>
    <t>DEVARAPALLI</t>
  </si>
  <si>
    <t>lakshmi3212692@gmail.com</t>
  </si>
  <si>
    <t>chand65160@gmail.com</t>
  </si>
  <si>
    <t>12th Marks Card, Migration Certificate,Photos</t>
  </si>
  <si>
    <t>PAO,10th Marks Card,TC, Pan Copy,Aadhar Card Copy</t>
  </si>
  <si>
    <t xml:space="preserve">12th Marks Card, </t>
  </si>
  <si>
    <t>PAO,10th Marks Crd, Photos,12th Marks Card, Migration Certificate,TC, PAN and Aadhar Card Copy</t>
  </si>
  <si>
    <t>30.07.2018</t>
  </si>
  <si>
    <t>JU/SET/PADM/18/567</t>
  </si>
  <si>
    <t>LATHA T R</t>
  </si>
  <si>
    <t>VIJAYA KUMAR G C</t>
  </si>
  <si>
    <t>ASSOCIATE PROFESSOR (RETIRED)</t>
  </si>
  <si>
    <t>541678116333</t>
  </si>
  <si>
    <t>3201, BEHIND ITI COLLEGE, HAROHALLI, RANGANATHA LAYOUT, HAROHALLI, RAMANAGAR, KARNATAKA-562112</t>
  </si>
  <si>
    <t>HAROHALLI</t>
  </si>
  <si>
    <t>gcvkumar54@gmail.com</t>
  </si>
  <si>
    <t>PAO, 10TH MC, PHOTOS, PAN COPY, AADHAR CAR D COPY</t>
  </si>
  <si>
    <t>12TH MC, TC</t>
  </si>
  <si>
    <t>AAHPV2159E</t>
  </si>
  <si>
    <t>JU/SET/PADM/18/089</t>
  </si>
  <si>
    <t>KUCHI SARASWATHI</t>
  </si>
  <si>
    <t>KUCHI MOHAN</t>
  </si>
  <si>
    <t>EKYPK8114F</t>
  </si>
  <si>
    <t>JAYA NAGAR, EAST END, C MAIN, D.NO.27/61, BANGALORE-560069</t>
  </si>
  <si>
    <t>chowdaryaahlad@gmail.com</t>
  </si>
  <si>
    <t>492604513195</t>
  </si>
  <si>
    <t>17.07.2000</t>
  </si>
  <si>
    <t>JU/SET/PADM/18/535</t>
  </si>
  <si>
    <t>31.07.2018</t>
  </si>
  <si>
    <t>POTHU INDIRAMMA</t>
  </si>
  <si>
    <t>POTHU ANJANEYULU</t>
  </si>
  <si>
    <t>813538976056</t>
  </si>
  <si>
    <t>9/18, THOLLAGANGANA PALLI, VALLUR, KADAPA, ANDHRA PRADESH-516002</t>
  </si>
  <si>
    <t>VALLUR</t>
  </si>
  <si>
    <t>5/525A, NEAR BLOOD BANK, NGO COLONY, KADAPA, ANDHRA PRADESH-516002</t>
  </si>
  <si>
    <t>9502952988/9666871870</t>
  </si>
  <si>
    <t>jeevanreddyroxx@gmail.com</t>
  </si>
  <si>
    <t>ACNPI8665E</t>
  </si>
  <si>
    <t>PAO,10th Marks Card,12th Marks Card,TC,Migration Certificate.Photos ,Pan and Aadhar Card Copy</t>
  </si>
  <si>
    <t>PAO,10th Marks Card,12th Marks Card, Transfer CertificateMigration Certificate,Photos,Pan &amp; Aadhar Card Copy</t>
  </si>
  <si>
    <t>04.08.2018</t>
  </si>
  <si>
    <t>JU/SET/PADM/18/569</t>
  </si>
  <si>
    <t>25.12.1999</t>
  </si>
  <si>
    <t>210273173171</t>
  </si>
  <si>
    <t>JU/SET/PADM/18/570</t>
  </si>
  <si>
    <t>KALPANA SRIVASTAVA</t>
  </si>
  <si>
    <t>SATISH CHANDRA SRIVASTAVA</t>
  </si>
  <si>
    <t>BRNPS2953P</t>
  </si>
  <si>
    <t>615240602112</t>
  </si>
  <si>
    <t>STAFF QUARTER F-1, SPORTS AUTHORITY OF INDIA, NSSC, SAROJINI NAGAR, KANPUR ROAD, LUCKNOW, UTTARPRADESH-226008</t>
  </si>
  <si>
    <t>satishsportslko@gmail.com</t>
  </si>
  <si>
    <t>srivastavasrijankumar@gmail.com</t>
  </si>
  <si>
    <t>25.04.2001</t>
  </si>
  <si>
    <t>NANDIKOTKUR</t>
  </si>
  <si>
    <t>JU/SET/PADM/18/467</t>
  </si>
  <si>
    <t>PITTA LAKSHMIDEVI</t>
  </si>
  <si>
    <t>PITTA MADDILETI GOUD</t>
  </si>
  <si>
    <t>CKVPG5790A</t>
  </si>
  <si>
    <t>467873780629</t>
  </si>
  <si>
    <t>HOUSE NO.1/157-16, NANDIKOTKUR, B R R NAGAR, KURNOOL ROAD, KURNOOL(D), ANDHRA PRADESH</t>
  </si>
  <si>
    <t>B R R NAGAR</t>
  </si>
  <si>
    <t>kiranmani317@gmail.com</t>
  </si>
  <si>
    <t>02.08.2018</t>
  </si>
  <si>
    <t>22.06.2001</t>
  </si>
  <si>
    <t>JU/SET/PADM/18/392</t>
  </si>
  <si>
    <t>03.08.2018</t>
  </si>
  <si>
    <t>NAYAK RESHMA BEGUM</t>
  </si>
  <si>
    <t>NAYAK ABDUL GAFFAR</t>
  </si>
  <si>
    <t>ADRPN2606F</t>
  </si>
  <si>
    <t>833767085205</t>
  </si>
  <si>
    <t>21/479, K H M STREET, PRODDATUR, KADAPA(D), ANDHRA PRADESH-516360</t>
  </si>
  <si>
    <t>nayakabdulkhali@gmail.com</t>
  </si>
  <si>
    <t>PAO,TC,Migration Certificate,Photos,Pan Copy, Aadhar Card Copy</t>
  </si>
  <si>
    <t>PAO,10th Marks Card,12th Marks Card, TC,Migration Certificate,Photos,Pan Copy, Aadhar Card copy</t>
  </si>
  <si>
    <t>BAVAN M Y</t>
  </si>
  <si>
    <t>CHEREDDY PANDARI PRANAY KUMAR REDDY</t>
  </si>
  <si>
    <t>PAO,10th Marks Card,TC,Migration Certificate,Photos, Aadhar Card copy</t>
  </si>
  <si>
    <t>PAO,10th Marks Card,TC,Migration Certificate,Photos, Pan Copy, Aadhar Card copy</t>
  </si>
  <si>
    <t>JU/SET/PADM/18/485</t>
  </si>
  <si>
    <t>N RADHA</t>
  </si>
  <si>
    <t>YADUNATH M V</t>
  </si>
  <si>
    <t>AALPY2898K</t>
  </si>
  <si>
    <t>303933871459</t>
  </si>
  <si>
    <t>NO.24, 9TH MAIN ROAD, PARIMALNAGARA, NANDINI LAYOUT, BANGALORE-560096</t>
  </si>
  <si>
    <t>080-23575807</t>
  </si>
  <si>
    <t>bavanyadunath91@gmail.com</t>
  </si>
  <si>
    <t>06.08.2018</t>
  </si>
  <si>
    <t>01.12.2001</t>
  </si>
  <si>
    <t>CHARADDY LAVANYA</t>
  </si>
  <si>
    <t>CHAREDDY MURALI MOHAN REDDY</t>
  </si>
  <si>
    <t>BAIPC7821A</t>
  </si>
  <si>
    <t>788605425338</t>
  </si>
  <si>
    <t>R R NURSING HOME, NEAR RTC BUSTANND, GIDDALUR, PRAKASAM (D), ANDHRA PRADESH-532357</t>
  </si>
  <si>
    <t>pandanad143@gmail.com</t>
  </si>
  <si>
    <t>10th Marks Card,Photos ,TC, Pan &amp; Aadhar Card Copy</t>
  </si>
  <si>
    <t>PAO,12th Marks Card, Migration Certificate</t>
  </si>
  <si>
    <t>PAO,10th Marks Card,12th Marks Card, Photos,Pan Copy, Aadhar Card copy</t>
  </si>
  <si>
    <t>05.08.2018</t>
  </si>
  <si>
    <t>PAO,10th Marks Card,Photos ,Pan &amp; Aadhar Card Copy,12th Marks Card,TC</t>
  </si>
  <si>
    <t>PAO,10th Marks Card,12th Marks Card, Migration Certificate, TC, Photos, Pan andAadhar Card Copy</t>
  </si>
  <si>
    <t>PAO,10th Marks Card,  TC,  Migration Certificate,Photos, Pan and Aadhar Card Copy</t>
  </si>
  <si>
    <t>TC,Aadhar Card Copy</t>
  </si>
  <si>
    <t>PAO,10th Marks Card,12th Marks Card,Migration Certificate,,Photos,Pan copy</t>
  </si>
  <si>
    <t>MALLEMULA BHAVANA</t>
  </si>
  <si>
    <t>ROHAN R M URANKAR</t>
  </si>
  <si>
    <t>POLEPALLI ANANYA</t>
  </si>
  <si>
    <t>RISHABH CHAURASIA</t>
  </si>
  <si>
    <t>MULINTI LAKSHMI PRIYADARSHINI</t>
  </si>
  <si>
    <t>SHETTY NIRVAAN SUJEET</t>
  </si>
  <si>
    <t>KEVIN ANDREW PAYYAPPILLY</t>
  </si>
  <si>
    <t>RE-ADMISSION</t>
  </si>
  <si>
    <t>MAHETA SOURAV BHUPESHBHAI</t>
  </si>
  <si>
    <t>KOORAPATI KOUSHIK KUMAR REDDY</t>
  </si>
  <si>
    <t>07.08.2018</t>
  </si>
  <si>
    <t>JU/SET/PADM/18/427</t>
  </si>
  <si>
    <t>MALLEMULA KALYANI</t>
  </si>
  <si>
    <t>MALLEMULA VENKATA RAMANA</t>
  </si>
  <si>
    <t>3 TO 4 LAKH</t>
  </si>
  <si>
    <t>877390479939</t>
  </si>
  <si>
    <t>FLAT NO.303, SSDPSR SROVAR, NEAR SAI BABA TEMPLE, YMR COLONY, PRODDATUR, KADAPA (D), ANDHRA PRADESH-516360</t>
  </si>
  <si>
    <t>vasaviramana69@gmail.com</t>
  </si>
  <si>
    <t>bhavanamallemula7@gmail.com</t>
  </si>
  <si>
    <t>AIWPM2862J</t>
  </si>
  <si>
    <t>NAMDEVS</t>
  </si>
  <si>
    <t>14.05.2000</t>
  </si>
  <si>
    <t>DAVANAGERE</t>
  </si>
  <si>
    <t>JU/SET/PADM/18/591</t>
  </si>
  <si>
    <t>REKHA</t>
  </si>
  <si>
    <t>M R RAMAMURTHY</t>
  </si>
  <si>
    <t>INDUSTRIAL ENGINEER</t>
  </si>
  <si>
    <t>AFCPR5403F</t>
  </si>
  <si>
    <t>550223463726</t>
  </si>
  <si>
    <t>D N 1216, 44TH CORSS, IST STAGE, KUMARA SWAMY LAYOUT, BANGALORE-560078</t>
  </si>
  <si>
    <t>KUMARASWAMY LAYOUT</t>
  </si>
  <si>
    <t>080-22964277</t>
  </si>
  <si>
    <t>ram.rekha.ram@gmail.com</t>
  </si>
  <si>
    <t>rohanrm123@gmail.com</t>
  </si>
  <si>
    <t>JU/SET/PADM/18/426</t>
  </si>
  <si>
    <t>POLEPALLI HARINI</t>
  </si>
  <si>
    <t>POLEPALLI RAMBABU</t>
  </si>
  <si>
    <t>ASDPP5858Q</t>
  </si>
  <si>
    <t>620674369638</t>
  </si>
  <si>
    <t>9/192, SRIRAMULAPET, PRODDATUR, KADAPA, ANDHRA PRADESH-516360</t>
  </si>
  <si>
    <t>ananyapolepalli16@gmail.com</t>
  </si>
  <si>
    <t>rambabupolepalli29@gmail.com</t>
  </si>
  <si>
    <t>CHAURASIA</t>
  </si>
  <si>
    <t>JU/SET/UNI/18/175</t>
  </si>
  <si>
    <t>GEETA CHAURASIA</t>
  </si>
  <si>
    <t>SANJAY CHAURASIA</t>
  </si>
  <si>
    <t>ASSISTANT COMPUTER PROGRAMMER (GOVT)</t>
  </si>
  <si>
    <t>E-31, SECTOR-G, OPPOSITE TO M G CONVENT SCHOOL,L D A COLONY, KANPUR ROAD, LUCKNOW</t>
  </si>
  <si>
    <t>L D A COLONY</t>
  </si>
  <si>
    <t xml:space="preserve"> KANPUR </t>
  </si>
  <si>
    <t>G-503, PURVA FOUNTAIN SQUARE, MARATHALLI, BANGALORE-560037</t>
  </si>
  <si>
    <t>geetu.c67@gmail.com</t>
  </si>
  <si>
    <t>rishabhraj280@gmail.com</t>
  </si>
  <si>
    <t>600264222841</t>
  </si>
  <si>
    <t>AIHPC7164N</t>
  </si>
  <si>
    <t>JU/SET/JET/18/070</t>
  </si>
  <si>
    <t>M RENUKA DEVI</t>
  </si>
  <si>
    <t>M PRATAP REDDY</t>
  </si>
  <si>
    <t>AFVPM2899D</t>
  </si>
  <si>
    <t>611390525589</t>
  </si>
  <si>
    <t>F NO.201, SAI VAIBHAV APP, BALAJI NAGAR, KURNOOL, ANDHRA PRADESH-518004</t>
  </si>
  <si>
    <t>lakshmipriyamu2000@gmail.com</t>
  </si>
  <si>
    <t>12th Marks Card,Photos</t>
  </si>
  <si>
    <t>PAO,10th Marks Card,TC, Pan Copy, Aadhar Card copy</t>
  </si>
  <si>
    <t>DHODIA</t>
  </si>
  <si>
    <t>BAMANIYA, SURAT</t>
  </si>
  <si>
    <t>M068251</t>
  </si>
  <si>
    <t>JU/SET/JET/18/594</t>
  </si>
  <si>
    <t>HEMLATA BHUPESHKUMAR MAHETA</t>
  </si>
  <si>
    <t>BHUPESHKUMAR UKABHAI MAHETA</t>
  </si>
  <si>
    <t>531192061381</t>
  </si>
  <si>
    <t>A-001, OLIVE BUILDING, YASHWANT NAGAR, VIRAR WEST, THANE, MAHARASHTRA-401303</t>
  </si>
  <si>
    <t>SRI SAI BALAJI PG, INDHIRA GANDHI CIRCLE, J P NAGAR, 1ST PHASE, BANGALORE-560078</t>
  </si>
  <si>
    <t>bumaheta@gmail.com</t>
  </si>
  <si>
    <t>ADHPM5510D</t>
  </si>
  <si>
    <t>sourav.maheta676@gmail.com</t>
  </si>
  <si>
    <t>BUNT</t>
  </si>
  <si>
    <t>JU/SET/PADM/18/597</t>
  </si>
  <si>
    <t xml:space="preserve">RITA S SHETTY </t>
  </si>
  <si>
    <t>MEDIA OPERATIONS</t>
  </si>
  <si>
    <t>SUJEET SHETTY</t>
  </si>
  <si>
    <t>MUSIC COMPOSER</t>
  </si>
  <si>
    <t>CHVPS8692C</t>
  </si>
  <si>
    <t>428468309294</t>
  </si>
  <si>
    <t>A/404, MAROL HILL VIEW, MILITARY ROAD, MAROL, ANDHERI(EAST), MUMBAI, MAHARASHTRA-400059</t>
  </si>
  <si>
    <t>ANDHERI(EAST)</t>
  </si>
  <si>
    <t>rita_9099@hotmail.com</t>
  </si>
  <si>
    <t>nirvaanshetty@gmail.com</t>
  </si>
  <si>
    <t>17.04.1999</t>
  </si>
  <si>
    <t>JU/SET/PADM/18/499</t>
  </si>
  <si>
    <t>BINDHU ANDREW</t>
  </si>
  <si>
    <t>P R ANDREW STANLEY</t>
  </si>
  <si>
    <t>RESTAURENT MANAGER</t>
  </si>
  <si>
    <t>833387283766</t>
  </si>
  <si>
    <t>NO.26, SHANTI RATHNA, GOODU, NAZARATH ENCLAVE, VADARAPALYA, BANGALORE-560043</t>
  </si>
  <si>
    <t>VADARAPALYA</t>
  </si>
  <si>
    <t>PAO,10th Marks Card,12th Marks Card, TC,Photos,Pan copy</t>
  </si>
  <si>
    <t>CIIPB1363D</t>
  </si>
  <si>
    <t>1203-4519174</t>
  </si>
  <si>
    <t>kevinpayyappilly343@gmail.com</t>
  </si>
  <si>
    <t>JU/SET/PADM/18/356</t>
  </si>
  <si>
    <t>KOORAPATI PARVATHI</t>
  </si>
  <si>
    <t>KOORAPATI VENKATA RAMI REDDY</t>
  </si>
  <si>
    <t>723293349492</t>
  </si>
  <si>
    <t>kvrreddy1204@gmail.com</t>
  </si>
  <si>
    <t>koushikkumar1807@gmail.com</t>
  </si>
  <si>
    <t>D.NO 9-127, SREERAMULAPET, PRODDATUR, KADAPA DISTRICT, ANDHRA PRADESH</t>
  </si>
  <si>
    <t>PAO,10th Marks Card,TC,Photos,Aadhar Card Copy,Pan Copy</t>
  </si>
  <si>
    <t>BHIMAVARAM</t>
  </si>
  <si>
    <t>AEWPS9102D</t>
  </si>
  <si>
    <t>PAO,10th Marks Card,12th Marks Card, TC,Migration Certificate,Aadhar Card Copy,Photos,Pan Copy</t>
  </si>
  <si>
    <t>PAO,10th Marks Card, Caste Certificate, TC, Migration Certificate, Photos, Aadhar Card Copy</t>
  </si>
  <si>
    <t>PAO,10th Marks Card, Caste &amp; Income Certificate, TC, Migration Certificate,Photos, Aadhar Card Copy</t>
  </si>
  <si>
    <t>PAO,10th Marks Card,Photos ,TC, Pan &amp; Aadhar Card Copy,12th Marks Card, Migration Certificate</t>
  </si>
  <si>
    <t>PAO,10th Marks Card,Photos ,TC,  Migration Certificate,Pan &amp; Aadhar Card Copy</t>
  </si>
  <si>
    <t>PAO,10th Marks Card,12th Marks Card, Photos ,Migration Certificate,TC,  Aadhar Card Copy,Pan Copy</t>
  </si>
  <si>
    <t>LAKKIREDDYGARI BHARATH KUMAR REDDY</t>
  </si>
  <si>
    <t>ATISHAY JAIN</t>
  </si>
  <si>
    <t>OGODE TIMOTHY SEWE</t>
  </si>
  <si>
    <t>KENYA</t>
  </si>
  <si>
    <t>BHAVANA A HIREMATH</t>
  </si>
  <si>
    <t>L SUMITRA</t>
  </si>
  <si>
    <t>L ANANTHA PADMANABHA REDDY</t>
  </si>
  <si>
    <t>310831979351</t>
  </si>
  <si>
    <t>2-217, ANUGONDA(V), KODUMUR(M), KURNOOL(D), ANDHRA PRADESH-518468</t>
  </si>
  <si>
    <t>KODUMUR</t>
  </si>
  <si>
    <t>lakkireddybharath02@gmail.com</t>
  </si>
  <si>
    <t>09.08.2018</t>
  </si>
  <si>
    <t>SAGAR</t>
  </si>
  <si>
    <t>JU/SET/PADM/18/598</t>
  </si>
  <si>
    <t>RANI JAIN</t>
  </si>
  <si>
    <t>AFSPJ4381A</t>
  </si>
  <si>
    <t>485036706001</t>
  </si>
  <si>
    <t>S/O RAJEEV JAIN, RAJDHANI CHAT CENTER, VARNI COLONY, SAGAR, SAGAR CITY, MADHYA PRADESH-470002</t>
  </si>
  <si>
    <t>VARNI COLONY</t>
  </si>
  <si>
    <t>rajeevrajdhani5590@gmail.com</t>
  </si>
  <si>
    <t>stishay659@gmail.com</t>
  </si>
  <si>
    <t>KENYAN</t>
  </si>
  <si>
    <t>PENTECASTAL</t>
  </si>
  <si>
    <t>09.04.1998</t>
  </si>
  <si>
    <t>NAIROBHI, KENYA</t>
  </si>
  <si>
    <t>SWAHILI</t>
  </si>
  <si>
    <t>39700001//343</t>
  </si>
  <si>
    <t>KENYA CERTIFICATE OF SECONDARY EDUCATION</t>
  </si>
  <si>
    <t>GRADE-C+</t>
  </si>
  <si>
    <t>JU/JR/KENYA/10/2018/02</t>
  </si>
  <si>
    <t>MARGARET AKOTH OGODE</t>
  </si>
  <si>
    <t>SECRETORY</t>
  </si>
  <si>
    <t>GEORGE OGODE ONYANGO</t>
  </si>
  <si>
    <t>CIVIL SERVANT</t>
  </si>
  <si>
    <t>92600 KSH</t>
  </si>
  <si>
    <t>P O BOX-51281-00200, NAIROBI, KENYA</t>
  </si>
  <si>
    <t>NAIROBI</t>
  </si>
  <si>
    <t>25470-4402512</t>
  </si>
  <si>
    <t>2547-22721129</t>
  </si>
  <si>
    <t>25477-5855740</t>
  </si>
  <si>
    <t>g_onyango@yahoo.com</t>
  </si>
  <si>
    <t>timsewe.ts@gmail.com</t>
  </si>
  <si>
    <t>PAO, 10th, 12th Marks Card, TC, Photos</t>
  </si>
  <si>
    <t>22.08.1999</t>
  </si>
  <si>
    <t>MUDDEBIHAL</t>
  </si>
  <si>
    <t>VIJAYALAXMI</t>
  </si>
  <si>
    <t>AJAY HIREMATH (LATE)</t>
  </si>
  <si>
    <t>AFWPV7668E</t>
  </si>
  <si>
    <t>300384887216</t>
  </si>
  <si>
    <t>#13, SALUDODDI VILLAGE, NEAR ART OF LIVING INTERNATIONAL CENTRE, BANGALORE-560082</t>
  </si>
  <si>
    <t>SALUDODDI VILLAGE</t>
  </si>
  <si>
    <t>vijayalaxmi77@gmail.com</t>
  </si>
  <si>
    <t>bhavana2277@gmail.com</t>
  </si>
  <si>
    <t>10.08.2018</t>
  </si>
  <si>
    <t>KATHMANDU</t>
  </si>
  <si>
    <t>SHALINI MENON</t>
  </si>
  <si>
    <t>JU/SET/UNI/18/157</t>
  </si>
  <si>
    <t>VINEETHA M</t>
  </si>
  <si>
    <t>PRASAD A D (LATE)</t>
  </si>
  <si>
    <t>ALWPV2700M</t>
  </si>
  <si>
    <t>410308374507</t>
  </si>
  <si>
    <t>#72/8/2, ASKHMI NARASIMHA NILAYA, 4TH CROSS, CHRIST SCHOOL ROAD, BHAWANI NAGAR, DRC POST, BANGALORE-560029</t>
  </si>
  <si>
    <t>BHAWANI NAGAR</t>
  </si>
  <si>
    <t>shalinimenon.sash@gmail.com</t>
  </si>
  <si>
    <t>HARSH ANAND</t>
  </si>
  <si>
    <t>SONAR</t>
  </si>
  <si>
    <t>21.03.2000</t>
  </si>
  <si>
    <t>JU/JR/NEPAL/390/2018/01</t>
  </si>
  <si>
    <t>11.08.2018</t>
  </si>
  <si>
    <t>SHWETA KUMARI</t>
  </si>
  <si>
    <t>PRASHANT KUMAR</t>
  </si>
  <si>
    <t>324184965423</t>
  </si>
  <si>
    <t>301, INDRA EYSIUM APT., JAGATNARAYAN ROAD, KADAMKUAN, PATNA, BIHAR-800003</t>
  </si>
  <si>
    <t>KADAMKUAN</t>
  </si>
  <si>
    <t>PATANGINI MARG, GANABAHAL, KATHMANDU, NEPAL</t>
  </si>
  <si>
    <t>977-9851059735</t>
  </si>
  <si>
    <t>977-9849244388</t>
  </si>
  <si>
    <t>prashantk838@gmail.com</t>
  </si>
  <si>
    <t>harshanand120@gmail.com</t>
  </si>
  <si>
    <t>JONY GHOSH</t>
  </si>
  <si>
    <t>BANGLADESH</t>
  </si>
  <si>
    <t>BANGLADESHI</t>
  </si>
  <si>
    <t>BOARD OF INTERMEDIATE AND SECONDARY EDUCATION, JESSORE, BANGLADESH</t>
  </si>
  <si>
    <t>JU/JR/BANGADESH/51/2018/03</t>
  </si>
  <si>
    <t>13.08.2018</t>
  </si>
  <si>
    <t>PIA RANI GHOSH</t>
  </si>
  <si>
    <t>JOGESH CHANDRA GHOSH</t>
  </si>
  <si>
    <t>JAGONNATHPUR, DEBHATA, SATKHIRA, BANGLADESH</t>
  </si>
  <si>
    <t>DEBHATA</t>
  </si>
  <si>
    <t>SATKHIRA</t>
  </si>
  <si>
    <t>8801-712534202</t>
  </si>
  <si>
    <t>8801-728259935</t>
  </si>
  <si>
    <t>jony.ghosh98@gmail.com</t>
  </si>
  <si>
    <t>PAO, 10th MC, 12th MC, TC, Photos</t>
  </si>
  <si>
    <t xml:space="preserve">NON JET </t>
  </si>
  <si>
    <t>SAREDDY MADHU BHARGAVA GANESH REDDY</t>
  </si>
  <si>
    <t>BASODE SUNIL</t>
  </si>
  <si>
    <t>MUPPAGOWNI SAINIKHIL GOWD</t>
  </si>
  <si>
    <t>EPPE SURENDRA</t>
  </si>
  <si>
    <t>MULA VAMSI KRISHNA</t>
  </si>
  <si>
    <t>tc received from the college</t>
  </si>
  <si>
    <t>PAO,10th Marks Card,12th Marks Card,Transfer Certificate, Caste Certificate,Photos,Pan &amp; Aadhar Card Copy</t>
  </si>
  <si>
    <t>CVHPK0023P</t>
  </si>
  <si>
    <t>PAO,10th Marks Card,Photos ,Migration Certificate, Pan Copy,TC,Aadhar Card Copy</t>
  </si>
  <si>
    <t>PAO,10th Marks Card,12th MC, Photos ,Pan &amp; Aadhar Card Copy,Transfer Certificate,Migration Certificate</t>
  </si>
  <si>
    <t>JU/SET/PADM/18/214</t>
  </si>
  <si>
    <t>14.08.2018</t>
  </si>
  <si>
    <t>SAREDDY SULOCHANAMMA</t>
  </si>
  <si>
    <t>SAREDDY SEKHAR REDDY</t>
  </si>
  <si>
    <t>BISPR6382P</t>
  </si>
  <si>
    <t>630701014542</t>
  </si>
  <si>
    <t>ganeshreddy2000s@gmail.com</t>
  </si>
  <si>
    <t>H.NO.475/A, AYYALARU METTA(V), NANDYAL(M), KURNOOL(D), ANDHRAPRADESH-518502</t>
  </si>
  <si>
    <t>JU/SET/UNI/18/176</t>
  </si>
  <si>
    <t>B AMBANNA</t>
  </si>
  <si>
    <t>B SHARADHA</t>
  </si>
  <si>
    <t>BELOW 3 LACKH</t>
  </si>
  <si>
    <t>BDKPA5617H</t>
  </si>
  <si>
    <t>758317876506</t>
  </si>
  <si>
    <t>H.NO.49/1A-250, MADDUR NAGAR, KURNOOL, ANDHRA PRADESH-518002</t>
  </si>
  <si>
    <t>MADDUR NAGAR</t>
  </si>
  <si>
    <t>bsunil135@gmail.com</t>
  </si>
  <si>
    <t>chotavinay741@gmail.com</t>
  </si>
  <si>
    <t>MORLA GIRISH CHANDRA</t>
  </si>
  <si>
    <t>MUDIT GUPTA</t>
  </si>
  <si>
    <t>JU/SET/JET/18/179</t>
  </si>
  <si>
    <t>MUPPAGOWNI VENKATESWARLU</t>
  </si>
  <si>
    <t>R D OFFICER</t>
  </si>
  <si>
    <t>L I C AENT</t>
  </si>
  <si>
    <t>AHJPM9611P</t>
  </si>
  <si>
    <t>943709360312</t>
  </si>
  <si>
    <t>YADIKI</t>
  </si>
  <si>
    <t>0855-8277599</t>
  </si>
  <si>
    <t>venkateshlic71@gmail.com</t>
  </si>
  <si>
    <t>gowd.msn@gmail.com</t>
  </si>
  <si>
    <t>GANDLURI SULOCHANAMMA</t>
  </si>
  <si>
    <t>D.NO-4-97, RAYALACHERUVU(V), NEAR OLD KALYANAMANDAPAM, YADIKI(M), ANANTHAPUR(D), ANDHRA PRADESH(S)-515455</t>
  </si>
  <si>
    <t>BUDAGA JANGAM</t>
  </si>
  <si>
    <t>JU/SET/PADM/18/217</t>
  </si>
  <si>
    <t>EPPE JAMMAKKA</t>
  </si>
  <si>
    <t>EPPE NARASAPPA</t>
  </si>
  <si>
    <t>CEMPP8981H</t>
  </si>
  <si>
    <t>970246696930</t>
  </si>
  <si>
    <t>D. NO-3-199, KALLUMADI(V), ANANTAPUR(D), ANDHRA PRADESH-515611</t>
  </si>
  <si>
    <t>KALLUMADI</t>
  </si>
  <si>
    <t>3924surendra@gmail.com</t>
  </si>
  <si>
    <t>surendra3924@gmail.com</t>
  </si>
  <si>
    <t>JU/SET/JET/18/178</t>
  </si>
  <si>
    <t>MULA PADMA</t>
  </si>
  <si>
    <t>MULA PURUSHOTHAM</t>
  </si>
  <si>
    <t>CYOPP3401N</t>
  </si>
  <si>
    <t>331552710893</t>
  </si>
  <si>
    <t>MANOJ COOL DRINKS, MAIN ROAD, ATMAKUR(M&amp;P),ANANTAPUR(D), ANDHRA PRADESH</t>
  </si>
  <si>
    <t>vamsikrishnamula6@gmial.com</t>
  </si>
  <si>
    <t>16.08.2018</t>
  </si>
  <si>
    <t>11.09.2001</t>
  </si>
  <si>
    <t>JU/SET/PADM/18/613</t>
  </si>
  <si>
    <t>UPPALA SIVA LAKSHMI</t>
  </si>
  <si>
    <t>MORLA MURLIDHARA RAO</t>
  </si>
  <si>
    <t>ANOPM4221G</t>
  </si>
  <si>
    <t>589848434486</t>
  </si>
  <si>
    <t>27-495, GOUTAMBUDDHA ROAD, RAJEEV GRUHA KALPA ROAD, MAGALAGIRI, GUNTUR(D), ANDHRA PRADESH-522503</t>
  </si>
  <si>
    <t>MAGALAGIRI</t>
  </si>
  <si>
    <t>muralidharararao@gmail.com</t>
  </si>
  <si>
    <t>girishmorla1@gmail.com</t>
  </si>
  <si>
    <t>10th Marks Card,TC,Photos,Aadhar Card copy</t>
  </si>
  <si>
    <t>PAO,Pan Copy,12th Marks Card, Migration Certificate</t>
  </si>
  <si>
    <t>GARG</t>
  </si>
  <si>
    <t>JU/SET/PADM/18/611</t>
  </si>
  <si>
    <t>SAROJ GUPTA</t>
  </si>
  <si>
    <t>NEERAJ GUPTA</t>
  </si>
  <si>
    <t>ABWPG8274D</t>
  </si>
  <si>
    <t>472099156155</t>
  </si>
  <si>
    <t>#11/4, SUHAG BHAVAN, 19TH CROSS, 24TH MAIN ROAD (END), J P NAGAR 5TH PHASE, BANGALORE-560078</t>
  </si>
  <si>
    <t>J P NAGAR 5TH PHASE</t>
  </si>
  <si>
    <t>salony73@gmail.com</t>
  </si>
  <si>
    <t>muditngupta9@gmail.com</t>
  </si>
  <si>
    <t>12th Marks Card, Caste Certificate</t>
  </si>
  <si>
    <t>VIGNESHWARA C</t>
  </si>
  <si>
    <t>JU/SET/PADM/18/610</t>
  </si>
  <si>
    <t>20.08.2018</t>
  </si>
  <si>
    <t>SIVAKAMI C</t>
  </si>
  <si>
    <t>CHANDRASEKARAN M</t>
  </si>
  <si>
    <t>CEMENT ENGINEER</t>
  </si>
  <si>
    <t>ASDPC2028D</t>
  </si>
  <si>
    <t>618584452339</t>
  </si>
  <si>
    <t>42, PASUPATHI NAGAR, V K M COMPLEX, PUGALUR, KARUR(D), TAMILNADU-639113</t>
  </si>
  <si>
    <t>PUGALUR</t>
  </si>
  <si>
    <t>chevidq@gmail.com</t>
  </si>
  <si>
    <t>vignesh_chan@rediffmail.com</t>
  </si>
  <si>
    <t>POLA SAI AKSHAY</t>
  </si>
  <si>
    <t>GUNTAKAL</t>
  </si>
  <si>
    <t>JU/SET/UNI/18/123</t>
  </si>
  <si>
    <t>POLA BHARATHI</t>
  </si>
  <si>
    <t>POLA SATEESH</t>
  </si>
  <si>
    <t>277601932930</t>
  </si>
  <si>
    <t>BBGPS9883P</t>
  </si>
  <si>
    <t>D.NO.15/187, GANDHI CHOWK, RT.STREET, GUNTAKAL, ANANTAPUR(D), ANDHR PRADESH-515801</t>
  </si>
  <si>
    <t>polasateeshu@gmail.com</t>
  </si>
  <si>
    <t>polasaiakshay@gmail.com</t>
  </si>
  <si>
    <t>08552-226428/220275</t>
  </si>
  <si>
    <t>KAMADI ABHISHEK BALARAM RAJU</t>
  </si>
  <si>
    <t>AGNI KULSHAKTHI</t>
  </si>
  <si>
    <t>29.06.2000</t>
  </si>
  <si>
    <t>OB'+'ve</t>
  </si>
  <si>
    <t>KAMADI PADMAVATHI</t>
  </si>
  <si>
    <t>KAMADI RUSHENDRA VARMA</t>
  </si>
  <si>
    <t>BKCPK0971P</t>
  </si>
  <si>
    <t>655529687620</t>
  </si>
  <si>
    <t>10-1-40/1, MEHAR NAGAR, NEAR VINAYAKA TEMPLE, OLD GAJUWAKA, VISAKHAPATNAM, ANDHRA PRADESH-530026</t>
  </si>
  <si>
    <t>GAJUWAKA</t>
  </si>
  <si>
    <t>metrovarma@gmail.com</t>
  </si>
  <si>
    <t>visitatabhi29@gmail.com</t>
  </si>
  <si>
    <t>10th Marks Card,TC,,Migration Certificate,Photos, Pan Copy, Aadhar Card copy</t>
  </si>
  <si>
    <t>PAO,10th Marks Card,TC,Migration Certificate,Photos, Aadhar Card copy, Pan Copy</t>
  </si>
  <si>
    <t>CFFPS7575L</t>
  </si>
  <si>
    <t>PAO,10th Marks Card,TC, Aadhar Card Copy, Migration Certificate,Photos ,Pan Copy</t>
  </si>
  <si>
    <t>PAO,10th Xerox copy, 12th Marks Card, TC, Migration Certificate, Photos,Aadhar card copy</t>
  </si>
  <si>
    <t>AHGPL8438E</t>
  </si>
  <si>
    <t>PAO,10th Marks Card,Photos ,TC, Aadhar Card Copy, Pan Copy</t>
  </si>
  <si>
    <t>12th Marks Card,original PAO ME-DS</t>
  </si>
  <si>
    <t>HITESH KUMAR</t>
  </si>
  <si>
    <t>MANTENA DURGA POOJITHA</t>
  </si>
  <si>
    <t xml:space="preserve">PAO,10th Marks Card,12th Marks Card, Photos,Aadhar Card Copy,TC,Migration Certificate,Pan Copy </t>
  </si>
  <si>
    <t>21.08.2018</t>
  </si>
  <si>
    <t>JU/SET/PADM/18/401</t>
  </si>
  <si>
    <t>KAVITHA K</t>
  </si>
  <si>
    <t>MANOJ KUMAR N</t>
  </si>
  <si>
    <t>PROJECT MANAGEMENT</t>
  </si>
  <si>
    <t>DNFPK8724L</t>
  </si>
  <si>
    <t>E-403, SURAJ GANGA SOCRATES, VAJRAHALLI, KANAKAPURA ROAD, KARNATAKA-560062</t>
  </si>
  <si>
    <t>VAJRAHALLI</t>
  </si>
  <si>
    <t>kavima2@gmail.com</t>
  </si>
  <si>
    <t>hitucool10@gmail.com</t>
  </si>
  <si>
    <t>212643603203</t>
  </si>
  <si>
    <t>JU/SET/PADM/18/614</t>
  </si>
  <si>
    <t>DEVI</t>
  </si>
  <si>
    <t>SATYA SRINIVASA VARMA</t>
  </si>
  <si>
    <t>BFRPM5136G</t>
  </si>
  <si>
    <t>475242831032</t>
  </si>
  <si>
    <t>D2, SAI SRI APPT, OPP ANDHRA BANK, DNR COLLEGE ROAD, BHIMAVARAM, ANDHRA PRADESH-534201</t>
  </si>
  <si>
    <t>DNR COLLEGE ROAD</t>
  </si>
  <si>
    <t>PRESTIGE TRANQUILITY, BUDAGERE CROSS, K R PURAM, BANGALORE, KARNATAKA-560078</t>
  </si>
  <si>
    <t>poojithamantena1@gmail.com</t>
  </si>
  <si>
    <t>NATIONAL EXAMINATION BOARD, KATHMANDU</t>
  </si>
  <si>
    <t>JU/SET/PADM/18/621</t>
  </si>
  <si>
    <t>28.08.2018</t>
  </si>
  <si>
    <t>ALL Original Documents</t>
  </si>
  <si>
    <t>VARUN S</t>
  </si>
  <si>
    <t>31.08.2018</t>
  </si>
  <si>
    <t>BOYAR</t>
  </si>
  <si>
    <t>JU/SET/PADM/18/627</t>
  </si>
  <si>
    <t>ARTHI S</t>
  </si>
  <si>
    <t>CHANDHRASHEKAR E</t>
  </si>
  <si>
    <t>DGMPS3894B</t>
  </si>
  <si>
    <t>339049110873</t>
  </si>
  <si>
    <t>NEW MULLAI NAGAR, III STREET, RAJEEV GANDHI ROAD, GANAPATHY, COIMBATORE, TAMILNADU-641006</t>
  </si>
  <si>
    <t>NEW MULLAI NAGAR</t>
  </si>
  <si>
    <t>veshwaranandco@gmail.com</t>
  </si>
  <si>
    <t>vaun2000s7@gmail.com</t>
  </si>
  <si>
    <t>PAO, 10th MC, 12th MC, TC, Migration Certificate,Photos, Pan and Aadhar Card Copy</t>
  </si>
  <si>
    <t>Supply 12th MC</t>
  </si>
  <si>
    <t>PAO,10th Marks Card, 12th Marks Card,Migration Certificate,Photos ,TC, Pan &amp; Aadhar Card Copy</t>
  </si>
  <si>
    <t>PAO,10th Marks Card,12th Marks Card, TC,Photos,Pan Card Copy,Migration Certificate,Aadhar Card Copy</t>
  </si>
  <si>
    <t>835060648365</t>
  </si>
  <si>
    <t>CVRPP8233N</t>
  </si>
  <si>
    <t>PAO,10th Marks Card,Photos ,TC,  Migration Certificate, Aadhar Card Copy</t>
  </si>
  <si>
    <t>12th MC</t>
  </si>
  <si>
    <t>PAO, 10th MC, TC, Migaratrion Certificate, Photos, Aadhar Card Copy, Pan Copy</t>
  </si>
  <si>
    <t>12th MC, Migration Cer</t>
  </si>
  <si>
    <t>PAO,10th Marks CrdMigration Certificate,Photos,Pan and Aadhar Card Copy</t>
  </si>
  <si>
    <t>PAO,10th Marks Card,12th Marks Card,TC, Photos,Pan Copy, Aadhar Card copy</t>
  </si>
  <si>
    <t>AHMAD RASHID AKHTAR</t>
  </si>
  <si>
    <t>AFGHANISTAN</t>
  </si>
  <si>
    <t>SURENDRA DAS</t>
  </si>
  <si>
    <t>RISHAB SURESH</t>
  </si>
  <si>
    <t>NRI- ETHIOPIA</t>
  </si>
  <si>
    <t>07.09.2018</t>
  </si>
  <si>
    <t>15.12.1999</t>
  </si>
  <si>
    <t>KABUL</t>
  </si>
  <si>
    <t>DARI</t>
  </si>
  <si>
    <t>ISLAMIC REPULIC OF AFGHANISTAN, MINISTRY OF EDUCATION SECONDARY SCHOOL TRANSCRIPT</t>
  </si>
  <si>
    <t>JU/JR/AFGHANISTAN/22/2018/01</t>
  </si>
  <si>
    <t>LATIFA</t>
  </si>
  <si>
    <t>MOHAMMAD YONOS</t>
  </si>
  <si>
    <t>20000$</t>
  </si>
  <si>
    <t>HOUSE NO.102, DEHBORI, DISTRICT 3RD, KABUL, AFGHANISTAN-1006</t>
  </si>
  <si>
    <t>DEHBORII</t>
  </si>
  <si>
    <t>93-799406173</t>
  </si>
  <si>
    <t>91-9953497693</t>
  </si>
  <si>
    <t>yusuf_jawan@yahoo.com</t>
  </si>
  <si>
    <t>rashedakhtar8@gmail.com</t>
  </si>
  <si>
    <t>PAO,10th,12th MC, Photos</t>
  </si>
  <si>
    <t>BHOJPURI</t>
  </si>
  <si>
    <t>GPA-3.50</t>
  </si>
  <si>
    <t>PARBATI DEVI</t>
  </si>
  <si>
    <t>SURESH DAS</t>
  </si>
  <si>
    <t>695961739968</t>
  </si>
  <si>
    <t>SINGHPUR HARAIYA</t>
  </si>
  <si>
    <t>EAST CHAMPARAN</t>
  </si>
  <si>
    <t>KATYAYENI CHOWK, BANESHWAR, KATHMANDU, NEPAL-44600</t>
  </si>
  <si>
    <t>977-9841506306</t>
  </si>
  <si>
    <t>surendradas9813@gmail.com</t>
  </si>
  <si>
    <t>JU/JR/NEPAL/361/2018/02</t>
  </si>
  <si>
    <t>WARD NO.05, BAIRIYA BUT, PO-SINGHPUR, HARIYA, EAST CHAMPARAN, BIHAR-845305</t>
  </si>
  <si>
    <t>INTERNATIONAL COMMUNITY SCHOOL OF ADDIS ABABA</t>
  </si>
  <si>
    <t>ETHIOPIA</t>
  </si>
  <si>
    <t>PREETHA SURESH</t>
  </si>
  <si>
    <t>V K SURESH</t>
  </si>
  <si>
    <t>GOVT SERVANT</t>
  </si>
  <si>
    <t>718281132442</t>
  </si>
  <si>
    <t>KAILAS, KUTHIRAVATIOM, CALICUT-673016</t>
  </si>
  <si>
    <t>KAILAS</t>
  </si>
  <si>
    <t>KUTHIRAVATIOM</t>
  </si>
  <si>
    <t>CALICUT</t>
  </si>
  <si>
    <t>0495-2742779</t>
  </si>
  <si>
    <t>dwaraka1967@gmail.com</t>
  </si>
  <si>
    <t>sureshrishab6@gmail.com</t>
  </si>
  <si>
    <t>PAN AND AACHAR CARD COPY</t>
  </si>
  <si>
    <t>PAO, 10TH,12TH MC, EQUIVALENCE CERTIFICATE, TC, MIGRATION CERTIFICATE, PHOTOS</t>
  </si>
  <si>
    <t>JU/JR/NRI-ETHIOPIA/772/2018/02</t>
  </si>
  <si>
    <t>HARESH RAJU KANESHAN</t>
  </si>
  <si>
    <t>SINGAPORE</t>
  </si>
  <si>
    <t>JU/JR/NRI-SINGAPORE/692/2018/02</t>
  </si>
  <si>
    <t>PADMAPRIYA V</t>
  </si>
  <si>
    <t>KANESHAN R D</t>
  </si>
  <si>
    <t>SENIOR MANAGER-DH2</t>
  </si>
  <si>
    <t>944548904572</t>
  </si>
  <si>
    <t>#OLD-14, #NEW-11, ANNA NAGAR, CROSS-1, GANAPATHY, COIMBATORE, TAMILNADU-641006</t>
  </si>
  <si>
    <t>ANNA NAGAR</t>
  </si>
  <si>
    <t>269, BEDOK SOUTH AVE 3, 10-01, ECO SINGAPRE-465488</t>
  </si>
  <si>
    <t>65-62450247</t>
  </si>
  <si>
    <t>hareshrk2000@gmail.com</t>
  </si>
  <si>
    <t>PAO, TC</t>
  </si>
  <si>
    <t>10TH, 12TH MC, PHOTOS, PAN COPY</t>
  </si>
  <si>
    <t>kanesanrd@gmail.com</t>
  </si>
  <si>
    <t>PAO,10th Marks Card,,TC,Photos ,Pan &amp; Aadhar Card Copy,12th Marks Card</t>
  </si>
  <si>
    <t>BSC</t>
  </si>
  <si>
    <t>BSP</t>
  </si>
  <si>
    <t>CTIS</t>
  </si>
  <si>
    <t>MACT</t>
  </si>
  <si>
    <t>DS</t>
  </si>
  <si>
    <t>IOT</t>
  </si>
  <si>
    <t>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</si>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</sst>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0"/>
      <color theme="0"/>
      <name val="Verdana"/>
      <family val="2"/>
    </font>
    <font>
      <sz val="11"/>
      <color theme="1"/>
      <name val="Calibri"/>
      <family val="2"/>
    </font>
    <font>
      <sz val="10"/>
      <name val="Verdana"/>
      <family val="2"/>
    </font>
    <font>
      <u/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2" borderId="0" applyNumberFormat="0" applyBorder="0" applyAlignment="0" applyProtection="0"/>
  </cellStyleXfs>
  <cellXfs count="8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1" applyBorder="1" applyAlignment="1" applyProtection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5" fillId="0" borderId="1" xfId="1" applyFont="1" applyBorder="1" applyAlignment="1" applyProtection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2" fillId="4" borderId="1" xfId="1" applyFill="1" applyBorder="1" applyAlignment="1" applyProtection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2" fillId="6" borderId="1" xfId="1" applyFill="1" applyBorder="1" applyAlignment="1" applyProtection="1">
      <alignment horizontal="center" vertical="center" wrapText="1"/>
    </xf>
    <xf numFmtId="0" fontId="4" fillId="2" borderId="1" xfId="2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0" fontId="2" fillId="7" borderId="1" xfId="1" applyFill="1" applyBorder="1" applyAlignment="1" applyProtection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7" fillId="4" borderId="1" xfId="1" applyFont="1" applyFill="1" applyBorder="1" applyAlignment="1" applyProtection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4" fillId="2" borderId="1" xfId="2" applyNumberFormat="1" applyFont="1" applyBorder="1" applyAlignment="1">
      <alignment horizontal="center" vertical="center" wrapText="1"/>
    </xf>
    <xf numFmtId="49" fontId="4" fillId="2" borderId="1" xfId="2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7" fillId="0" borderId="1" xfId="1" applyFont="1" applyBorder="1" applyAlignment="1" applyProtection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4" fontId="4" fillId="2" borderId="1" xfId="2" applyNumberFormat="1" applyFont="1" applyBorder="1" applyAlignment="1">
      <alignment horizontal="center" vertical="center" wrapText="1"/>
    </xf>
    <xf numFmtId="0" fontId="4" fillId="2" borderId="2" xfId="2" applyFont="1" applyBorder="1" applyAlignment="1">
      <alignment horizontal="center" vertical="center" wrapText="1"/>
    </xf>
    <xf numFmtId="0" fontId="4" fillId="2" borderId="3" xfId="2" applyFont="1" applyBorder="1" applyAlignment="1">
      <alignment horizontal="center" vertical="center" wrapText="1"/>
    </xf>
    <xf numFmtId="49" fontId="4" fillId="2" borderId="1" xfId="2" applyNumberFormat="1" applyFont="1" applyBorder="1" applyAlignment="1">
      <alignment horizontal="center" vertical="center" wrapText="1"/>
    </xf>
    <xf numFmtId="0" fontId="4" fillId="2" borderId="1" xfId="2" applyFont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4" fillId="2" borderId="1" xfId="2" applyNumberFormat="1" applyFont="1" applyBorder="1" applyAlignment="1">
      <alignment horizontal="center" vertical="center" wrapText="1"/>
    </xf>
    <xf numFmtId="17" fontId="4" fillId="2" borderId="1" xfId="2" applyNumberFormat="1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5" xfId="2" applyFont="1" applyBorder="1" applyAlignment="1">
      <alignment horizontal="center" vertical="center" wrapText="1"/>
    </xf>
    <xf numFmtId="49" fontId="4" fillId="2" borderId="2" xfId="2" applyNumberFormat="1" applyFont="1" applyBorder="1" applyAlignment="1">
      <alignment horizontal="center" vertical="center" wrapText="1"/>
    </xf>
    <xf numFmtId="49" fontId="4" fillId="2" borderId="3" xfId="2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2" borderId="2" xfId="2" applyFont="1" applyBorder="1" applyAlignment="1">
      <alignment horizontal="center" vertical="center" wrapText="1"/>
    </xf>
    <xf numFmtId="49" fontId="6" fillId="2" borderId="1" xfId="2" applyNumberFormat="1" applyFont="1" applyBorder="1" applyAlignment="1">
      <alignment horizontal="center" vertical="center" wrapText="1"/>
    </xf>
    <xf numFmtId="49" fontId="6" fillId="2" borderId="1" xfId="2" applyNumberFormat="1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 wrapText="1"/>
    </xf>
    <xf numFmtId="14" fontId="6" fillId="2" borderId="1" xfId="2" applyNumberFormat="1" applyFont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2" borderId="1" xfId="2" applyNumberFormat="1" applyFont="1" applyBorder="1" applyAlignment="1">
      <alignment horizontal="center" vertical="center" wrapText="1"/>
    </xf>
    <xf numFmtId="17" fontId="6" fillId="2" borderId="1" xfId="2" applyNumberFormat="1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5" xfId="2" applyFont="1" applyBorder="1" applyAlignment="1">
      <alignment horizontal="center" vertical="center" wrapText="1"/>
    </xf>
    <xf numFmtId="49" fontId="6" fillId="2" borderId="2" xfId="2" applyNumberFormat="1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 wrapText="1"/>
    </xf>
    <xf numFmtId="49" fontId="6" fillId="2" borderId="3" xfId="2" applyNumberFormat="1" applyFont="1" applyBorder="1" applyAlignment="1">
      <alignment horizontal="center" vertical="center" wrapText="1"/>
    </xf>
    <xf numFmtId="0" fontId="10" fillId="0" borderId="1" xfId="1" applyFont="1" applyBorder="1" applyAlignment="1" applyProtection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7" fillId="0" borderId="2" xfId="1" applyFont="1" applyBorder="1" applyAlignment="1" applyProtection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49" fontId="6" fillId="0" borderId="3" xfId="0" applyNumberFormat="1" applyFont="1" applyBorder="1" applyAlignment="1">
      <alignment horizontal="center" vertical="center" wrapText="1"/>
    </xf>
    <xf numFmtId="0" fontId="7" fillId="0" borderId="3" xfId="1" applyFont="1" applyBorder="1" applyAlignment="1" applyProtection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0" xfId="0" applyFont="1"/>
  </cellXfs>
  <cellStyles count="3">
    <cellStyle name="Accent1" xfId="2" builtinId="29"/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hinmoy.acharya@gmail.com" TargetMode="External"/><Relationship Id="rId18" Type="http://schemas.openxmlformats.org/officeDocument/2006/relationships/hyperlink" Target="mailto:sumanthpn07@gmail.com" TargetMode="External"/><Relationship Id="rId26" Type="http://schemas.openxmlformats.org/officeDocument/2006/relationships/hyperlink" Target="mailto:anirudhkashyap.28@gmail.com" TargetMode="External"/><Relationship Id="rId39" Type="http://schemas.openxmlformats.org/officeDocument/2006/relationships/hyperlink" Target="mailto:tejeshbabu07@gmail.com" TargetMode="External"/><Relationship Id="rId21" Type="http://schemas.openxmlformats.org/officeDocument/2006/relationships/hyperlink" Target="mailto:yalamvenkataramana@gmail.com" TargetMode="External"/><Relationship Id="rId34" Type="http://schemas.openxmlformats.org/officeDocument/2006/relationships/hyperlink" Target="mailto:aidenpearce2070@gmail.com" TargetMode="External"/><Relationship Id="rId42" Type="http://schemas.openxmlformats.org/officeDocument/2006/relationships/hyperlink" Target="mailto:yorishabhy045@gmail.com" TargetMode="External"/><Relationship Id="rId47" Type="http://schemas.openxmlformats.org/officeDocument/2006/relationships/hyperlink" Target="mailto:srinivaspadamaja@gmail.com" TargetMode="External"/><Relationship Id="rId50" Type="http://schemas.openxmlformats.org/officeDocument/2006/relationships/hyperlink" Target="mailto:nayana.shantesh1@gmail.com" TargetMode="External"/><Relationship Id="rId55" Type="http://schemas.openxmlformats.org/officeDocument/2006/relationships/hyperlink" Target="mailto:aswinbharathijee2018@gmail.com" TargetMode="External"/><Relationship Id="rId63" Type="http://schemas.openxmlformats.org/officeDocument/2006/relationships/hyperlink" Target="mailto:nishant14jain@gmail.com" TargetMode="External"/><Relationship Id="rId68" Type="http://schemas.openxmlformats.org/officeDocument/2006/relationships/hyperlink" Target="mailto:p8886693333@gmail.com" TargetMode="External"/><Relationship Id="rId76" Type="http://schemas.openxmlformats.org/officeDocument/2006/relationships/hyperlink" Target="mailto:nageswaraprasadtv@gmail.com" TargetMode="External"/><Relationship Id="rId84" Type="http://schemas.openxmlformats.org/officeDocument/2006/relationships/hyperlink" Target="mailto:ananyapolepalli16@gmail.com" TargetMode="External"/><Relationship Id="rId89" Type="http://schemas.openxmlformats.org/officeDocument/2006/relationships/hyperlink" Target="mailto:surendradas9813@gmail.com" TargetMode="External"/><Relationship Id="rId7" Type="http://schemas.openxmlformats.org/officeDocument/2006/relationships/hyperlink" Target="mailto:krishnasaipavan549@gmail.com" TargetMode="External"/><Relationship Id="rId71" Type="http://schemas.openxmlformats.org/officeDocument/2006/relationships/hyperlink" Target="mailto:anishbhowmick833@gmail.com" TargetMode="External"/><Relationship Id="rId2" Type="http://schemas.openxmlformats.org/officeDocument/2006/relationships/hyperlink" Target="mailto:nikhiln0712@gmail.com" TargetMode="External"/><Relationship Id="rId16" Type="http://schemas.openxmlformats.org/officeDocument/2006/relationships/hyperlink" Target="mailto:babinsaliyan.08@gmail.com" TargetMode="External"/><Relationship Id="rId29" Type="http://schemas.openxmlformats.org/officeDocument/2006/relationships/hyperlink" Target="mailto:ravitejabedadala@gmail.com" TargetMode="External"/><Relationship Id="rId11" Type="http://schemas.openxmlformats.org/officeDocument/2006/relationships/hyperlink" Target="mailto:vinodpinki354@gmail.com" TargetMode="External"/><Relationship Id="rId24" Type="http://schemas.openxmlformats.org/officeDocument/2006/relationships/hyperlink" Target="mailto:patiravinay123@gmail.com" TargetMode="External"/><Relationship Id="rId32" Type="http://schemas.openxmlformats.org/officeDocument/2006/relationships/hyperlink" Target="mailto:shreyas_gutti@yahoo.com" TargetMode="External"/><Relationship Id="rId37" Type="http://schemas.openxmlformats.org/officeDocument/2006/relationships/hyperlink" Target="mailto:gaurawnikhil993@gmail.com" TargetMode="External"/><Relationship Id="rId40" Type="http://schemas.openxmlformats.org/officeDocument/2006/relationships/hyperlink" Target="mailto:royallikky@gmail.com" TargetMode="External"/><Relationship Id="rId45" Type="http://schemas.openxmlformats.org/officeDocument/2006/relationships/hyperlink" Target="mailto:prasadmadala73@gmail.com" TargetMode="External"/><Relationship Id="rId53" Type="http://schemas.openxmlformats.org/officeDocument/2006/relationships/hyperlink" Target="mailto:kmunindrakumar@gmail.com" TargetMode="External"/><Relationship Id="rId58" Type="http://schemas.openxmlformats.org/officeDocument/2006/relationships/hyperlink" Target="mailto:jerin.ibrahim@outlook.com" TargetMode="External"/><Relationship Id="rId66" Type="http://schemas.openxmlformats.org/officeDocument/2006/relationships/hyperlink" Target="mailto:iamsachin71@gmail.com" TargetMode="External"/><Relationship Id="rId74" Type="http://schemas.openxmlformats.org/officeDocument/2006/relationships/hyperlink" Target="mailto:ashwanigamsdl@gmail.com" TargetMode="External"/><Relationship Id="rId79" Type="http://schemas.openxmlformats.org/officeDocument/2006/relationships/hyperlink" Target="mailto:agatirupur@gmail.com" TargetMode="External"/><Relationship Id="rId87" Type="http://schemas.openxmlformats.org/officeDocument/2006/relationships/hyperlink" Target="mailto:ganeshreddy2000s@gmail.com" TargetMode="External"/><Relationship Id="rId5" Type="http://schemas.openxmlformats.org/officeDocument/2006/relationships/hyperlink" Target="mailto:muralikrishnachagantipti@gmail.com" TargetMode="External"/><Relationship Id="rId61" Type="http://schemas.openxmlformats.org/officeDocument/2006/relationships/hyperlink" Target="mailto:abhi22319997@gmail.com" TargetMode="External"/><Relationship Id="rId82" Type="http://schemas.openxmlformats.org/officeDocument/2006/relationships/hyperlink" Target="mailto:bhavanamallemula7@gmail.com" TargetMode="External"/><Relationship Id="rId90" Type="http://schemas.openxmlformats.org/officeDocument/2006/relationships/hyperlink" Target="mailto:kanesanrd@gmail.com" TargetMode="External"/><Relationship Id="rId19" Type="http://schemas.openxmlformats.org/officeDocument/2006/relationships/hyperlink" Target="mailto:mehuljain20000@gmail.com" TargetMode="External"/><Relationship Id="rId14" Type="http://schemas.openxmlformats.org/officeDocument/2006/relationships/hyperlink" Target="mailto:deotimaacharya@gmail.com" TargetMode="External"/><Relationship Id="rId22" Type="http://schemas.openxmlformats.org/officeDocument/2006/relationships/hyperlink" Target="mailto:yalamcharantej@gmail.com" TargetMode="External"/><Relationship Id="rId27" Type="http://schemas.openxmlformats.org/officeDocument/2006/relationships/hyperlink" Target="mailto:omprakashpmp@gmail.com" TargetMode="External"/><Relationship Id="rId30" Type="http://schemas.openxmlformats.org/officeDocument/2006/relationships/hyperlink" Target="mailto:udaycherukuri914@gmail.com" TargetMode="External"/><Relationship Id="rId35" Type="http://schemas.openxmlformats.org/officeDocument/2006/relationships/hyperlink" Target="mailto:laxmi_ramlog123@yahoo.com" TargetMode="External"/><Relationship Id="rId43" Type="http://schemas.openxmlformats.org/officeDocument/2006/relationships/hyperlink" Target="mailto:s.rekhanttf@gmail.com" TargetMode="External"/><Relationship Id="rId48" Type="http://schemas.openxmlformats.org/officeDocument/2006/relationships/hyperlink" Target="mailto:akashpatchipulusu10@gmail.com" TargetMode="External"/><Relationship Id="rId56" Type="http://schemas.openxmlformats.org/officeDocument/2006/relationships/hyperlink" Target="mailto:ss.jain@yahoo.co.in" TargetMode="External"/><Relationship Id="rId64" Type="http://schemas.openxmlformats.org/officeDocument/2006/relationships/hyperlink" Target="mailto:sandpgarg99@gmail.com" TargetMode="External"/><Relationship Id="rId69" Type="http://schemas.openxmlformats.org/officeDocument/2006/relationships/hyperlink" Target="mailto:palukurisuptha@gmail.com" TargetMode="External"/><Relationship Id="rId77" Type="http://schemas.openxmlformats.org/officeDocument/2006/relationships/hyperlink" Target="mailto:suryathiruvaipati05112000@gmail.com" TargetMode="External"/><Relationship Id="rId8" Type="http://schemas.openxmlformats.org/officeDocument/2006/relationships/hyperlink" Target="mailto:saitharun2367@gmail.com" TargetMode="External"/><Relationship Id="rId51" Type="http://schemas.openxmlformats.org/officeDocument/2006/relationships/hyperlink" Target="mailto:sudhaanshu.jain@gmail.com" TargetMode="External"/><Relationship Id="rId72" Type="http://schemas.openxmlformats.org/officeDocument/2006/relationships/hyperlink" Target="mailto:ekataagarwal23@gmail.com" TargetMode="External"/><Relationship Id="rId80" Type="http://schemas.openxmlformats.org/officeDocument/2006/relationships/hyperlink" Target="mailto:amarnathreddypothamsetti@gmail.com" TargetMode="External"/><Relationship Id="rId85" Type="http://schemas.openxmlformats.org/officeDocument/2006/relationships/hyperlink" Target="mailto:g_onyango@yahoo.com" TargetMode="External"/><Relationship Id="rId3" Type="http://schemas.openxmlformats.org/officeDocument/2006/relationships/hyperlink" Target="mailto:vngpraju2001@gmail.com" TargetMode="External"/><Relationship Id="rId12" Type="http://schemas.openxmlformats.org/officeDocument/2006/relationships/hyperlink" Target="mailto:shubhamgupta9727@gmail.com" TargetMode="External"/><Relationship Id="rId17" Type="http://schemas.openxmlformats.org/officeDocument/2006/relationships/hyperlink" Target="mailto:neelakantavani@gmail.com" TargetMode="External"/><Relationship Id="rId25" Type="http://schemas.openxmlformats.org/officeDocument/2006/relationships/hyperlink" Target="mailto:patiravidit03@gmail.com" TargetMode="External"/><Relationship Id="rId33" Type="http://schemas.openxmlformats.org/officeDocument/2006/relationships/hyperlink" Target="mailto:rholla@rediffmail.com" TargetMode="External"/><Relationship Id="rId38" Type="http://schemas.openxmlformats.org/officeDocument/2006/relationships/hyperlink" Target="mailto:nuditjain68348@gmail.com" TargetMode="External"/><Relationship Id="rId46" Type="http://schemas.openxmlformats.org/officeDocument/2006/relationships/hyperlink" Target="mailto:nitishmadala2001@gmail.com" TargetMode="External"/><Relationship Id="rId59" Type="http://schemas.openxmlformats.org/officeDocument/2006/relationships/hyperlink" Target="mailto:mohammedpk63@gmail.com" TargetMode="External"/><Relationship Id="rId67" Type="http://schemas.openxmlformats.org/officeDocument/2006/relationships/hyperlink" Target="mailto:patil11aditya@gmail.com" TargetMode="External"/><Relationship Id="rId20" Type="http://schemas.openxmlformats.org/officeDocument/2006/relationships/hyperlink" Target="mailto:reddyrebalstar@gmail.com" TargetMode="External"/><Relationship Id="rId41" Type="http://schemas.openxmlformats.org/officeDocument/2006/relationships/hyperlink" Target="mailto:hsrawat1468@gmail.com" TargetMode="External"/><Relationship Id="rId54" Type="http://schemas.openxmlformats.org/officeDocument/2006/relationships/hyperlink" Target="mailto:gnanesh.kgf@gmail.com" TargetMode="External"/><Relationship Id="rId62" Type="http://schemas.openxmlformats.org/officeDocument/2006/relationships/hyperlink" Target="mailto:sumanjain567@gmail.com" TargetMode="External"/><Relationship Id="rId70" Type="http://schemas.openxmlformats.org/officeDocument/2006/relationships/hyperlink" Target="mailto:arunbhowmick28@gmail.com" TargetMode="External"/><Relationship Id="rId75" Type="http://schemas.openxmlformats.org/officeDocument/2006/relationships/hyperlink" Target="mailto:ayushnigam0001@gmail.com" TargetMode="External"/><Relationship Id="rId83" Type="http://schemas.openxmlformats.org/officeDocument/2006/relationships/hyperlink" Target="mailto:rambabupolepalli29@gmail.com" TargetMode="External"/><Relationship Id="rId88" Type="http://schemas.openxmlformats.org/officeDocument/2006/relationships/hyperlink" Target="mailto:manojreddyk2007@gmail.com" TargetMode="External"/><Relationship Id="rId91" Type="http://schemas.openxmlformats.org/officeDocument/2006/relationships/hyperlink" Target="mailto:hareshrk2000@gmail.com" TargetMode="External"/><Relationship Id="rId1" Type="http://schemas.openxmlformats.org/officeDocument/2006/relationships/hyperlink" Target="mailto:divyar1711@gmail.com/rajan_dba@yahoo.com" TargetMode="External"/><Relationship Id="rId6" Type="http://schemas.openxmlformats.org/officeDocument/2006/relationships/hyperlink" Target="mailto:jaideepsiva22@gmail.com" TargetMode="External"/><Relationship Id="rId15" Type="http://schemas.openxmlformats.org/officeDocument/2006/relationships/hyperlink" Target="mailto:nagurunithinreddy@gmail.com" TargetMode="External"/><Relationship Id="rId23" Type="http://schemas.openxmlformats.org/officeDocument/2006/relationships/hyperlink" Target="mailto:jaswanthsidda123@gmail.com" TargetMode="External"/><Relationship Id="rId28" Type="http://schemas.openxmlformats.org/officeDocument/2006/relationships/hyperlink" Target="mailto:sauravlhs@gmail.com" TargetMode="External"/><Relationship Id="rId36" Type="http://schemas.openxmlformats.org/officeDocument/2006/relationships/hyperlink" Target="mailto:ajay.gaurav.58@gmail.com" TargetMode="External"/><Relationship Id="rId49" Type="http://schemas.openxmlformats.org/officeDocument/2006/relationships/hyperlink" Target="mailto:dhuparadammya@gmail.com" TargetMode="External"/><Relationship Id="rId57" Type="http://schemas.openxmlformats.org/officeDocument/2006/relationships/hyperlink" Target="mailto:sweetnikku1234@gmail.com" TargetMode="External"/><Relationship Id="rId10" Type="http://schemas.openxmlformats.org/officeDocument/2006/relationships/hyperlink" Target="mailto:jagadish.butra@gmail.com" TargetMode="External"/><Relationship Id="rId31" Type="http://schemas.openxmlformats.org/officeDocument/2006/relationships/hyperlink" Target="mailto:gmr.sendme@gmail.com" TargetMode="External"/><Relationship Id="rId44" Type="http://schemas.openxmlformats.org/officeDocument/2006/relationships/hyperlink" Target="mailto:dharaneshsampath@gmail.com" TargetMode="External"/><Relationship Id="rId52" Type="http://schemas.openxmlformats.org/officeDocument/2006/relationships/hyperlink" Target="mailto:rajeshtalari.sunkar@gmail.com" TargetMode="External"/><Relationship Id="rId60" Type="http://schemas.openxmlformats.org/officeDocument/2006/relationships/hyperlink" Target="mailto:ap.engg@yahoo.com" TargetMode="External"/><Relationship Id="rId65" Type="http://schemas.openxmlformats.org/officeDocument/2006/relationships/hyperlink" Target="mailto:riyagarg3082000@gmail.com" TargetMode="External"/><Relationship Id="rId73" Type="http://schemas.openxmlformats.org/officeDocument/2006/relationships/hyperlink" Target="mailto:yashitaagarwal00@gmail.com" TargetMode="External"/><Relationship Id="rId78" Type="http://schemas.openxmlformats.org/officeDocument/2006/relationships/hyperlink" Target="mailto:deepakdhoni4576@gmail.com" TargetMode="External"/><Relationship Id="rId81" Type="http://schemas.openxmlformats.org/officeDocument/2006/relationships/hyperlink" Target="mailto:vasaviramana69@gmail.com" TargetMode="External"/><Relationship Id="rId86" Type="http://schemas.openxmlformats.org/officeDocument/2006/relationships/hyperlink" Target="mailto:timsewe.ts@gmail.com" TargetMode="External"/><Relationship Id="rId4" Type="http://schemas.openxmlformats.org/officeDocument/2006/relationships/hyperlink" Target="mailto:sairaviteja2000@gmail.com" TargetMode="External"/><Relationship Id="rId9" Type="http://schemas.openxmlformats.org/officeDocument/2006/relationships/hyperlink" Target="mailto:sameerrosk358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angeetha.s.jain@gmail.com" TargetMode="External"/><Relationship Id="rId18" Type="http://schemas.openxmlformats.org/officeDocument/2006/relationships/hyperlink" Target="mailto:niranjan.arkalgud@gmail.com" TargetMode="External"/><Relationship Id="rId26" Type="http://schemas.openxmlformats.org/officeDocument/2006/relationships/hyperlink" Target="mailto:pradeekdeenadayan@gmail.com" TargetMode="External"/><Relationship Id="rId39" Type="http://schemas.openxmlformats.org/officeDocument/2006/relationships/hyperlink" Target="mailto:njpr888836@gmail.com" TargetMode="External"/><Relationship Id="rId21" Type="http://schemas.openxmlformats.org/officeDocument/2006/relationships/hyperlink" Target="mailto:babaiah28@gmail.com" TargetMode="External"/><Relationship Id="rId34" Type="http://schemas.openxmlformats.org/officeDocument/2006/relationships/hyperlink" Target="mailto:yatwinpragnay@gmail.com" TargetMode="External"/><Relationship Id="rId42" Type="http://schemas.openxmlformats.org/officeDocument/2006/relationships/hyperlink" Target="mailto:riyanpathan308@gmail.com" TargetMode="External"/><Relationship Id="rId47" Type="http://schemas.openxmlformats.org/officeDocument/2006/relationships/hyperlink" Target="mailto:datturanga@gmail.com" TargetMode="External"/><Relationship Id="rId50" Type="http://schemas.openxmlformats.org/officeDocument/2006/relationships/hyperlink" Target="mailto:rsrakeshsharma705@gmail.com" TargetMode="External"/><Relationship Id="rId55" Type="http://schemas.openxmlformats.org/officeDocument/2006/relationships/hyperlink" Target="mailto:suryaprakashnookala13@gmail.com" TargetMode="External"/><Relationship Id="rId63" Type="http://schemas.openxmlformats.org/officeDocument/2006/relationships/hyperlink" Target="mailto:tarunsainaidugona@gmail.com" TargetMode="External"/><Relationship Id="rId68" Type="http://schemas.openxmlformats.org/officeDocument/2006/relationships/hyperlink" Target="mailto:bsunil135@gmail.com" TargetMode="External"/><Relationship Id="rId76" Type="http://schemas.openxmlformats.org/officeDocument/2006/relationships/hyperlink" Target="mailto:polasaiakshay@gmail.com" TargetMode="External"/><Relationship Id="rId7" Type="http://schemas.openxmlformats.org/officeDocument/2006/relationships/hyperlink" Target="mailto:prithviraj.madhusudhan@gmail.com" TargetMode="External"/><Relationship Id="rId71" Type="http://schemas.openxmlformats.org/officeDocument/2006/relationships/hyperlink" Target="mailto:gowd.msn@gmail.com" TargetMode="External"/><Relationship Id="rId2" Type="http://schemas.openxmlformats.org/officeDocument/2006/relationships/hyperlink" Target="mailto:suhailmohdrocks@yahoo.com" TargetMode="External"/><Relationship Id="rId16" Type="http://schemas.openxmlformats.org/officeDocument/2006/relationships/hyperlink" Target="mailto:jaisairoyal2@gmail.com" TargetMode="External"/><Relationship Id="rId29" Type="http://schemas.openxmlformats.org/officeDocument/2006/relationships/hyperlink" Target="mailto:zakeerlohar@gmail.com" TargetMode="External"/><Relationship Id="rId11" Type="http://schemas.openxmlformats.org/officeDocument/2006/relationships/hyperlink" Target="mailto:sunkuakhilesh9@gmail.com" TargetMode="External"/><Relationship Id="rId24" Type="http://schemas.openxmlformats.org/officeDocument/2006/relationships/hyperlink" Target="mailto:s.m.d.mujahid.ali007@gmail.com" TargetMode="External"/><Relationship Id="rId32" Type="http://schemas.openxmlformats.org/officeDocument/2006/relationships/hyperlink" Target="mailto:adityabawankule12345@gmail.com" TargetMode="External"/><Relationship Id="rId37" Type="http://schemas.openxmlformats.org/officeDocument/2006/relationships/hyperlink" Target="mailto:bornakpaul@gmail.com" TargetMode="External"/><Relationship Id="rId40" Type="http://schemas.openxmlformats.org/officeDocument/2006/relationships/hyperlink" Target="mailto:rvsharma1973@gmail.com" TargetMode="External"/><Relationship Id="rId45" Type="http://schemas.openxmlformats.org/officeDocument/2006/relationships/hyperlink" Target="mailto:satish.veluguri33@gmail.com" TargetMode="External"/><Relationship Id="rId53" Type="http://schemas.openxmlformats.org/officeDocument/2006/relationships/hyperlink" Target="mailto:keshavchoudhary1902@gmail.com" TargetMode="External"/><Relationship Id="rId58" Type="http://schemas.openxmlformats.org/officeDocument/2006/relationships/hyperlink" Target="mailto:kassettykrishna@gmail.com" TargetMode="External"/><Relationship Id="rId66" Type="http://schemas.openxmlformats.org/officeDocument/2006/relationships/hyperlink" Target="mailto:koushikkumar1807@gmail.com" TargetMode="External"/><Relationship Id="rId74" Type="http://schemas.openxmlformats.org/officeDocument/2006/relationships/hyperlink" Target="mailto:vamsikrishnamula6@gmial.com" TargetMode="External"/><Relationship Id="rId79" Type="http://schemas.openxmlformats.org/officeDocument/2006/relationships/hyperlink" Target="mailto:poojithamantena1@gmail.com" TargetMode="External"/><Relationship Id="rId5" Type="http://schemas.openxmlformats.org/officeDocument/2006/relationships/hyperlink" Target="mailto:tejasimha208@gmail.coma" TargetMode="External"/><Relationship Id="rId61" Type="http://schemas.openxmlformats.org/officeDocument/2006/relationships/hyperlink" Target="mailto:deepthi1816@gmail.com" TargetMode="External"/><Relationship Id="rId10" Type="http://schemas.openxmlformats.org/officeDocument/2006/relationships/hyperlink" Target="mailto:sunkusreenivasulu41970@gmail.com" TargetMode="External"/><Relationship Id="rId19" Type="http://schemas.openxmlformats.org/officeDocument/2006/relationships/hyperlink" Target="mailto:r4gu@gmail.com" TargetMode="External"/><Relationship Id="rId31" Type="http://schemas.openxmlformats.org/officeDocument/2006/relationships/hyperlink" Target="mailto:rbawankule1971@gmail.com" TargetMode="External"/><Relationship Id="rId44" Type="http://schemas.openxmlformats.org/officeDocument/2006/relationships/hyperlink" Target="mailto:shreyanshkumar280100@gmail.com" TargetMode="External"/><Relationship Id="rId52" Type="http://schemas.openxmlformats.org/officeDocument/2006/relationships/hyperlink" Target="mailto:chowdarypraneeth143@gmail.com" TargetMode="External"/><Relationship Id="rId60" Type="http://schemas.openxmlformats.org/officeDocument/2006/relationships/hyperlink" Target="mailto:kesavasai1297416@gmail.com" TargetMode="External"/><Relationship Id="rId65" Type="http://schemas.openxmlformats.org/officeDocument/2006/relationships/hyperlink" Target="mailto:kvrreddy1204@gmail.com" TargetMode="External"/><Relationship Id="rId73" Type="http://schemas.openxmlformats.org/officeDocument/2006/relationships/hyperlink" Target="mailto:surendra3924@gmail.com" TargetMode="External"/><Relationship Id="rId78" Type="http://schemas.openxmlformats.org/officeDocument/2006/relationships/hyperlink" Target="mailto:hitucool10@gmail.com" TargetMode="External"/><Relationship Id="rId81" Type="http://schemas.openxmlformats.org/officeDocument/2006/relationships/comments" Target="../comments1.xml"/><Relationship Id="rId4" Type="http://schemas.openxmlformats.org/officeDocument/2006/relationships/hyperlink" Target="mailto:rashmibrao2000@gmail.com" TargetMode="External"/><Relationship Id="rId9" Type="http://schemas.openxmlformats.org/officeDocument/2006/relationships/hyperlink" Target="mailto:likhithr3@gmail.com" TargetMode="External"/><Relationship Id="rId14" Type="http://schemas.openxmlformats.org/officeDocument/2006/relationships/hyperlink" Target="mailto:cjjain234@gmail.com" TargetMode="External"/><Relationship Id="rId22" Type="http://schemas.openxmlformats.org/officeDocument/2006/relationships/hyperlink" Target="mailto:gazaljohnygj@gmail.com" TargetMode="External"/><Relationship Id="rId27" Type="http://schemas.openxmlformats.org/officeDocument/2006/relationships/hyperlink" Target="mailto:munirathnampv@gmail.com" TargetMode="External"/><Relationship Id="rId30" Type="http://schemas.openxmlformats.org/officeDocument/2006/relationships/hyperlink" Target="mailto:aazi.razan@gmail.com" TargetMode="External"/><Relationship Id="rId35" Type="http://schemas.openxmlformats.org/officeDocument/2006/relationships/hyperlink" Target="mailto:deeptheshjain@gmail.com" TargetMode="External"/><Relationship Id="rId43" Type="http://schemas.openxmlformats.org/officeDocument/2006/relationships/hyperlink" Target="mailto:srsrivastava.rdso@gmail.com" TargetMode="External"/><Relationship Id="rId48" Type="http://schemas.openxmlformats.org/officeDocument/2006/relationships/hyperlink" Target="mailto:sudheerranga4@gmail.com" TargetMode="External"/><Relationship Id="rId56" Type="http://schemas.openxmlformats.org/officeDocument/2006/relationships/hyperlink" Target="mailto:adityarock231@gmail.com" TargetMode="External"/><Relationship Id="rId64" Type="http://schemas.openxmlformats.org/officeDocument/2006/relationships/hyperlink" Target="mailto:jeevanreddyroxx@gmail.com" TargetMode="External"/><Relationship Id="rId69" Type="http://schemas.openxmlformats.org/officeDocument/2006/relationships/hyperlink" Target="mailto:chotavinay741@gmail.com" TargetMode="External"/><Relationship Id="rId77" Type="http://schemas.openxmlformats.org/officeDocument/2006/relationships/hyperlink" Target="mailto:kavima2@gmail.com" TargetMode="External"/><Relationship Id="rId8" Type="http://schemas.openxmlformats.org/officeDocument/2006/relationships/hyperlink" Target="mailto:srinivasm1972@rediffmail.com" TargetMode="External"/><Relationship Id="rId51" Type="http://schemas.openxmlformats.org/officeDocument/2006/relationships/hyperlink" Target="mailto:sharmashanu0700@gmail.com" TargetMode="External"/><Relationship Id="rId72" Type="http://schemas.openxmlformats.org/officeDocument/2006/relationships/hyperlink" Target="mailto:3924surendra@gmail.com" TargetMode="External"/><Relationship Id="rId80" Type="http://schemas.openxmlformats.org/officeDocument/2006/relationships/vmlDrawing" Target="../drawings/vmlDrawing1.vml"/><Relationship Id="rId3" Type="http://schemas.openxmlformats.org/officeDocument/2006/relationships/hyperlink" Target="mailto:raobr@yahoo.com" TargetMode="External"/><Relationship Id="rId12" Type="http://schemas.openxmlformats.org/officeDocument/2006/relationships/hyperlink" Target="mailto:sunitha.sathish@oracle.com" TargetMode="External"/><Relationship Id="rId17" Type="http://schemas.openxmlformats.org/officeDocument/2006/relationships/hyperlink" Target="mailto:ananthamurthy@live.com" TargetMode="External"/><Relationship Id="rId25" Type="http://schemas.openxmlformats.org/officeDocument/2006/relationships/hyperlink" Target="mailto:prabhavathy4131@gmail.com" TargetMode="External"/><Relationship Id="rId33" Type="http://schemas.openxmlformats.org/officeDocument/2006/relationships/hyperlink" Target="mailto:jaladi.chandrasekhar@gmail.com" TargetMode="External"/><Relationship Id="rId38" Type="http://schemas.openxmlformats.org/officeDocument/2006/relationships/hyperlink" Target="mailto:vardhanjain.123@gmail.com" TargetMode="External"/><Relationship Id="rId46" Type="http://schemas.openxmlformats.org/officeDocument/2006/relationships/hyperlink" Target="mailto:preethamveluguri@gmail.com" TargetMode="External"/><Relationship Id="rId59" Type="http://schemas.openxmlformats.org/officeDocument/2006/relationships/hyperlink" Target="mailto:harshachama143@gmail.com" TargetMode="External"/><Relationship Id="rId67" Type="http://schemas.openxmlformats.org/officeDocument/2006/relationships/hyperlink" Target="mailto:lakkireddybharath02@gmail.com" TargetMode="External"/><Relationship Id="rId20" Type="http://schemas.openxmlformats.org/officeDocument/2006/relationships/hyperlink" Target="mailto:sashankgoenka23@gmail.com" TargetMode="External"/><Relationship Id="rId41" Type="http://schemas.openxmlformats.org/officeDocument/2006/relationships/hyperlink" Target="mailto:sharmashivank4@gmail.com" TargetMode="External"/><Relationship Id="rId54" Type="http://schemas.openxmlformats.org/officeDocument/2006/relationships/hyperlink" Target="mailto:hero.15oct@gmail.com" TargetMode="External"/><Relationship Id="rId62" Type="http://schemas.openxmlformats.org/officeDocument/2006/relationships/hyperlink" Target="mailto:ramgopaltad.21@gmail.com" TargetMode="External"/><Relationship Id="rId70" Type="http://schemas.openxmlformats.org/officeDocument/2006/relationships/hyperlink" Target="mailto:venkateshlic71@gmail.com" TargetMode="External"/><Relationship Id="rId75" Type="http://schemas.openxmlformats.org/officeDocument/2006/relationships/hyperlink" Target="mailto:polasateeshu@gmail.com" TargetMode="External"/><Relationship Id="rId1" Type="http://schemas.openxmlformats.org/officeDocument/2006/relationships/hyperlink" Target="mailto:shaikhabeebasulthana@gmail.com" TargetMode="External"/><Relationship Id="rId6" Type="http://schemas.openxmlformats.org/officeDocument/2006/relationships/hyperlink" Target="mailto:manikantakoushik202@gmail.com" TargetMode="External"/><Relationship Id="rId15" Type="http://schemas.openxmlformats.org/officeDocument/2006/relationships/hyperlink" Target="mailto:sudhakarnjalla@gmail.com" TargetMode="External"/><Relationship Id="rId23" Type="http://schemas.openxmlformats.org/officeDocument/2006/relationships/hyperlink" Target="mailto:revanthraju66@gmail.com" TargetMode="External"/><Relationship Id="rId28" Type="http://schemas.openxmlformats.org/officeDocument/2006/relationships/hyperlink" Target="mailto:pk5805223@gmail.com" TargetMode="External"/><Relationship Id="rId36" Type="http://schemas.openxmlformats.org/officeDocument/2006/relationships/hyperlink" Target="mailto:paul.bapankanti@gmail.com" TargetMode="External"/><Relationship Id="rId49" Type="http://schemas.openxmlformats.org/officeDocument/2006/relationships/hyperlink" Target="mailto:sjeevanandham2000@gmail.com" TargetMode="External"/><Relationship Id="rId57" Type="http://schemas.openxmlformats.org/officeDocument/2006/relationships/hyperlink" Target="mailto:kassettysusmitha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vshanthi1965@gmail.com" TargetMode="External"/><Relationship Id="rId18" Type="http://schemas.openxmlformats.org/officeDocument/2006/relationships/hyperlink" Target="mailto:kavingandhi23@gmail.com" TargetMode="External"/><Relationship Id="rId26" Type="http://schemas.openxmlformats.org/officeDocument/2006/relationships/hyperlink" Target="mailto:srinirao35@yahoo.com" TargetMode="External"/><Relationship Id="rId39" Type="http://schemas.openxmlformats.org/officeDocument/2006/relationships/hyperlink" Target="mailto:navin209prakash@gmail.com" TargetMode="External"/><Relationship Id="rId21" Type="http://schemas.openxmlformats.org/officeDocument/2006/relationships/hyperlink" Target="mailto:harshithakcharshu@gmail.com" TargetMode="External"/><Relationship Id="rId34" Type="http://schemas.openxmlformats.org/officeDocument/2006/relationships/hyperlink" Target="mailto:sreenun.n09@gmail.com" TargetMode="External"/><Relationship Id="rId42" Type="http://schemas.openxmlformats.org/officeDocument/2006/relationships/hyperlink" Target="mailto:ramuveluguri12@gmail.com" TargetMode="External"/><Relationship Id="rId47" Type="http://schemas.openxmlformats.org/officeDocument/2006/relationships/hyperlink" Target="mailto:prakmin@yahoo.co.in" TargetMode="External"/><Relationship Id="rId50" Type="http://schemas.openxmlformats.org/officeDocument/2006/relationships/hyperlink" Target="mailto:ragini.n.n@gmail.com" TargetMode="External"/><Relationship Id="rId55" Type="http://schemas.openxmlformats.org/officeDocument/2006/relationships/hyperlink" Target="mailto:dsdevi1978@gmail.com" TargetMode="External"/><Relationship Id="rId63" Type="http://schemas.openxmlformats.org/officeDocument/2006/relationships/hyperlink" Target="mailto:kundasuchitra098@gmail.com" TargetMode="External"/><Relationship Id="rId68" Type="http://schemas.openxmlformats.org/officeDocument/2006/relationships/hyperlink" Target="mailto:dhruvginoria@gmail.com" TargetMode="External"/><Relationship Id="rId76" Type="http://schemas.openxmlformats.org/officeDocument/2006/relationships/hyperlink" Target="mailto:nakul11999@gmail.com" TargetMode="External"/><Relationship Id="rId84" Type="http://schemas.openxmlformats.org/officeDocument/2006/relationships/hyperlink" Target="mailto:shalinimenon.sash@gmail.com" TargetMode="External"/><Relationship Id="rId89" Type="http://schemas.openxmlformats.org/officeDocument/2006/relationships/hyperlink" Target="mailto:sureshrishab6@gmail.com" TargetMode="External"/><Relationship Id="rId7" Type="http://schemas.openxmlformats.org/officeDocument/2006/relationships/hyperlink" Target="mailto:jkskilledarts@gmail.com" TargetMode="External"/><Relationship Id="rId71" Type="http://schemas.openxmlformats.org/officeDocument/2006/relationships/hyperlink" Target="mailto:kirtiagrawal613@gmail.com" TargetMode="External"/><Relationship Id="rId2" Type="http://schemas.openxmlformats.org/officeDocument/2006/relationships/hyperlink" Target="mailto:thakurabhisheksinghbais@gmail.com" TargetMode="External"/><Relationship Id="rId16" Type="http://schemas.openxmlformats.org/officeDocument/2006/relationships/hyperlink" Target="mailto:ayush26092000@gmail.com" TargetMode="External"/><Relationship Id="rId29" Type="http://schemas.openxmlformats.org/officeDocument/2006/relationships/hyperlink" Target="mailto:narayana.thimmareddy@gmail.com" TargetMode="External"/><Relationship Id="rId11" Type="http://schemas.openxmlformats.org/officeDocument/2006/relationships/hyperlink" Target="mailto:sareddy1974@gmail.com" TargetMode="External"/><Relationship Id="rId24" Type="http://schemas.openxmlformats.org/officeDocument/2006/relationships/hyperlink" Target="mailto:rameshbr67@gmail.com" TargetMode="External"/><Relationship Id="rId32" Type="http://schemas.openxmlformats.org/officeDocument/2006/relationships/hyperlink" Target="mailto:deek.lok31@gmail.com" TargetMode="External"/><Relationship Id="rId37" Type="http://schemas.openxmlformats.org/officeDocument/2006/relationships/hyperlink" Target="mailto:arunp3110c@gmail.com" TargetMode="External"/><Relationship Id="rId40" Type="http://schemas.openxmlformats.org/officeDocument/2006/relationships/hyperlink" Target="mailto:arnavsriva@gmail.com" TargetMode="External"/><Relationship Id="rId45" Type="http://schemas.openxmlformats.org/officeDocument/2006/relationships/hyperlink" Target="mailto:nagasrinivas1800@gmail.com" TargetMode="External"/><Relationship Id="rId53" Type="http://schemas.openxmlformats.org/officeDocument/2006/relationships/hyperlink" Target="mailto:kashifalam48@gmail.com" TargetMode="External"/><Relationship Id="rId58" Type="http://schemas.openxmlformats.org/officeDocument/2006/relationships/hyperlink" Target="mailto:ajitdigboi1234@gmail.com" TargetMode="External"/><Relationship Id="rId66" Type="http://schemas.openxmlformats.org/officeDocument/2006/relationships/hyperlink" Target="mailto:sunsettyvenkatsai140@gmail.com" TargetMode="External"/><Relationship Id="rId74" Type="http://schemas.openxmlformats.org/officeDocument/2006/relationships/hyperlink" Target="mailto:bhupendragupta250@gmail.com" TargetMode="External"/><Relationship Id="rId79" Type="http://schemas.openxmlformats.org/officeDocument/2006/relationships/hyperlink" Target="mailto:niftydiran@gmail.com" TargetMode="External"/><Relationship Id="rId87" Type="http://schemas.openxmlformats.org/officeDocument/2006/relationships/hyperlink" Target="mailto:karibandi123@gmail.com" TargetMode="External"/><Relationship Id="rId5" Type="http://schemas.openxmlformats.org/officeDocument/2006/relationships/hyperlink" Target="mailto:mallelraghava99@gmail.com" TargetMode="External"/><Relationship Id="rId61" Type="http://schemas.openxmlformats.org/officeDocument/2006/relationships/hyperlink" Target="mailto:yadavdeeksha31@rediffmail.com" TargetMode="External"/><Relationship Id="rId82" Type="http://schemas.openxmlformats.org/officeDocument/2006/relationships/hyperlink" Target="mailto:23reddy1981@gmail.com" TargetMode="External"/><Relationship Id="rId90" Type="http://schemas.openxmlformats.org/officeDocument/2006/relationships/hyperlink" Target="mailto:chandurebal215@gmail.com" TargetMode="External"/><Relationship Id="rId19" Type="http://schemas.openxmlformats.org/officeDocument/2006/relationships/hyperlink" Target="mailto:amaldasan440@gmail.com" TargetMode="External"/><Relationship Id="rId14" Type="http://schemas.openxmlformats.org/officeDocument/2006/relationships/hyperlink" Target="mailto:tamildhanush2017@gmail.com" TargetMode="External"/><Relationship Id="rId22" Type="http://schemas.openxmlformats.org/officeDocument/2006/relationships/hyperlink" Target="mailto:vipuljain1112@gmail.com" TargetMode="External"/><Relationship Id="rId27" Type="http://schemas.openxmlformats.org/officeDocument/2006/relationships/hyperlink" Target="mailto:rishansrao09@gmail.com" TargetMode="External"/><Relationship Id="rId30" Type="http://schemas.openxmlformats.org/officeDocument/2006/relationships/hyperlink" Target="mailto:yaswanthreddy2909@gmail.com" TargetMode="External"/><Relationship Id="rId35" Type="http://schemas.openxmlformats.org/officeDocument/2006/relationships/hyperlink" Target="mailto:suryatej944@gmail.com" TargetMode="External"/><Relationship Id="rId43" Type="http://schemas.openxmlformats.org/officeDocument/2006/relationships/hyperlink" Target="mailto:abhinavgoddakumar@gmail.com" TargetMode="External"/><Relationship Id="rId48" Type="http://schemas.openxmlformats.org/officeDocument/2006/relationships/hyperlink" Target="mailto:shivani.patel0910@gmail.com" TargetMode="External"/><Relationship Id="rId56" Type="http://schemas.openxmlformats.org/officeDocument/2006/relationships/hyperlink" Target="mailto:praseenad@gmail.com" TargetMode="External"/><Relationship Id="rId64" Type="http://schemas.openxmlformats.org/officeDocument/2006/relationships/hyperlink" Target="mailto:sanjeevrsharma010@gmail.com" TargetMode="External"/><Relationship Id="rId69" Type="http://schemas.openxmlformats.org/officeDocument/2006/relationships/hyperlink" Target="mailto:jyoti.somya@gmail.com" TargetMode="External"/><Relationship Id="rId77" Type="http://schemas.openxmlformats.org/officeDocument/2006/relationships/hyperlink" Target="mailto:shrini5599@gmail.com" TargetMode="External"/><Relationship Id="rId8" Type="http://schemas.openxmlformats.org/officeDocument/2006/relationships/hyperlink" Target="mailto:prasannameghana75@gmail.com" TargetMode="External"/><Relationship Id="rId51" Type="http://schemas.openxmlformats.org/officeDocument/2006/relationships/hyperlink" Target="mailto:mohammedyamin44@gmail.com" TargetMode="External"/><Relationship Id="rId72" Type="http://schemas.openxmlformats.org/officeDocument/2006/relationships/hyperlink" Target="mailto:sagrawal168@gmail.com" TargetMode="External"/><Relationship Id="rId80" Type="http://schemas.openxmlformats.org/officeDocument/2006/relationships/hyperlink" Target="mailto:trivedi.jyoti@gmail.com" TargetMode="External"/><Relationship Id="rId85" Type="http://schemas.openxmlformats.org/officeDocument/2006/relationships/hyperlink" Target="mailto:vignesh_chan@rediffmail.com" TargetMode="External"/><Relationship Id="rId3" Type="http://schemas.openxmlformats.org/officeDocument/2006/relationships/hyperlink" Target="mailto:mail2eemani@gmail.com" TargetMode="External"/><Relationship Id="rId12" Type="http://schemas.openxmlformats.org/officeDocument/2006/relationships/hyperlink" Target="mailto:nikhilreddy1253@gmail.com" TargetMode="External"/><Relationship Id="rId17" Type="http://schemas.openxmlformats.org/officeDocument/2006/relationships/hyperlink" Target="mailto:lathagandhi22@gmail.com" TargetMode="External"/><Relationship Id="rId25" Type="http://schemas.openxmlformats.org/officeDocument/2006/relationships/hyperlink" Target="mailto:shashankrr1@gmail.com" TargetMode="External"/><Relationship Id="rId33" Type="http://schemas.openxmlformats.org/officeDocument/2006/relationships/hyperlink" Target="mailto:manojmakadia@yahoo.co.in" TargetMode="External"/><Relationship Id="rId38" Type="http://schemas.openxmlformats.org/officeDocument/2006/relationships/hyperlink" Target="mailto:keerthychintu@gmail.com" TargetMode="External"/><Relationship Id="rId46" Type="http://schemas.openxmlformats.org/officeDocument/2006/relationships/hyperlink" Target="mailto:pavithrashankar4698@gmail.com" TargetMode="External"/><Relationship Id="rId59" Type="http://schemas.openxmlformats.org/officeDocument/2006/relationships/hyperlink" Target="mailto:manashpdphukan@gmail.com" TargetMode="External"/><Relationship Id="rId67" Type="http://schemas.openxmlformats.org/officeDocument/2006/relationships/hyperlink" Target="mailto:ginoriasunil@gmail.cm" TargetMode="External"/><Relationship Id="rId20" Type="http://schemas.openxmlformats.org/officeDocument/2006/relationships/hyperlink" Target="mailto:aakruthi2006@gmail.com" TargetMode="External"/><Relationship Id="rId41" Type="http://schemas.openxmlformats.org/officeDocument/2006/relationships/hyperlink" Target="mailto:velugurivenkataratnam@gmail.com" TargetMode="External"/><Relationship Id="rId54" Type="http://schemas.openxmlformats.org/officeDocument/2006/relationships/hyperlink" Target="mailto:dalprasad1974@gmail.com" TargetMode="External"/><Relationship Id="rId62" Type="http://schemas.openxmlformats.org/officeDocument/2006/relationships/hyperlink" Target="mailto:poojitha25122000@gmail.com" TargetMode="External"/><Relationship Id="rId70" Type="http://schemas.openxmlformats.org/officeDocument/2006/relationships/hyperlink" Target="mailto:somyav45@gmail.com" TargetMode="External"/><Relationship Id="rId75" Type="http://schemas.openxmlformats.org/officeDocument/2006/relationships/hyperlink" Target="mailto:jaypillai.k@gmail.com" TargetMode="External"/><Relationship Id="rId83" Type="http://schemas.openxmlformats.org/officeDocument/2006/relationships/hyperlink" Target="mailto:kiranmani317@gmail.com" TargetMode="External"/><Relationship Id="rId88" Type="http://schemas.openxmlformats.org/officeDocument/2006/relationships/hyperlink" Target="mailto:dwaraka1967@gmail.com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mailto:tjpsingh@outlook.com" TargetMode="External"/><Relationship Id="rId6" Type="http://schemas.openxmlformats.org/officeDocument/2006/relationships/hyperlink" Target="mailto:sudhi_sn@yahoo.com" TargetMode="External"/><Relationship Id="rId15" Type="http://schemas.openxmlformats.org/officeDocument/2006/relationships/hyperlink" Target="mailto:dinsk20@gmail.com" TargetMode="External"/><Relationship Id="rId23" Type="http://schemas.openxmlformats.org/officeDocument/2006/relationships/hyperlink" Target="mailto:sathishgoud6496@gmail.com" TargetMode="External"/><Relationship Id="rId28" Type="http://schemas.openxmlformats.org/officeDocument/2006/relationships/hyperlink" Target="mailto:abichowdary98765@gmail.com" TargetMode="External"/><Relationship Id="rId36" Type="http://schemas.openxmlformats.org/officeDocument/2006/relationships/hyperlink" Target="mailto:omana.prakash92@gmail.com" TargetMode="External"/><Relationship Id="rId49" Type="http://schemas.openxmlformats.org/officeDocument/2006/relationships/hyperlink" Target="mailto:gvnsaichowdary44@gmail.com" TargetMode="External"/><Relationship Id="rId57" Type="http://schemas.openxmlformats.org/officeDocument/2006/relationships/hyperlink" Target="mailto:vishnavichavv09@gmail.com" TargetMode="External"/><Relationship Id="rId10" Type="http://schemas.openxmlformats.org/officeDocument/2006/relationships/hyperlink" Target="mailto:saijayanth0855@gmail.com" TargetMode="External"/><Relationship Id="rId31" Type="http://schemas.openxmlformats.org/officeDocument/2006/relationships/hyperlink" Target="mailto:prof.lokeshg@gmail.com" TargetMode="External"/><Relationship Id="rId44" Type="http://schemas.openxmlformats.org/officeDocument/2006/relationships/hyperlink" Target="mailto:tejaswininarsepalli@gmail.com" TargetMode="External"/><Relationship Id="rId52" Type="http://schemas.openxmlformats.org/officeDocument/2006/relationships/hyperlink" Target="mailto:idam12373@gmail.com" TargetMode="External"/><Relationship Id="rId60" Type="http://schemas.openxmlformats.org/officeDocument/2006/relationships/hyperlink" Target="mailto:vkyadav_19@rediffmail.com" TargetMode="External"/><Relationship Id="rId65" Type="http://schemas.openxmlformats.org/officeDocument/2006/relationships/hyperlink" Target="mailto:s.pavankumar1990@gmail.com" TargetMode="External"/><Relationship Id="rId73" Type="http://schemas.openxmlformats.org/officeDocument/2006/relationships/hyperlink" Target="mailto:siyanandan@yahoo.co.in" TargetMode="External"/><Relationship Id="rId78" Type="http://schemas.openxmlformats.org/officeDocument/2006/relationships/hyperlink" Target="mailto:kritibanthia.1999@gmail.com" TargetMode="External"/><Relationship Id="rId81" Type="http://schemas.openxmlformats.org/officeDocument/2006/relationships/hyperlink" Target="mailto:manasvitrivedi@gmail.com" TargetMode="External"/><Relationship Id="rId86" Type="http://schemas.openxmlformats.org/officeDocument/2006/relationships/hyperlink" Target="mailto:chevidq@gmail.com" TargetMode="External"/><Relationship Id="rId4" Type="http://schemas.openxmlformats.org/officeDocument/2006/relationships/hyperlink" Target="mailto:mail2avamsi@gmail.cm" TargetMode="External"/><Relationship Id="rId9" Type="http://schemas.openxmlformats.org/officeDocument/2006/relationships/hyperlink" Target="mailto:pgchari20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vijaykumarek@gmail.com" TargetMode="External"/><Relationship Id="rId18" Type="http://schemas.openxmlformats.org/officeDocument/2006/relationships/hyperlink" Target="mailto:sanketjain619@gmail.com" TargetMode="External"/><Relationship Id="rId26" Type="http://schemas.openxmlformats.org/officeDocument/2006/relationships/hyperlink" Target="mailto:jadhavjj@yahoo.com" TargetMode="External"/><Relationship Id="rId39" Type="http://schemas.openxmlformats.org/officeDocument/2006/relationships/hyperlink" Target="mailto:kalyanpotti.rsb@gmail.com" TargetMode="External"/><Relationship Id="rId21" Type="http://schemas.openxmlformats.org/officeDocument/2006/relationships/hyperlink" Target="mailto:prabhakar1000@yahoo.com" TargetMode="External"/><Relationship Id="rId34" Type="http://schemas.openxmlformats.org/officeDocument/2006/relationships/hyperlink" Target="mailto:trptea@gmail.com" TargetMode="External"/><Relationship Id="rId42" Type="http://schemas.openxmlformats.org/officeDocument/2006/relationships/hyperlink" Target="mailto:sahamayuhh.ms@gmail.com" TargetMode="External"/><Relationship Id="rId47" Type="http://schemas.openxmlformats.org/officeDocument/2006/relationships/hyperlink" Target="mailto:naveenunni1269@gmail.com" TargetMode="External"/><Relationship Id="rId50" Type="http://schemas.openxmlformats.org/officeDocument/2006/relationships/hyperlink" Target="mailto:ssrprasadguptha@gmail.com" TargetMode="External"/><Relationship Id="rId55" Type="http://schemas.openxmlformats.org/officeDocument/2006/relationships/hyperlink" Target="mailto:dickingson.merchant@yahoo.co.in" TargetMode="External"/><Relationship Id="rId63" Type="http://schemas.openxmlformats.org/officeDocument/2006/relationships/hyperlink" Target="mailto:nirmitpanchal2000@gmail.com" TargetMode="External"/><Relationship Id="rId68" Type="http://schemas.openxmlformats.org/officeDocument/2006/relationships/hyperlink" Target="mailto:thangavel108@gmail.com" TargetMode="External"/><Relationship Id="rId76" Type="http://schemas.openxmlformats.org/officeDocument/2006/relationships/hyperlink" Target="mailto:sourav.maheta676@gmail.com" TargetMode="External"/><Relationship Id="rId84" Type="http://schemas.openxmlformats.org/officeDocument/2006/relationships/hyperlink" Target="mailto:govugv07@gmail.com" TargetMode="External"/><Relationship Id="rId7" Type="http://schemas.openxmlformats.org/officeDocument/2006/relationships/hyperlink" Target="mailto:bhr.radar@gmail.com" TargetMode="External"/><Relationship Id="rId71" Type="http://schemas.openxmlformats.org/officeDocument/2006/relationships/hyperlink" Target="mailto:bavanyadunath91@gmail.com" TargetMode="External"/><Relationship Id="rId2" Type="http://schemas.openxmlformats.org/officeDocument/2006/relationships/hyperlink" Target="mailto:dheerajtej987@gmail.com" TargetMode="External"/><Relationship Id="rId16" Type="http://schemas.openxmlformats.org/officeDocument/2006/relationships/hyperlink" Target="mailto:mahesh.thunuguntla123@gmail.com" TargetMode="External"/><Relationship Id="rId29" Type="http://schemas.openxmlformats.org/officeDocument/2006/relationships/hyperlink" Target="mailto:vinodsnair@live.com" TargetMode="External"/><Relationship Id="rId11" Type="http://schemas.openxmlformats.org/officeDocument/2006/relationships/hyperlink" Target="mailto:indurajeev1969@gmail.com" TargetMode="External"/><Relationship Id="rId24" Type="http://schemas.openxmlformats.org/officeDocument/2006/relationships/hyperlink" Target="mailto:bphitechcmc@gmail.com" TargetMode="External"/><Relationship Id="rId32" Type="http://schemas.openxmlformats.org/officeDocument/2006/relationships/hyperlink" Target="mailto:godderaja123@gmail.com" TargetMode="External"/><Relationship Id="rId37" Type="http://schemas.openxmlformats.org/officeDocument/2006/relationships/hyperlink" Target="mailto:maitipradipkumar@gmail.com" TargetMode="External"/><Relationship Id="rId40" Type="http://schemas.openxmlformats.org/officeDocument/2006/relationships/hyperlink" Target="mailto:pdharma2000@gmail.com" TargetMode="External"/><Relationship Id="rId45" Type="http://schemas.openxmlformats.org/officeDocument/2006/relationships/hyperlink" Target="mailto:kampilliyashwanth525@gmail.com" TargetMode="External"/><Relationship Id="rId53" Type="http://schemas.openxmlformats.org/officeDocument/2006/relationships/hyperlink" Target="mailto:arkumar1966plnr@gmail.com" TargetMode="External"/><Relationship Id="rId58" Type="http://schemas.openxmlformats.org/officeDocument/2006/relationships/hyperlink" Target="mailto:vijji.mailme@gmail.com" TargetMode="External"/><Relationship Id="rId66" Type="http://schemas.openxmlformats.org/officeDocument/2006/relationships/hyperlink" Target="mailto:happyh1312@gmail.com" TargetMode="External"/><Relationship Id="rId74" Type="http://schemas.openxmlformats.org/officeDocument/2006/relationships/hyperlink" Target="mailto:rohanrm123@gmail.com" TargetMode="External"/><Relationship Id="rId79" Type="http://schemas.openxmlformats.org/officeDocument/2006/relationships/hyperlink" Target="mailto:muralidharararao@gmail.com" TargetMode="External"/><Relationship Id="rId87" Type="http://schemas.openxmlformats.org/officeDocument/2006/relationships/hyperlink" Target="mailto:hetmit07@gmail.com" TargetMode="External"/><Relationship Id="rId5" Type="http://schemas.openxmlformats.org/officeDocument/2006/relationships/hyperlink" Target="mailto:suneelaraju@gmail.com" TargetMode="External"/><Relationship Id="rId61" Type="http://schemas.openxmlformats.org/officeDocument/2006/relationships/hyperlink" Target="mailto:aditya.rajputh@gmail.com" TargetMode="External"/><Relationship Id="rId82" Type="http://schemas.openxmlformats.org/officeDocument/2006/relationships/hyperlink" Target="mailto:muditngupta9@gmail.com" TargetMode="External"/><Relationship Id="rId19" Type="http://schemas.openxmlformats.org/officeDocument/2006/relationships/hyperlink" Target="mailto:simhareddy334@gmail.com" TargetMode="External"/><Relationship Id="rId4" Type="http://schemas.openxmlformats.org/officeDocument/2006/relationships/hyperlink" Target="mailto:geethikal900@gmail.com" TargetMode="External"/><Relationship Id="rId9" Type="http://schemas.openxmlformats.org/officeDocument/2006/relationships/hyperlink" Target="mailto:tamalkd19@gmail.com" TargetMode="External"/><Relationship Id="rId14" Type="http://schemas.openxmlformats.org/officeDocument/2006/relationships/hyperlink" Target="mailto:shreyasv9600@gmail.com" TargetMode="External"/><Relationship Id="rId22" Type="http://schemas.openxmlformats.org/officeDocument/2006/relationships/hyperlink" Target="mailto:eshavijay55@gmail.com" TargetMode="External"/><Relationship Id="rId27" Type="http://schemas.openxmlformats.org/officeDocument/2006/relationships/hyperlink" Target="mailto:smithamk123@gmail.com" TargetMode="External"/><Relationship Id="rId30" Type="http://schemas.openxmlformats.org/officeDocument/2006/relationships/hyperlink" Target="mailto:harrshdx@gmail.com" TargetMode="External"/><Relationship Id="rId35" Type="http://schemas.openxmlformats.org/officeDocument/2006/relationships/hyperlink" Target="mailto:tanmaydani2000@gmail.com" TargetMode="External"/><Relationship Id="rId43" Type="http://schemas.openxmlformats.org/officeDocument/2006/relationships/hyperlink" Target="mailto:gopal891@gmail.com" TargetMode="External"/><Relationship Id="rId48" Type="http://schemas.openxmlformats.org/officeDocument/2006/relationships/hyperlink" Target="mailto:mkvshotel@gmail.com" TargetMode="External"/><Relationship Id="rId56" Type="http://schemas.openxmlformats.org/officeDocument/2006/relationships/hyperlink" Target="mailto:markmerchant415@gmail.com" TargetMode="External"/><Relationship Id="rId64" Type="http://schemas.openxmlformats.org/officeDocument/2006/relationships/hyperlink" Target="mailto:kapishjindgar@gmail.com" TargetMode="External"/><Relationship Id="rId69" Type="http://schemas.openxmlformats.org/officeDocument/2006/relationships/hyperlink" Target="mailto:aakashkumar8038@gmail.com" TargetMode="External"/><Relationship Id="rId77" Type="http://schemas.openxmlformats.org/officeDocument/2006/relationships/hyperlink" Target="mailto:rita_9099@hotmail.com" TargetMode="External"/><Relationship Id="rId8" Type="http://schemas.openxmlformats.org/officeDocument/2006/relationships/hyperlink" Target="mailto:walaramsolanki@gmail.com" TargetMode="External"/><Relationship Id="rId51" Type="http://schemas.openxmlformats.org/officeDocument/2006/relationships/hyperlink" Target="mailto:shguptha99@gmail.com" TargetMode="External"/><Relationship Id="rId72" Type="http://schemas.openxmlformats.org/officeDocument/2006/relationships/hyperlink" Target="mailto:pandanad143@gmail.com" TargetMode="External"/><Relationship Id="rId80" Type="http://schemas.openxmlformats.org/officeDocument/2006/relationships/hyperlink" Target="mailto:girishmorla1@gmail.com" TargetMode="External"/><Relationship Id="rId85" Type="http://schemas.openxmlformats.org/officeDocument/2006/relationships/hyperlink" Target="mailto:veenasd3248@gmail.com" TargetMode="External"/><Relationship Id="rId3" Type="http://schemas.openxmlformats.org/officeDocument/2006/relationships/hyperlink" Target="mailto:lankimalla@gmail.com" TargetMode="External"/><Relationship Id="rId12" Type="http://schemas.openxmlformats.org/officeDocument/2006/relationships/hyperlink" Target="mailto:ashokskatla@gmail.com" TargetMode="External"/><Relationship Id="rId17" Type="http://schemas.openxmlformats.org/officeDocument/2006/relationships/hyperlink" Target="mailto:mahaveerjain0707@gmail.com" TargetMode="External"/><Relationship Id="rId25" Type="http://schemas.openxmlformats.org/officeDocument/2006/relationships/hyperlink" Target="mailto:uvaneshbaskar2000@gmail.com" TargetMode="External"/><Relationship Id="rId33" Type="http://schemas.openxmlformats.org/officeDocument/2006/relationships/hyperlink" Target="mailto:jaichandra830@gmail.com" TargetMode="External"/><Relationship Id="rId38" Type="http://schemas.openxmlformats.org/officeDocument/2006/relationships/hyperlink" Target="mailto:pabitramaity2001@gmail.com" TargetMode="External"/><Relationship Id="rId46" Type="http://schemas.openxmlformats.org/officeDocument/2006/relationships/hyperlink" Target="mailto:akshaymm2000@gmail.com" TargetMode="External"/><Relationship Id="rId59" Type="http://schemas.openxmlformats.org/officeDocument/2006/relationships/hyperlink" Target="mailto:daringsam7@gmail.com" TargetMode="External"/><Relationship Id="rId67" Type="http://schemas.openxmlformats.org/officeDocument/2006/relationships/hyperlink" Target="mailto:gowreddymanohar01@gmail.com" TargetMode="External"/><Relationship Id="rId20" Type="http://schemas.openxmlformats.org/officeDocument/2006/relationships/hyperlink" Target="mailto:nitishchand789@gmail.com" TargetMode="External"/><Relationship Id="rId41" Type="http://schemas.openxmlformats.org/officeDocument/2006/relationships/hyperlink" Target="mailto:sahamousumj.ms@gmail.com" TargetMode="External"/><Relationship Id="rId54" Type="http://schemas.openxmlformats.org/officeDocument/2006/relationships/hyperlink" Target="mailto:lokeshrckz369@gmail.com" TargetMode="External"/><Relationship Id="rId62" Type="http://schemas.openxmlformats.org/officeDocument/2006/relationships/hyperlink" Target="mailto:manojpanchal1975@gmail.com" TargetMode="External"/><Relationship Id="rId70" Type="http://schemas.openxmlformats.org/officeDocument/2006/relationships/hyperlink" Target="mailto:nayakabdulkhali@gmail.com" TargetMode="External"/><Relationship Id="rId75" Type="http://schemas.openxmlformats.org/officeDocument/2006/relationships/hyperlink" Target="mailto:bumaheta@gmail.com" TargetMode="External"/><Relationship Id="rId83" Type="http://schemas.openxmlformats.org/officeDocument/2006/relationships/hyperlink" Target="mailto:kripaunni708@gmail.com" TargetMode="External"/><Relationship Id="rId88" Type="http://schemas.openxmlformats.org/officeDocument/2006/relationships/hyperlink" Target="mailto:shahvedant2666@gmail.com" TargetMode="External"/><Relationship Id="rId1" Type="http://schemas.openxmlformats.org/officeDocument/2006/relationships/hyperlink" Target="mailto:ravisasi1972@gmail.com" TargetMode="External"/><Relationship Id="rId6" Type="http://schemas.openxmlformats.org/officeDocument/2006/relationships/hyperlink" Target="mailto:yarlagaddaragasri99@gmail.com" TargetMode="External"/><Relationship Id="rId15" Type="http://schemas.openxmlformats.org/officeDocument/2006/relationships/hyperlink" Target="mailto:umamaheswararao.h@gmail.com" TargetMode="External"/><Relationship Id="rId23" Type="http://schemas.openxmlformats.org/officeDocument/2006/relationships/hyperlink" Target="mailto:adinarayanaparlapalli52@gmail.com" TargetMode="External"/><Relationship Id="rId28" Type="http://schemas.openxmlformats.org/officeDocument/2006/relationships/hyperlink" Target="mailto:krithikbabu9@gmail.com" TargetMode="External"/><Relationship Id="rId36" Type="http://schemas.openxmlformats.org/officeDocument/2006/relationships/hyperlink" Target="mailto:thusharraj17@gmail.com" TargetMode="External"/><Relationship Id="rId49" Type="http://schemas.openxmlformats.org/officeDocument/2006/relationships/hyperlink" Target="mailto:doshinaman69@gmail.com" TargetMode="External"/><Relationship Id="rId57" Type="http://schemas.openxmlformats.org/officeDocument/2006/relationships/hyperlink" Target="mailto:ssrs2070@gmail.com" TargetMode="External"/><Relationship Id="rId10" Type="http://schemas.openxmlformats.org/officeDocument/2006/relationships/hyperlink" Target="mailto:rajeevrajimenon@gmail.com" TargetMode="External"/><Relationship Id="rId31" Type="http://schemas.openxmlformats.org/officeDocument/2006/relationships/hyperlink" Target="mailto:jvravikumar7@gmail.com" TargetMode="External"/><Relationship Id="rId44" Type="http://schemas.openxmlformats.org/officeDocument/2006/relationships/hyperlink" Target="mailto:rkkampili54@gmail.com" TargetMode="External"/><Relationship Id="rId52" Type="http://schemas.openxmlformats.org/officeDocument/2006/relationships/hyperlink" Target="mailto:suryasreddy143@gmail.com" TargetMode="External"/><Relationship Id="rId60" Type="http://schemas.openxmlformats.org/officeDocument/2006/relationships/hyperlink" Target="mailto:tg.umasingh@gmail.com" TargetMode="External"/><Relationship Id="rId65" Type="http://schemas.openxmlformats.org/officeDocument/2006/relationships/hyperlink" Target="mailto:nithinkonduru3@gmail.com" TargetMode="External"/><Relationship Id="rId73" Type="http://schemas.openxmlformats.org/officeDocument/2006/relationships/hyperlink" Target="mailto:ram.rekha.ram@gmail.com" TargetMode="External"/><Relationship Id="rId78" Type="http://schemas.openxmlformats.org/officeDocument/2006/relationships/hyperlink" Target="mailto:nirvaanshetty@gmail.com" TargetMode="External"/><Relationship Id="rId81" Type="http://schemas.openxmlformats.org/officeDocument/2006/relationships/hyperlink" Target="mailto:salony73@gmail.com" TargetMode="External"/><Relationship Id="rId86" Type="http://schemas.openxmlformats.org/officeDocument/2006/relationships/hyperlink" Target="mailto:surya2148ym@gmail.com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deepthi.teki09@outlook.com" TargetMode="External"/><Relationship Id="rId21" Type="http://schemas.openxmlformats.org/officeDocument/2006/relationships/hyperlink" Target="mailto:crelectricals17@gmail.com" TargetMode="External"/><Relationship Id="rId42" Type="http://schemas.openxmlformats.org/officeDocument/2006/relationships/hyperlink" Target="mailto:dsuryaneni@gmail.com" TargetMode="External"/><Relationship Id="rId47" Type="http://schemas.openxmlformats.org/officeDocument/2006/relationships/hyperlink" Target="mailto:psreenivasulukdr@gmail.com" TargetMode="External"/><Relationship Id="rId63" Type="http://schemas.openxmlformats.org/officeDocument/2006/relationships/hyperlink" Target="mailto:pkgaur7@gmail.com" TargetMode="External"/><Relationship Id="rId68" Type="http://schemas.openxmlformats.org/officeDocument/2006/relationships/hyperlink" Target="mailto:sagarkr987@gmail.com" TargetMode="External"/><Relationship Id="rId84" Type="http://schemas.openxmlformats.org/officeDocument/2006/relationships/hyperlink" Target="mailto:aniruddhnarayanan@gmail.com" TargetMode="External"/><Relationship Id="rId89" Type="http://schemas.openxmlformats.org/officeDocument/2006/relationships/hyperlink" Target="mailto:thephantumblu@gmail.com" TargetMode="External"/><Relationship Id="rId2" Type="http://schemas.openxmlformats.org/officeDocument/2006/relationships/hyperlink" Target="mailto:srutisk@gmail.com" TargetMode="External"/><Relationship Id="rId16" Type="http://schemas.openxmlformats.org/officeDocument/2006/relationships/hyperlink" Target="mailto:baskaranbond@gmail.com" TargetMode="External"/><Relationship Id="rId29" Type="http://schemas.openxmlformats.org/officeDocument/2006/relationships/hyperlink" Target="mailto:muralijena321@gmail.com" TargetMode="External"/><Relationship Id="rId107" Type="http://schemas.openxmlformats.org/officeDocument/2006/relationships/hyperlink" Target="mailto:visitatabhi29@gmail.com" TargetMode="External"/><Relationship Id="rId11" Type="http://schemas.openxmlformats.org/officeDocument/2006/relationships/hyperlink" Target="mailto:keshav.bachu2000@gmail.com" TargetMode="External"/><Relationship Id="rId24" Type="http://schemas.openxmlformats.org/officeDocument/2006/relationships/hyperlink" Target="mailto:isha0987jain@gmail.com" TargetMode="External"/><Relationship Id="rId32" Type="http://schemas.openxmlformats.org/officeDocument/2006/relationships/hyperlink" Target="mailto:akshaygupta8215@gmail.com" TargetMode="External"/><Relationship Id="rId37" Type="http://schemas.openxmlformats.org/officeDocument/2006/relationships/hyperlink" Target="mailto:sireesha121@gmail.com" TargetMode="External"/><Relationship Id="rId40" Type="http://schemas.openxmlformats.org/officeDocument/2006/relationships/hyperlink" Target="mailto:hjbafna@gmail.com" TargetMode="External"/><Relationship Id="rId45" Type="http://schemas.openxmlformats.org/officeDocument/2006/relationships/hyperlink" Target="mailto:vishakhaconstruction999@gmail.com" TargetMode="External"/><Relationship Id="rId53" Type="http://schemas.openxmlformats.org/officeDocument/2006/relationships/hyperlink" Target="mailto:vmukeshkanna@gmail.com" TargetMode="External"/><Relationship Id="rId58" Type="http://schemas.openxmlformats.org/officeDocument/2006/relationships/hyperlink" Target="mailto:ssvishnu28shigi@gmail.com" TargetMode="External"/><Relationship Id="rId66" Type="http://schemas.openxmlformats.org/officeDocument/2006/relationships/hyperlink" Target="mailto:aravind.annadurai12@gmail.com" TargetMode="External"/><Relationship Id="rId74" Type="http://schemas.openxmlformats.org/officeDocument/2006/relationships/hyperlink" Target="mailto:dammusai256@gmail.com" TargetMode="External"/><Relationship Id="rId79" Type="http://schemas.openxmlformats.org/officeDocument/2006/relationships/hyperlink" Target="mailto:tirthshah7@gmail.com" TargetMode="External"/><Relationship Id="rId87" Type="http://schemas.openxmlformats.org/officeDocument/2006/relationships/hyperlink" Target="mailto:maneeshreddy28@gmail.com" TargetMode="External"/><Relationship Id="rId102" Type="http://schemas.openxmlformats.org/officeDocument/2006/relationships/hyperlink" Target="mailto:stishay659@gmail.com" TargetMode="External"/><Relationship Id="rId110" Type="http://schemas.openxmlformats.org/officeDocument/2006/relationships/comments" Target="../comments2.xml"/><Relationship Id="rId5" Type="http://schemas.openxmlformats.org/officeDocument/2006/relationships/hyperlink" Target="mailto:amuthanreaper@gmail.com" TargetMode="External"/><Relationship Id="rId61" Type="http://schemas.openxmlformats.org/officeDocument/2006/relationships/hyperlink" Target="mailto:indukuriagencies@gmail.com" TargetMode="External"/><Relationship Id="rId82" Type="http://schemas.openxmlformats.org/officeDocument/2006/relationships/hyperlink" Target="mailto:chandrikachowdary025@gmail.com" TargetMode="External"/><Relationship Id="rId90" Type="http://schemas.openxmlformats.org/officeDocument/2006/relationships/hyperlink" Target="mailto:chereddygovar9@gmail.com" TargetMode="External"/><Relationship Id="rId95" Type="http://schemas.openxmlformats.org/officeDocument/2006/relationships/hyperlink" Target="mailto:bashakareemulla@gmail.com" TargetMode="External"/><Relationship Id="rId19" Type="http://schemas.openxmlformats.org/officeDocument/2006/relationships/hyperlink" Target="mailto:dhruvnp48@gmail.com" TargetMode="External"/><Relationship Id="rId14" Type="http://schemas.openxmlformats.org/officeDocument/2006/relationships/hyperlink" Target="mailto:citydecors1996@gmail.com" TargetMode="External"/><Relationship Id="rId22" Type="http://schemas.openxmlformats.org/officeDocument/2006/relationships/hyperlink" Target="mailto:jrsworldmac@gmail.com" TargetMode="External"/><Relationship Id="rId27" Type="http://schemas.openxmlformats.org/officeDocument/2006/relationships/hyperlink" Target="mailto:padmanabhank55@gmail.com" TargetMode="External"/><Relationship Id="rId30" Type="http://schemas.openxmlformats.org/officeDocument/2006/relationships/hyperlink" Target="mailto:amritjena77aj@gmail.com" TargetMode="External"/><Relationship Id="rId35" Type="http://schemas.openxmlformats.org/officeDocument/2006/relationships/hyperlink" Target="mailto:r.sudarshanstark@gmail.com" TargetMode="External"/><Relationship Id="rId43" Type="http://schemas.openxmlformats.org/officeDocument/2006/relationships/hyperlink" Target="mailto:kishorenjoshi@gmail.com" TargetMode="External"/><Relationship Id="rId48" Type="http://schemas.openxmlformats.org/officeDocument/2006/relationships/hyperlink" Target="mailto:singh.mahen1965@gmail.com" TargetMode="External"/><Relationship Id="rId56" Type="http://schemas.openxmlformats.org/officeDocument/2006/relationships/hyperlink" Target="mailto:namithmn@gmail.com" TargetMode="External"/><Relationship Id="rId64" Type="http://schemas.openxmlformats.org/officeDocument/2006/relationships/hyperlink" Target="mailto:riyagaur12@gmail.com" TargetMode="External"/><Relationship Id="rId69" Type="http://schemas.openxmlformats.org/officeDocument/2006/relationships/hyperlink" Target="mailto:sofiaarockia@gmail.com" TargetMode="External"/><Relationship Id="rId77" Type="http://schemas.openxmlformats.org/officeDocument/2006/relationships/hyperlink" Target="mailto:vishalnaidu0313@gmail.com" TargetMode="External"/><Relationship Id="rId100" Type="http://schemas.openxmlformats.org/officeDocument/2006/relationships/hyperlink" Target="mailto:kevinpayyappilly343@gmail.com" TargetMode="External"/><Relationship Id="rId105" Type="http://schemas.openxmlformats.org/officeDocument/2006/relationships/hyperlink" Target="mailto:jony.ghosh98@gmail.com" TargetMode="External"/><Relationship Id="rId8" Type="http://schemas.openxmlformats.org/officeDocument/2006/relationships/hyperlink" Target="mailto:nousheedansh45@gmail.com" TargetMode="External"/><Relationship Id="rId51" Type="http://schemas.openxmlformats.org/officeDocument/2006/relationships/hyperlink" Target="mailto:tusharjain137@gmail.com" TargetMode="External"/><Relationship Id="rId72" Type="http://schemas.openxmlformats.org/officeDocument/2006/relationships/hyperlink" Target="mailto:adityavelugotla0326@gmail.com" TargetMode="External"/><Relationship Id="rId80" Type="http://schemas.openxmlformats.org/officeDocument/2006/relationships/hyperlink" Target="mailto:shikha.chauhan71@gmail.com" TargetMode="External"/><Relationship Id="rId85" Type="http://schemas.openxmlformats.org/officeDocument/2006/relationships/hyperlink" Target="mailto:nameissriram@gmail.com" TargetMode="External"/><Relationship Id="rId93" Type="http://schemas.openxmlformats.org/officeDocument/2006/relationships/hyperlink" Target="mailto:dornalacoldstorage@gmail.com" TargetMode="External"/><Relationship Id="rId98" Type="http://schemas.openxmlformats.org/officeDocument/2006/relationships/hyperlink" Target="mailto:chowdaryaahlad@gmail.com" TargetMode="External"/><Relationship Id="rId3" Type="http://schemas.openxmlformats.org/officeDocument/2006/relationships/hyperlink" Target="mailto:saisaiamruth@gmail.com" TargetMode="External"/><Relationship Id="rId12" Type="http://schemas.openxmlformats.org/officeDocument/2006/relationships/hyperlink" Target="mailto:csaisubramanyam11@gmail.com" TargetMode="External"/><Relationship Id="rId17" Type="http://schemas.openxmlformats.org/officeDocument/2006/relationships/hyperlink" Target="mailto:aartishrikutty@gmail.com" TargetMode="External"/><Relationship Id="rId25" Type="http://schemas.openxmlformats.org/officeDocument/2006/relationships/hyperlink" Target="mailto:teki.tvvijay@gmail.com" TargetMode="External"/><Relationship Id="rId33" Type="http://schemas.openxmlformats.org/officeDocument/2006/relationships/hyperlink" Target="mailto:puttasuresh1970@gmail.com" TargetMode="External"/><Relationship Id="rId38" Type="http://schemas.openxmlformats.org/officeDocument/2006/relationships/hyperlink" Target="mailto:nithusha19@gmail.com" TargetMode="External"/><Relationship Id="rId46" Type="http://schemas.openxmlformats.org/officeDocument/2006/relationships/hyperlink" Target="mailto:archiesksingh@gmail.com" TargetMode="External"/><Relationship Id="rId59" Type="http://schemas.openxmlformats.org/officeDocument/2006/relationships/hyperlink" Target="mailto:tulsyanadb@gmail.com" TargetMode="External"/><Relationship Id="rId67" Type="http://schemas.openxmlformats.org/officeDocument/2006/relationships/hyperlink" Target="mailto:ravikumarkv1966@gmail.com" TargetMode="External"/><Relationship Id="rId103" Type="http://schemas.openxmlformats.org/officeDocument/2006/relationships/hyperlink" Target="mailto:prashantk838@gmail.com" TargetMode="External"/><Relationship Id="rId108" Type="http://schemas.openxmlformats.org/officeDocument/2006/relationships/hyperlink" Target="mailto:ajayshah8999@email.com" TargetMode="External"/><Relationship Id="rId20" Type="http://schemas.openxmlformats.org/officeDocument/2006/relationships/hyperlink" Target="mailto:harshitkothari123@gmail.com" TargetMode="External"/><Relationship Id="rId41" Type="http://schemas.openxmlformats.org/officeDocument/2006/relationships/hyperlink" Target="mailto:sanjusruju2000@gmail.com" TargetMode="External"/><Relationship Id="rId54" Type="http://schemas.openxmlformats.org/officeDocument/2006/relationships/hyperlink" Target="mailto:vidhayini.srikakula@gmail.com" TargetMode="External"/><Relationship Id="rId62" Type="http://schemas.openxmlformats.org/officeDocument/2006/relationships/hyperlink" Target="mailto:sai.indukur@gmail.com" TargetMode="External"/><Relationship Id="rId70" Type="http://schemas.openxmlformats.org/officeDocument/2006/relationships/hyperlink" Target="mailto:arojoshua8@gmail.com" TargetMode="External"/><Relationship Id="rId75" Type="http://schemas.openxmlformats.org/officeDocument/2006/relationships/hyperlink" Target="mailto:tamatamr@gmail.com" TargetMode="External"/><Relationship Id="rId83" Type="http://schemas.openxmlformats.org/officeDocument/2006/relationships/hyperlink" Target="mailto:sathiya_ani@yahoo.co.in" TargetMode="External"/><Relationship Id="rId88" Type="http://schemas.openxmlformats.org/officeDocument/2006/relationships/hyperlink" Target="mailto:murlirrao@gmail.com" TargetMode="External"/><Relationship Id="rId91" Type="http://schemas.openxmlformats.org/officeDocument/2006/relationships/hyperlink" Target="mailto:mahendarjainl@gmail.com" TargetMode="External"/><Relationship Id="rId96" Type="http://schemas.openxmlformats.org/officeDocument/2006/relationships/hyperlink" Target="mailto:shaiksabeeh@gmail.com" TargetMode="External"/><Relationship Id="rId1" Type="http://schemas.openxmlformats.org/officeDocument/2006/relationships/hyperlink" Target="mailto:sridevi_satish@yahoo.co.in" TargetMode="External"/><Relationship Id="rId6" Type="http://schemas.openxmlformats.org/officeDocument/2006/relationships/hyperlink" Target="mailto:chakravarthyksr@gmail.com" TargetMode="External"/><Relationship Id="rId15" Type="http://schemas.openxmlformats.org/officeDocument/2006/relationships/hyperlink" Target="mailto:mabhishekkumar1438@gmail.com" TargetMode="External"/><Relationship Id="rId23" Type="http://schemas.openxmlformats.org/officeDocument/2006/relationships/hyperlink" Target="mailto:naveen9440078916@gmail.com" TargetMode="External"/><Relationship Id="rId28" Type="http://schemas.openxmlformats.org/officeDocument/2006/relationships/hyperlink" Target="mailto:rahulaudi26@gmail.com" TargetMode="External"/><Relationship Id="rId36" Type="http://schemas.openxmlformats.org/officeDocument/2006/relationships/hyperlink" Target="mailto:ravysp24@gmail.com" TargetMode="External"/><Relationship Id="rId49" Type="http://schemas.openxmlformats.org/officeDocument/2006/relationships/hyperlink" Target="mailto:mayank.singh1998@gmail.com" TargetMode="External"/><Relationship Id="rId57" Type="http://schemas.openxmlformats.org/officeDocument/2006/relationships/hyperlink" Target="mailto:kalaishigi@gmail.com" TargetMode="External"/><Relationship Id="rId106" Type="http://schemas.openxmlformats.org/officeDocument/2006/relationships/hyperlink" Target="mailto:metrovarma@gmail.com" TargetMode="External"/><Relationship Id="rId10" Type="http://schemas.openxmlformats.org/officeDocument/2006/relationships/hyperlink" Target="mailto:rishitummalapudi@gmail.com" TargetMode="External"/><Relationship Id="rId31" Type="http://schemas.openxmlformats.org/officeDocument/2006/relationships/hyperlink" Target="mailto:hanumanthkaruna88@gmail.com" TargetMode="External"/><Relationship Id="rId44" Type="http://schemas.openxmlformats.org/officeDocument/2006/relationships/hyperlink" Target="mailto:joshikoushik@gmail.com" TargetMode="External"/><Relationship Id="rId52" Type="http://schemas.openxmlformats.org/officeDocument/2006/relationships/hyperlink" Target="mailto:pawancool3539@gmail.com" TargetMode="External"/><Relationship Id="rId60" Type="http://schemas.openxmlformats.org/officeDocument/2006/relationships/hyperlink" Target="mailto:chirayu8787@gmail.com" TargetMode="External"/><Relationship Id="rId65" Type="http://schemas.openxmlformats.org/officeDocument/2006/relationships/hyperlink" Target="mailto:annadurain@gmail.com" TargetMode="External"/><Relationship Id="rId73" Type="http://schemas.openxmlformats.org/officeDocument/2006/relationships/hyperlink" Target="mailto:dammuraju0321@gmail.com" TargetMode="External"/><Relationship Id="rId78" Type="http://schemas.openxmlformats.org/officeDocument/2006/relationships/hyperlink" Target="mailto:gaurangshah17@yahoo.com" TargetMode="External"/><Relationship Id="rId81" Type="http://schemas.openxmlformats.org/officeDocument/2006/relationships/hyperlink" Target="mailto:sparshc881@gmail.com" TargetMode="External"/><Relationship Id="rId86" Type="http://schemas.openxmlformats.org/officeDocument/2006/relationships/hyperlink" Target="mailto:jupalle.sanjeev77@gmail.com" TargetMode="External"/><Relationship Id="rId94" Type="http://schemas.openxmlformats.org/officeDocument/2006/relationships/hyperlink" Target="mailto:satvikreddy79@gmail.com" TargetMode="External"/><Relationship Id="rId99" Type="http://schemas.openxmlformats.org/officeDocument/2006/relationships/hyperlink" Target="mailto:lakshmipriyamu2000@gmail.com" TargetMode="External"/><Relationship Id="rId101" Type="http://schemas.openxmlformats.org/officeDocument/2006/relationships/hyperlink" Target="mailto:rajeevrajdhani5590@gmail.com" TargetMode="External"/><Relationship Id="rId4" Type="http://schemas.openxmlformats.org/officeDocument/2006/relationships/hyperlink" Target="mailto:myil@nathar.com" TargetMode="External"/><Relationship Id="rId9" Type="http://schemas.openxmlformats.org/officeDocument/2006/relationships/hyperlink" Target="mailto:satishtummalapudi@yahoo.com" TargetMode="External"/><Relationship Id="rId13" Type="http://schemas.openxmlformats.org/officeDocument/2006/relationships/hyperlink" Target="mailto:ptharunnathreddy@gmail.com" TargetMode="External"/><Relationship Id="rId18" Type="http://schemas.openxmlformats.org/officeDocument/2006/relationships/hyperlink" Target="mailto:viju149@rediffmail.com" TargetMode="External"/><Relationship Id="rId39" Type="http://schemas.openxmlformats.org/officeDocument/2006/relationships/hyperlink" Target="mailto:kamalkrjain00@gmail.com" TargetMode="External"/><Relationship Id="rId109" Type="http://schemas.openxmlformats.org/officeDocument/2006/relationships/vmlDrawing" Target="../drawings/vmlDrawing2.vml"/><Relationship Id="rId34" Type="http://schemas.openxmlformats.org/officeDocument/2006/relationships/hyperlink" Target="mailto:421pvv@gmail.com" TargetMode="External"/><Relationship Id="rId50" Type="http://schemas.openxmlformats.org/officeDocument/2006/relationships/hyperlink" Target="mailto:sk1jain@yahoo.com" TargetMode="External"/><Relationship Id="rId55" Type="http://schemas.openxmlformats.org/officeDocument/2006/relationships/hyperlink" Target="mailto:manojnv770@gmail.com" TargetMode="External"/><Relationship Id="rId76" Type="http://schemas.openxmlformats.org/officeDocument/2006/relationships/hyperlink" Target="mailto:krishnamohan.tamatam@gmail.com" TargetMode="External"/><Relationship Id="rId97" Type="http://schemas.openxmlformats.org/officeDocument/2006/relationships/hyperlink" Target="mailto:shuja644@gmail.com" TargetMode="External"/><Relationship Id="rId104" Type="http://schemas.openxmlformats.org/officeDocument/2006/relationships/hyperlink" Target="mailto:harshanand120@gmail.com" TargetMode="External"/><Relationship Id="rId7" Type="http://schemas.openxmlformats.org/officeDocument/2006/relationships/hyperlink" Target="mailto:chandrikakomanduri@gmail.com" TargetMode="External"/><Relationship Id="rId71" Type="http://schemas.openxmlformats.org/officeDocument/2006/relationships/hyperlink" Target="mailto:rvelugotla@gmail.com" TargetMode="External"/><Relationship Id="rId92" Type="http://schemas.openxmlformats.org/officeDocument/2006/relationships/hyperlink" Target="mailto:prasanthbafna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venkatahk05@gmail.com" TargetMode="External"/><Relationship Id="rId18" Type="http://schemas.openxmlformats.org/officeDocument/2006/relationships/hyperlink" Target="mailto:kedarvairagade@gmil.com" TargetMode="External"/><Relationship Id="rId26" Type="http://schemas.openxmlformats.org/officeDocument/2006/relationships/hyperlink" Target="mailto:shreemanraja@gmail.com" TargetMode="External"/><Relationship Id="rId39" Type="http://schemas.openxmlformats.org/officeDocument/2006/relationships/hyperlink" Target="mailto:lakshmi3212692@gmail.com" TargetMode="External"/><Relationship Id="rId3" Type="http://schemas.openxmlformats.org/officeDocument/2006/relationships/hyperlink" Target="mailto:reedipadhikary@gmail.com" TargetMode="External"/><Relationship Id="rId21" Type="http://schemas.openxmlformats.org/officeDocument/2006/relationships/hyperlink" Target="mailto:sreenidhi.pureddy@gmail.com" TargetMode="External"/><Relationship Id="rId34" Type="http://schemas.openxmlformats.org/officeDocument/2006/relationships/hyperlink" Target="mailto:ankurgupta25.98@gmail.com" TargetMode="External"/><Relationship Id="rId42" Type="http://schemas.openxmlformats.org/officeDocument/2006/relationships/hyperlink" Target="mailto:satishsportslko@gmail.com" TargetMode="External"/><Relationship Id="rId47" Type="http://schemas.openxmlformats.org/officeDocument/2006/relationships/hyperlink" Target="mailto:bhavana2277@gmail.com" TargetMode="External"/><Relationship Id="rId50" Type="http://schemas.openxmlformats.org/officeDocument/2006/relationships/hyperlink" Target="mailto:yusuf_jawan@yahoo.com" TargetMode="External"/><Relationship Id="rId7" Type="http://schemas.openxmlformats.org/officeDocument/2006/relationships/hyperlink" Target="mailto:srtk672@gmail.com" TargetMode="External"/><Relationship Id="rId12" Type="http://schemas.openxmlformats.org/officeDocument/2006/relationships/hyperlink" Target="mailto:mahaplastics@gmail.com" TargetMode="External"/><Relationship Id="rId17" Type="http://schemas.openxmlformats.org/officeDocument/2006/relationships/hyperlink" Target="mailto:anil92480@gmail.com" TargetMode="External"/><Relationship Id="rId25" Type="http://schemas.openxmlformats.org/officeDocument/2006/relationships/hyperlink" Target="mailto:rukma172@gmail.com" TargetMode="External"/><Relationship Id="rId33" Type="http://schemas.openxmlformats.org/officeDocument/2006/relationships/hyperlink" Target="mailto:vinaychamarthi98@gmail.com" TargetMode="External"/><Relationship Id="rId38" Type="http://schemas.openxmlformats.org/officeDocument/2006/relationships/hyperlink" Target="mailto:misbahuddin021@gmail.com" TargetMode="External"/><Relationship Id="rId46" Type="http://schemas.openxmlformats.org/officeDocument/2006/relationships/hyperlink" Target="mailto:vijayalaxmi77@gmail.com" TargetMode="External"/><Relationship Id="rId2" Type="http://schemas.openxmlformats.org/officeDocument/2006/relationships/hyperlink" Target="mailto:pmcsakthivel@gmail.com" TargetMode="External"/><Relationship Id="rId16" Type="http://schemas.openxmlformats.org/officeDocument/2006/relationships/hyperlink" Target="mailto:manasrawat1234@gmail.com" TargetMode="External"/><Relationship Id="rId20" Type="http://schemas.openxmlformats.org/officeDocument/2006/relationships/hyperlink" Target="mailto:suismaakb@gmail.com" TargetMode="External"/><Relationship Id="rId29" Type="http://schemas.openxmlformats.org/officeDocument/2006/relationships/hyperlink" Target="mailto:indlachaithanya@gmail.com" TargetMode="External"/><Relationship Id="rId41" Type="http://schemas.openxmlformats.org/officeDocument/2006/relationships/hyperlink" Target="mailto:gcvkumar54@gmail.com" TargetMode="External"/><Relationship Id="rId1" Type="http://schemas.openxmlformats.org/officeDocument/2006/relationships/hyperlink" Target="mailto:pmcsaravanan@gmail.com" TargetMode="External"/><Relationship Id="rId6" Type="http://schemas.openxmlformats.org/officeDocument/2006/relationships/hyperlink" Target="mailto:msuprakash9147@gmail.com" TargetMode="External"/><Relationship Id="rId11" Type="http://schemas.openxmlformats.org/officeDocument/2006/relationships/hyperlink" Target="mailto:jbrothers0028@gmail.com" TargetMode="External"/><Relationship Id="rId24" Type="http://schemas.openxmlformats.org/officeDocument/2006/relationships/hyperlink" Target="mailto:biswasakash743285@gmail.com" TargetMode="External"/><Relationship Id="rId32" Type="http://schemas.openxmlformats.org/officeDocument/2006/relationships/hyperlink" Target="mailto:sjaganathent@gmail.com" TargetMode="External"/><Relationship Id="rId37" Type="http://schemas.openxmlformats.org/officeDocument/2006/relationships/hyperlink" Target="mailto:shyamkumaray@gmail.com" TargetMode="External"/><Relationship Id="rId40" Type="http://schemas.openxmlformats.org/officeDocument/2006/relationships/hyperlink" Target="mailto:chand65160@gmail.com" TargetMode="External"/><Relationship Id="rId45" Type="http://schemas.openxmlformats.org/officeDocument/2006/relationships/hyperlink" Target="mailto:rishabhraj280@gmail.com" TargetMode="External"/><Relationship Id="rId5" Type="http://schemas.openxmlformats.org/officeDocument/2006/relationships/hyperlink" Target="mailto:karsouvik7872115553@gmail.com" TargetMode="External"/><Relationship Id="rId15" Type="http://schemas.openxmlformats.org/officeDocument/2006/relationships/hyperlink" Target="mailto:kulegipawan@gmail.com" TargetMode="External"/><Relationship Id="rId23" Type="http://schemas.openxmlformats.org/officeDocument/2006/relationships/hyperlink" Target="mailto:subratabiswas0510@gmail.com" TargetMode="External"/><Relationship Id="rId28" Type="http://schemas.openxmlformats.org/officeDocument/2006/relationships/hyperlink" Target="mailto:nandansr12345@gmail.com" TargetMode="External"/><Relationship Id="rId36" Type="http://schemas.openxmlformats.org/officeDocument/2006/relationships/hyperlink" Target="mailto:okgunjan123@gmail.com" TargetMode="External"/><Relationship Id="rId49" Type="http://schemas.openxmlformats.org/officeDocument/2006/relationships/hyperlink" Target="mailto:vaun2000s7@gmail.com" TargetMode="External"/><Relationship Id="rId10" Type="http://schemas.openxmlformats.org/officeDocument/2006/relationships/hyperlink" Target="mailto:kishoregk2001@gmail.com" TargetMode="External"/><Relationship Id="rId19" Type="http://schemas.openxmlformats.org/officeDocument/2006/relationships/hyperlink" Target="mailto:mithieshvairagade@gmail.com" TargetMode="External"/><Relationship Id="rId31" Type="http://schemas.openxmlformats.org/officeDocument/2006/relationships/hyperlink" Target="mailto:pushpinderchahal99@gmail.com" TargetMode="External"/><Relationship Id="rId44" Type="http://schemas.openxmlformats.org/officeDocument/2006/relationships/hyperlink" Target="mailto:geetu.c67@gmail.com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mailto:r.srisarvesh@gmail.com" TargetMode="External"/><Relationship Id="rId9" Type="http://schemas.openxmlformats.org/officeDocument/2006/relationships/hyperlink" Target="mailto:dgopinathan71@gmail.com" TargetMode="External"/><Relationship Id="rId14" Type="http://schemas.openxmlformats.org/officeDocument/2006/relationships/hyperlink" Target="mailto:vyshnavraj9947@gmail.com" TargetMode="External"/><Relationship Id="rId22" Type="http://schemas.openxmlformats.org/officeDocument/2006/relationships/hyperlink" Target="mailto:muditjain153@gmail.com" TargetMode="External"/><Relationship Id="rId27" Type="http://schemas.openxmlformats.org/officeDocument/2006/relationships/hyperlink" Target="mailto:supriyaverma000061@gmail.com" TargetMode="External"/><Relationship Id="rId30" Type="http://schemas.openxmlformats.org/officeDocument/2006/relationships/hyperlink" Target="mailto:jagdeepsingh1490a@gmail.com" TargetMode="External"/><Relationship Id="rId35" Type="http://schemas.openxmlformats.org/officeDocument/2006/relationships/hyperlink" Target="mailto:sakunravi@gmail.com" TargetMode="External"/><Relationship Id="rId43" Type="http://schemas.openxmlformats.org/officeDocument/2006/relationships/hyperlink" Target="mailto:srivastavasrijankumar@gmail.com" TargetMode="External"/><Relationship Id="rId48" Type="http://schemas.openxmlformats.org/officeDocument/2006/relationships/hyperlink" Target="mailto:veshwaranandco@gmail.com" TargetMode="External"/><Relationship Id="rId8" Type="http://schemas.openxmlformats.org/officeDocument/2006/relationships/hyperlink" Target="mailto:aswin2001barath@gmail.com" TargetMode="External"/><Relationship Id="rId51" Type="http://schemas.openxmlformats.org/officeDocument/2006/relationships/hyperlink" Target="mailto:rashedakhtar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H61"/>
  <sheetViews>
    <sheetView tabSelected="1" workbookViewId="0">
      <selection activeCell="AX8" sqref="AX8"/>
    </sheetView>
  </sheetViews>
  <sheetFormatPr defaultRowHeight="15" x14ac:dyDescent="0.25"/>
  <cols>
    <col min="1" max="1" width="5.42578125" customWidth="1"/>
    <col min="6" max="6" width="29.42578125" customWidth="1"/>
  </cols>
  <sheetData>
    <row r="1" spans="1:58" s="1" customFormat="1" ht="30.75" customHeight="1" x14ac:dyDescent="0.25">
      <c r="A1" s="46" t="s">
        <v>34</v>
      </c>
      <c r="B1" s="48" t="s">
        <v>57</v>
      </c>
      <c r="C1" s="37"/>
      <c r="D1" s="49" t="s">
        <v>0</v>
      </c>
      <c r="E1" s="46" t="s">
        <v>28</v>
      </c>
      <c r="F1" s="46" t="s">
        <v>1</v>
      </c>
      <c r="G1" s="49" t="s">
        <v>2</v>
      </c>
      <c r="H1" s="49" t="s">
        <v>3</v>
      </c>
      <c r="I1" s="49" t="s">
        <v>4</v>
      </c>
      <c r="J1" s="49" t="s">
        <v>5</v>
      </c>
      <c r="K1" s="46" t="s">
        <v>6</v>
      </c>
      <c r="L1" s="49" t="s">
        <v>10</v>
      </c>
      <c r="M1" s="45" t="s">
        <v>7</v>
      </c>
      <c r="N1" s="50" t="s">
        <v>8</v>
      </c>
      <c r="O1" s="49" t="s">
        <v>9</v>
      </c>
      <c r="P1" s="46" t="s">
        <v>43</v>
      </c>
      <c r="Q1" s="49" t="s">
        <v>11</v>
      </c>
      <c r="R1" s="51" t="s">
        <v>31</v>
      </c>
      <c r="S1" s="52" t="s">
        <v>12</v>
      </c>
      <c r="T1" s="46" t="s">
        <v>13</v>
      </c>
      <c r="U1" s="53" t="s">
        <v>27</v>
      </c>
      <c r="V1" s="54"/>
      <c r="W1" s="46" t="s">
        <v>44</v>
      </c>
      <c r="X1" s="46" t="s">
        <v>52</v>
      </c>
      <c r="Y1" s="46" t="s">
        <v>32</v>
      </c>
      <c r="Z1" s="49" t="s">
        <v>40</v>
      </c>
      <c r="AA1" s="49" t="s">
        <v>39</v>
      </c>
      <c r="AB1" s="49" t="s">
        <v>14</v>
      </c>
      <c r="AC1" s="46" t="s">
        <v>66</v>
      </c>
      <c r="AD1" s="49" t="s">
        <v>33</v>
      </c>
      <c r="AE1" s="46" t="s">
        <v>42</v>
      </c>
      <c r="AF1" s="49" t="s">
        <v>41</v>
      </c>
      <c r="AG1" s="49" t="s">
        <v>15</v>
      </c>
      <c r="AH1" s="46" t="s">
        <v>55</v>
      </c>
      <c r="AI1" s="46" t="s">
        <v>29</v>
      </c>
      <c r="AJ1" s="46" t="s">
        <v>45</v>
      </c>
      <c r="AK1" s="46" t="s">
        <v>56</v>
      </c>
      <c r="AL1" s="49" t="s">
        <v>16</v>
      </c>
      <c r="AM1" s="46" t="s">
        <v>17</v>
      </c>
      <c r="AN1" s="49" t="s">
        <v>18</v>
      </c>
      <c r="AO1" s="49" t="s">
        <v>17</v>
      </c>
      <c r="AP1" s="49" t="s">
        <v>19</v>
      </c>
      <c r="AQ1" s="49" t="s">
        <v>47</v>
      </c>
      <c r="AR1" s="55" t="s">
        <v>48</v>
      </c>
      <c r="AS1" s="49" t="s">
        <v>46</v>
      </c>
      <c r="AT1" s="49" t="s">
        <v>25</v>
      </c>
      <c r="AU1" s="49" t="s">
        <v>30</v>
      </c>
      <c r="AV1" s="49" t="s">
        <v>27</v>
      </c>
      <c r="AW1" s="49" t="s">
        <v>20</v>
      </c>
      <c r="AX1" s="49" t="s">
        <v>26</v>
      </c>
      <c r="AY1" s="49" t="s">
        <v>21</v>
      </c>
      <c r="AZ1" s="46" t="s">
        <v>49</v>
      </c>
      <c r="BA1" s="46" t="s">
        <v>50</v>
      </c>
      <c r="BB1" s="49" t="s">
        <v>51</v>
      </c>
      <c r="BC1" s="49" t="s">
        <v>53</v>
      </c>
      <c r="BD1" s="49" t="s">
        <v>54</v>
      </c>
      <c r="BE1" s="46" t="s">
        <v>145</v>
      </c>
      <c r="BF1" s="46" t="s">
        <v>22</v>
      </c>
    </row>
    <row r="2" spans="1:58" s="1" customFormat="1" ht="38.25" x14ac:dyDescent="0.25">
      <c r="A2" s="47"/>
      <c r="B2" s="48"/>
      <c r="C2" s="37"/>
      <c r="D2" s="49"/>
      <c r="E2" s="47"/>
      <c r="F2" s="47"/>
      <c r="G2" s="49"/>
      <c r="H2" s="49"/>
      <c r="I2" s="49"/>
      <c r="J2" s="49"/>
      <c r="K2" s="47"/>
      <c r="L2" s="49"/>
      <c r="M2" s="45"/>
      <c r="N2" s="50"/>
      <c r="O2" s="49"/>
      <c r="P2" s="47"/>
      <c r="Q2" s="49"/>
      <c r="R2" s="51"/>
      <c r="S2" s="52"/>
      <c r="T2" s="47"/>
      <c r="U2" s="23" t="s">
        <v>23</v>
      </c>
      <c r="V2" s="23" t="s">
        <v>24</v>
      </c>
      <c r="W2" s="47"/>
      <c r="X2" s="47"/>
      <c r="Y2" s="47"/>
      <c r="Z2" s="49"/>
      <c r="AA2" s="49"/>
      <c r="AB2" s="49"/>
      <c r="AC2" s="47"/>
      <c r="AD2" s="49"/>
      <c r="AE2" s="47"/>
      <c r="AF2" s="49"/>
      <c r="AG2" s="49"/>
      <c r="AH2" s="47"/>
      <c r="AI2" s="47"/>
      <c r="AJ2" s="47"/>
      <c r="AK2" s="47"/>
      <c r="AL2" s="49"/>
      <c r="AM2" s="47"/>
      <c r="AN2" s="49"/>
      <c r="AO2" s="49"/>
      <c r="AP2" s="49"/>
      <c r="AQ2" s="49"/>
      <c r="AR2" s="56"/>
      <c r="AS2" s="49"/>
      <c r="AT2" s="49"/>
      <c r="AU2" s="49"/>
      <c r="AV2" s="49"/>
      <c r="AW2" s="49"/>
      <c r="AX2" s="49"/>
      <c r="AY2" s="49"/>
      <c r="AZ2" s="47"/>
      <c r="BA2" s="47"/>
      <c r="BB2" s="49"/>
      <c r="BC2" s="49"/>
      <c r="BD2" s="49"/>
      <c r="BE2" s="47"/>
      <c r="BF2" s="47"/>
    </row>
    <row r="3" spans="1:58" s="2" customFormat="1" ht="80.099999999999994" customHeight="1" x14ac:dyDescent="0.25">
      <c r="A3" s="2">
        <v>1</v>
      </c>
      <c r="B3" s="2">
        <v>12</v>
      </c>
      <c r="C3" s="2" t="s">
        <v>4444</v>
      </c>
      <c r="D3" s="2" t="s">
        <v>119</v>
      </c>
      <c r="F3" s="7" t="s">
        <v>120</v>
      </c>
      <c r="G3" s="2" t="s">
        <v>91</v>
      </c>
      <c r="H3" s="2" t="s">
        <v>35</v>
      </c>
      <c r="I3" s="2" t="s">
        <v>68</v>
      </c>
      <c r="J3" s="2" t="s">
        <v>36</v>
      </c>
      <c r="K3" s="2" t="s">
        <v>121</v>
      </c>
      <c r="L3" s="2" t="s">
        <v>82</v>
      </c>
      <c r="M3" s="2" t="s">
        <v>122</v>
      </c>
      <c r="N3" s="2" t="s">
        <v>95</v>
      </c>
      <c r="O3" s="2" t="s">
        <v>123</v>
      </c>
      <c r="P3" s="2" t="s">
        <v>62</v>
      </c>
      <c r="Q3" s="2" t="s">
        <v>63</v>
      </c>
      <c r="R3" s="2">
        <v>390261</v>
      </c>
      <c r="S3" s="2">
        <v>2018</v>
      </c>
      <c r="T3" s="2" t="s">
        <v>64</v>
      </c>
      <c r="U3" s="2" t="s">
        <v>65</v>
      </c>
      <c r="V3" s="2" t="s">
        <v>37</v>
      </c>
      <c r="W3" s="2" t="s">
        <v>37</v>
      </c>
      <c r="X3" s="2" t="s">
        <v>37</v>
      </c>
      <c r="Y3" s="2">
        <v>384</v>
      </c>
      <c r="Z3" s="2">
        <v>600</v>
      </c>
      <c r="AA3" s="2">
        <f t="shared" ref="AA3:AA34" si="0">Y3/Z3*100</f>
        <v>64</v>
      </c>
      <c r="AB3" s="2">
        <f>69+63+55</f>
        <v>187</v>
      </c>
      <c r="AC3" s="2">
        <v>300</v>
      </c>
      <c r="AD3" s="2">
        <f t="shared" ref="AD3:AD34" si="1">AB3/AC3*100</f>
        <v>62.333333333333329</v>
      </c>
      <c r="AE3" s="2" t="s">
        <v>124</v>
      </c>
      <c r="AF3" s="2" t="s">
        <v>112</v>
      </c>
      <c r="AG3" s="2" t="s">
        <v>112</v>
      </c>
      <c r="AH3" s="2">
        <v>10000</v>
      </c>
      <c r="AI3" s="2">
        <v>205000</v>
      </c>
      <c r="AJ3" s="2">
        <v>27500</v>
      </c>
      <c r="AK3" s="2">
        <f t="shared" ref="AK3:AK34" si="2">AH3+AI3+AJ3</f>
        <v>242500</v>
      </c>
      <c r="AL3" s="2" t="s">
        <v>125</v>
      </c>
      <c r="AM3" s="2" t="s">
        <v>128</v>
      </c>
      <c r="AN3" s="2" t="s">
        <v>126</v>
      </c>
      <c r="AO3" s="2" t="s">
        <v>127</v>
      </c>
      <c r="AP3" s="2">
        <v>2000000</v>
      </c>
      <c r="AQ3" s="2" t="s">
        <v>129</v>
      </c>
      <c r="AR3" s="4" t="s">
        <v>134</v>
      </c>
      <c r="AS3" s="2" t="s">
        <v>130</v>
      </c>
      <c r="AT3" s="2" t="s">
        <v>131</v>
      </c>
      <c r="AU3" s="2" t="s">
        <v>95</v>
      </c>
      <c r="AV3" s="2" t="s">
        <v>65</v>
      </c>
      <c r="AW3" s="2">
        <v>560030</v>
      </c>
      <c r="AZ3" s="2">
        <v>8861210783</v>
      </c>
      <c r="BA3" s="2">
        <v>8861355999</v>
      </c>
      <c r="BB3" s="2">
        <v>9902811888</v>
      </c>
      <c r="BC3" s="3" t="s">
        <v>133</v>
      </c>
      <c r="BD3" s="3" t="s">
        <v>132</v>
      </c>
      <c r="BE3" s="5" t="s">
        <v>146</v>
      </c>
      <c r="BF3" s="2" t="s">
        <v>109</v>
      </c>
    </row>
    <row r="4" spans="1:58" s="2" customFormat="1" ht="80.099999999999994" customHeight="1" x14ac:dyDescent="0.25">
      <c r="A4" s="2">
        <v>2</v>
      </c>
      <c r="B4" s="2">
        <v>34</v>
      </c>
      <c r="C4" s="2" t="s">
        <v>4444</v>
      </c>
      <c r="D4" s="2" t="s">
        <v>119</v>
      </c>
      <c r="F4" s="7" t="s">
        <v>210</v>
      </c>
      <c r="G4" s="2" t="s">
        <v>38</v>
      </c>
      <c r="H4" s="2" t="s">
        <v>35</v>
      </c>
      <c r="I4" s="2" t="s">
        <v>68</v>
      </c>
      <c r="J4" s="2" t="s">
        <v>36</v>
      </c>
      <c r="K4" s="2" t="s">
        <v>148</v>
      </c>
      <c r="L4" s="2" t="s">
        <v>214</v>
      </c>
      <c r="M4" s="2" t="s">
        <v>211</v>
      </c>
      <c r="N4" s="2" t="s">
        <v>215</v>
      </c>
      <c r="O4" s="2" t="s">
        <v>83</v>
      </c>
      <c r="P4" s="2" t="s">
        <v>85</v>
      </c>
      <c r="Q4" s="2" t="s">
        <v>63</v>
      </c>
      <c r="R4" s="2">
        <v>431570</v>
      </c>
      <c r="S4" s="2">
        <v>2018</v>
      </c>
      <c r="T4" s="2" t="s">
        <v>64</v>
      </c>
      <c r="U4" s="2" t="s">
        <v>65</v>
      </c>
      <c r="V4" s="2" t="s">
        <v>37</v>
      </c>
      <c r="W4" s="2" t="s">
        <v>37</v>
      </c>
      <c r="X4" s="2" t="s">
        <v>37</v>
      </c>
      <c r="Y4" s="2">
        <v>414</v>
      </c>
      <c r="Z4" s="2">
        <v>600</v>
      </c>
      <c r="AA4" s="2">
        <f t="shared" si="0"/>
        <v>69</v>
      </c>
      <c r="AB4" s="2">
        <f>68+72+70</f>
        <v>210</v>
      </c>
      <c r="AC4" s="2">
        <v>300</v>
      </c>
      <c r="AD4" s="2">
        <f t="shared" si="1"/>
        <v>70</v>
      </c>
      <c r="AE4" s="2" t="s">
        <v>216</v>
      </c>
      <c r="AF4" s="2" t="s">
        <v>204</v>
      </c>
      <c r="AG4" s="2" t="s">
        <v>204</v>
      </c>
      <c r="AH4" s="2">
        <v>10000</v>
      </c>
      <c r="AI4" s="2">
        <v>215000</v>
      </c>
      <c r="AJ4" s="2">
        <v>27500</v>
      </c>
      <c r="AK4" s="2">
        <f t="shared" si="2"/>
        <v>252500</v>
      </c>
      <c r="AL4" s="2" t="s">
        <v>212</v>
      </c>
      <c r="AM4" s="2" t="s">
        <v>78</v>
      </c>
      <c r="AN4" s="2" t="s">
        <v>213</v>
      </c>
      <c r="AO4" s="2" t="s">
        <v>217</v>
      </c>
      <c r="AP4" s="2">
        <v>120000</v>
      </c>
      <c r="AQ4" s="2" t="s">
        <v>218</v>
      </c>
      <c r="AR4" s="4" t="s">
        <v>219</v>
      </c>
      <c r="AS4" s="2" t="s">
        <v>220</v>
      </c>
      <c r="AT4" s="2" t="s">
        <v>221</v>
      </c>
      <c r="AU4" s="2" t="s">
        <v>95</v>
      </c>
      <c r="AV4" s="2" t="s">
        <v>65</v>
      </c>
      <c r="AW4" s="2">
        <v>560061</v>
      </c>
      <c r="AX4" s="2" t="s">
        <v>222</v>
      </c>
      <c r="AZ4" s="2">
        <v>9663513506</v>
      </c>
      <c r="BA4" s="2">
        <v>8105308869</v>
      </c>
      <c r="BB4" s="2">
        <v>9900505757</v>
      </c>
      <c r="BE4" s="2" t="s">
        <v>223</v>
      </c>
      <c r="BF4" s="2" t="s">
        <v>224</v>
      </c>
    </row>
    <row r="5" spans="1:58" s="2" customFormat="1" ht="80.099999999999994" customHeight="1" x14ac:dyDescent="0.25">
      <c r="A5" s="2">
        <v>3</v>
      </c>
      <c r="B5" s="2">
        <v>36</v>
      </c>
      <c r="C5" s="2" t="s">
        <v>4444</v>
      </c>
      <c r="D5" s="2" t="s">
        <v>119</v>
      </c>
      <c r="F5" s="7" t="s">
        <v>232</v>
      </c>
      <c r="G5" s="2" t="s">
        <v>38</v>
      </c>
      <c r="H5" s="2" t="s">
        <v>35</v>
      </c>
      <c r="I5" s="2" t="s">
        <v>68</v>
      </c>
      <c r="J5" s="2" t="s">
        <v>36</v>
      </c>
      <c r="K5" s="2" t="s">
        <v>233</v>
      </c>
      <c r="L5" s="2" t="s">
        <v>234</v>
      </c>
      <c r="M5" s="2" t="s">
        <v>141</v>
      </c>
      <c r="N5" s="2" t="s">
        <v>235</v>
      </c>
      <c r="O5" s="2" t="s">
        <v>83</v>
      </c>
      <c r="Q5" s="2" t="s">
        <v>74</v>
      </c>
      <c r="R5" s="2">
        <v>1805216379</v>
      </c>
      <c r="S5" s="2">
        <v>2018</v>
      </c>
      <c r="T5" s="2" t="s">
        <v>89</v>
      </c>
      <c r="U5" s="2" t="s">
        <v>37</v>
      </c>
      <c r="V5" s="2" t="s">
        <v>215</v>
      </c>
      <c r="W5" s="2">
        <v>952</v>
      </c>
      <c r="X5" s="2">
        <f t="shared" ref="X5:X10" si="3">W5/1000*100</f>
        <v>95.199999999999989</v>
      </c>
      <c r="Y5" s="2">
        <f>89+98+71+64+60+30+56+30</f>
        <v>498</v>
      </c>
      <c r="Z5" s="2">
        <v>600</v>
      </c>
      <c r="AA5" s="2">
        <f t="shared" si="0"/>
        <v>83</v>
      </c>
      <c r="AB5" s="2">
        <f>72+75+59+58+71+64+60+30+56+30</f>
        <v>575</v>
      </c>
      <c r="AC5" s="2">
        <v>600</v>
      </c>
      <c r="AD5" s="2">
        <f t="shared" si="1"/>
        <v>95.833333333333343</v>
      </c>
      <c r="AE5" s="2" t="s">
        <v>236</v>
      </c>
      <c r="AF5" s="2" t="s">
        <v>204</v>
      </c>
      <c r="AG5" s="2" t="s">
        <v>204</v>
      </c>
      <c r="AH5" s="2">
        <v>10000</v>
      </c>
      <c r="AI5" s="2">
        <v>215000</v>
      </c>
      <c r="AJ5" s="2">
        <v>27500</v>
      </c>
      <c r="AK5" s="2">
        <f t="shared" si="2"/>
        <v>252500</v>
      </c>
      <c r="AL5" s="2" t="s">
        <v>242</v>
      </c>
      <c r="AM5" s="2" t="s">
        <v>78</v>
      </c>
      <c r="AN5" s="2" t="s">
        <v>241</v>
      </c>
      <c r="AO5" s="2" t="s">
        <v>67</v>
      </c>
      <c r="AP5" s="2">
        <v>24000</v>
      </c>
      <c r="AQ5" s="2" t="s">
        <v>243</v>
      </c>
      <c r="AR5" s="4" t="s">
        <v>237</v>
      </c>
      <c r="AS5" s="2" t="s">
        <v>244</v>
      </c>
      <c r="AT5" s="2" t="s">
        <v>235</v>
      </c>
      <c r="AU5" s="2" t="s">
        <v>169</v>
      </c>
      <c r="AV5" s="2" t="s">
        <v>88</v>
      </c>
      <c r="AW5" s="2">
        <v>518422</v>
      </c>
      <c r="AX5" s="2" t="s">
        <v>244</v>
      </c>
      <c r="AY5" s="2" t="s">
        <v>238</v>
      </c>
      <c r="AZ5" s="2">
        <v>8790590812</v>
      </c>
      <c r="BA5" s="2">
        <v>7013254416</v>
      </c>
      <c r="BB5" s="2">
        <v>7702823195</v>
      </c>
      <c r="BD5" s="3" t="s">
        <v>239</v>
      </c>
      <c r="BE5" s="2" t="s">
        <v>240</v>
      </c>
      <c r="BF5" s="2" t="s">
        <v>113</v>
      </c>
    </row>
    <row r="6" spans="1:58" s="2" customFormat="1" ht="80.099999999999994" customHeight="1" x14ac:dyDescent="0.25">
      <c r="A6" s="2">
        <v>4</v>
      </c>
      <c r="B6" s="6">
        <v>41</v>
      </c>
      <c r="C6" s="2" t="s">
        <v>4444</v>
      </c>
      <c r="D6" s="2" t="s">
        <v>119</v>
      </c>
      <c r="F6" s="7" t="s">
        <v>251</v>
      </c>
      <c r="G6" s="2" t="s">
        <v>38</v>
      </c>
      <c r="H6" s="2" t="s">
        <v>35</v>
      </c>
      <c r="I6" s="2" t="s">
        <v>68</v>
      </c>
      <c r="J6" s="2" t="s">
        <v>36</v>
      </c>
      <c r="K6" s="2" t="s">
        <v>253</v>
      </c>
      <c r="L6" s="2" t="s">
        <v>254</v>
      </c>
      <c r="M6" s="2" t="s">
        <v>255</v>
      </c>
      <c r="N6" s="2" t="s">
        <v>256</v>
      </c>
      <c r="O6" s="2" t="s">
        <v>83</v>
      </c>
      <c r="P6" s="2" t="s">
        <v>73</v>
      </c>
      <c r="Q6" s="2" t="s">
        <v>74</v>
      </c>
      <c r="R6" s="2">
        <v>1806216471</v>
      </c>
      <c r="S6" s="2">
        <v>2018</v>
      </c>
      <c r="T6" s="2" t="s">
        <v>89</v>
      </c>
      <c r="U6" s="2" t="s">
        <v>37</v>
      </c>
      <c r="V6" s="2" t="s">
        <v>215</v>
      </c>
      <c r="W6" s="2">
        <v>794</v>
      </c>
      <c r="X6" s="2">
        <f t="shared" si="3"/>
        <v>79.400000000000006</v>
      </c>
      <c r="Y6" s="2">
        <f>85+97+44+33+52+28+57+28</f>
        <v>424</v>
      </c>
      <c r="Z6" s="2">
        <v>530</v>
      </c>
      <c r="AA6" s="2">
        <f t="shared" si="0"/>
        <v>80</v>
      </c>
      <c r="AB6" s="2">
        <f>47+44+47+33+46+52+52+57+28+28</f>
        <v>434</v>
      </c>
      <c r="AC6" s="2">
        <v>600</v>
      </c>
      <c r="AD6" s="2">
        <f t="shared" si="1"/>
        <v>72.333333333333343</v>
      </c>
      <c r="AE6" s="2" t="s">
        <v>257</v>
      </c>
      <c r="AF6" s="2" t="s">
        <v>258</v>
      </c>
      <c r="AG6" s="2" t="s">
        <v>258</v>
      </c>
      <c r="AH6" s="2">
        <v>10000</v>
      </c>
      <c r="AI6" s="2">
        <v>215000</v>
      </c>
      <c r="AJ6" s="2">
        <v>27500</v>
      </c>
      <c r="AK6" s="2">
        <f t="shared" si="2"/>
        <v>252500</v>
      </c>
      <c r="AL6" s="2" t="s">
        <v>259</v>
      </c>
      <c r="AM6" s="2" t="s">
        <v>78</v>
      </c>
      <c r="AN6" s="2" t="s">
        <v>260</v>
      </c>
      <c r="AO6" s="2" t="s">
        <v>261</v>
      </c>
      <c r="AP6" s="2">
        <v>100000</v>
      </c>
      <c r="AQ6" s="2" t="s">
        <v>262</v>
      </c>
      <c r="AR6" s="4" t="s">
        <v>266</v>
      </c>
      <c r="AS6" s="2" t="s">
        <v>263</v>
      </c>
      <c r="AT6" s="2" t="s">
        <v>264</v>
      </c>
      <c r="AU6" s="2" t="s">
        <v>256</v>
      </c>
      <c r="AV6" s="2" t="s">
        <v>88</v>
      </c>
      <c r="AW6" s="2">
        <v>522002</v>
      </c>
      <c r="AX6" s="2" t="s">
        <v>263</v>
      </c>
      <c r="AZ6" s="2">
        <v>9177454647</v>
      </c>
      <c r="BA6" s="2">
        <v>9618206465</v>
      </c>
      <c r="BB6" s="2">
        <v>9177454647</v>
      </c>
      <c r="BD6" s="3" t="s">
        <v>265</v>
      </c>
      <c r="BE6" s="2" t="s">
        <v>4102</v>
      </c>
      <c r="BF6" s="2" t="s">
        <v>144</v>
      </c>
    </row>
    <row r="7" spans="1:58" s="2" customFormat="1" ht="80.099999999999994" customHeight="1" x14ac:dyDescent="0.25">
      <c r="A7" s="2">
        <v>5</v>
      </c>
      <c r="B7" s="6">
        <v>42</v>
      </c>
      <c r="C7" s="2" t="s">
        <v>4444</v>
      </c>
      <c r="D7" s="2" t="s">
        <v>119</v>
      </c>
      <c r="F7" s="7" t="s">
        <v>252</v>
      </c>
      <c r="G7" s="2" t="s">
        <v>38</v>
      </c>
      <c r="H7" s="2" t="s">
        <v>35</v>
      </c>
      <c r="I7" s="2" t="s">
        <v>68</v>
      </c>
      <c r="J7" s="2" t="s">
        <v>36</v>
      </c>
      <c r="K7" s="2" t="s">
        <v>253</v>
      </c>
      <c r="L7" s="2" t="s">
        <v>254</v>
      </c>
      <c r="M7" s="2" t="s">
        <v>267</v>
      </c>
      <c r="N7" s="2" t="s">
        <v>161</v>
      </c>
      <c r="O7" s="2" t="s">
        <v>83</v>
      </c>
      <c r="P7" s="2" t="s">
        <v>85</v>
      </c>
      <c r="Q7" s="2" t="s">
        <v>74</v>
      </c>
      <c r="R7" s="2">
        <v>1805226381</v>
      </c>
      <c r="S7" s="2">
        <v>2018</v>
      </c>
      <c r="T7" s="2" t="s">
        <v>89</v>
      </c>
      <c r="U7" s="2" t="s">
        <v>37</v>
      </c>
      <c r="V7" s="2" t="s">
        <v>215</v>
      </c>
      <c r="W7" s="2">
        <v>887</v>
      </c>
      <c r="X7" s="2">
        <f t="shared" si="3"/>
        <v>88.7</v>
      </c>
      <c r="Y7" s="2">
        <f>78+98+70+69+46+41+27+28</f>
        <v>457</v>
      </c>
      <c r="Z7" s="2">
        <v>530</v>
      </c>
      <c r="AA7" s="2">
        <f t="shared" si="0"/>
        <v>86.226415094339629</v>
      </c>
      <c r="AB7" s="2">
        <f>72+72+58+51+70+69+46+27+41+28</f>
        <v>534</v>
      </c>
      <c r="AC7" s="2">
        <v>600</v>
      </c>
      <c r="AD7" s="2">
        <f t="shared" si="1"/>
        <v>89</v>
      </c>
      <c r="AE7" s="2" t="s">
        <v>268</v>
      </c>
      <c r="AF7" s="2" t="s">
        <v>258</v>
      </c>
      <c r="AG7" s="2" t="s">
        <v>258</v>
      </c>
      <c r="AH7" s="2">
        <v>10000</v>
      </c>
      <c r="AI7" s="2">
        <v>215000</v>
      </c>
      <c r="AJ7" s="2">
        <v>27500</v>
      </c>
      <c r="AK7" s="2">
        <f t="shared" si="2"/>
        <v>252500</v>
      </c>
      <c r="AL7" s="2" t="s">
        <v>269</v>
      </c>
      <c r="AM7" s="2" t="s">
        <v>78</v>
      </c>
      <c r="AN7" s="2" t="s">
        <v>277</v>
      </c>
      <c r="AO7" s="2" t="s">
        <v>139</v>
      </c>
      <c r="AP7" s="2">
        <v>500000</v>
      </c>
      <c r="AQ7" s="2" t="s">
        <v>270</v>
      </c>
      <c r="AR7" s="4" t="s">
        <v>271</v>
      </c>
      <c r="AS7" s="2" t="s">
        <v>272</v>
      </c>
      <c r="AT7" s="2" t="s">
        <v>273</v>
      </c>
      <c r="AU7" s="2" t="s">
        <v>274</v>
      </c>
      <c r="AV7" s="2" t="s">
        <v>88</v>
      </c>
      <c r="AW7" s="2">
        <v>520013</v>
      </c>
      <c r="AX7" s="2" t="s">
        <v>272</v>
      </c>
      <c r="AZ7" s="2">
        <v>9949888422</v>
      </c>
      <c r="BA7" s="2">
        <v>9393559365</v>
      </c>
      <c r="BB7" s="2">
        <v>8374433874</v>
      </c>
      <c r="BC7" s="3" t="s">
        <v>275</v>
      </c>
      <c r="BD7" s="3" t="s">
        <v>276</v>
      </c>
      <c r="BE7" s="2" t="s">
        <v>4101</v>
      </c>
      <c r="BF7" s="2" t="s">
        <v>144</v>
      </c>
    </row>
    <row r="8" spans="1:58" s="2" customFormat="1" ht="80.099999999999994" customHeight="1" x14ac:dyDescent="0.25">
      <c r="A8" s="2">
        <v>6</v>
      </c>
      <c r="B8" s="2">
        <v>49</v>
      </c>
      <c r="C8" s="2" t="s">
        <v>4444</v>
      </c>
      <c r="D8" s="2" t="s">
        <v>119</v>
      </c>
      <c r="F8" s="7" t="s">
        <v>332</v>
      </c>
      <c r="G8" s="2" t="s">
        <v>38</v>
      </c>
      <c r="H8" s="2" t="s">
        <v>35</v>
      </c>
      <c r="I8" s="2" t="s">
        <v>68</v>
      </c>
      <c r="J8" s="2" t="s">
        <v>36</v>
      </c>
      <c r="K8" s="2" t="s">
        <v>114</v>
      </c>
      <c r="L8" s="2" t="s">
        <v>82</v>
      </c>
      <c r="M8" s="2" t="s">
        <v>333</v>
      </c>
      <c r="N8" s="2" t="s">
        <v>334</v>
      </c>
      <c r="O8" s="2" t="s">
        <v>83</v>
      </c>
      <c r="P8" s="2" t="s">
        <v>85</v>
      </c>
      <c r="Q8" s="2" t="s">
        <v>74</v>
      </c>
      <c r="R8" s="2">
        <v>1805237355</v>
      </c>
      <c r="S8" s="2">
        <v>2018</v>
      </c>
      <c r="T8" s="2" t="s">
        <v>89</v>
      </c>
      <c r="U8" s="2" t="s">
        <v>37</v>
      </c>
      <c r="V8" s="2" t="s">
        <v>215</v>
      </c>
      <c r="W8" s="2">
        <v>854</v>
      </c>
      <c r="X8" s="2">
        <f t="shared" si="3"/>
        <v>85.399999999999991</v>
      </c>
      <c r="Y8" s="2">
        <f>80+98+64+51+55+25+38+30</f>
        <v>441</v>
      </c>
      <c r="Z8" s="2">
        <v>530</v>
      </c>
      <c r="AA8" s="2">
        <f t="shared" si="0"/>
        <v>83.20754716981132</v>
      </c>
      <c r="AB8" s="2">
        <f>67+64+55+42+64+51+55+25+38+30</f>
        <v>491</v>
      </c>
      <c r="AC8" s="2">
        <v>600</v>
      </c>
      <c r="AD8" s="2">
        <f t="shared" si="1"/>
        <v>81.833333333333343</v>
      </c>
      <c r="AE8" s="2" t="s">
        <v>335</v>
      </c>
      <c r="AF8" s="2" t="s">
        <v>319</v>
      </c>
      <c r="AG8" s="2" t="s">
        <v>319</v>
      </c>
      <c r="AH8" s="2">
        <v>10000</v>
      </c>
      <c r="AI8" s="2">
        <v>215000</v>
      </c>
      <c r="AJ8" s="2">
        <v>27500</v>
      </c>
      <c r="AK8" s="2">
        <f t="shared" si="2"/>
        <v>252500</v>
      </c>
      <c r="AL8" s="2" t="s">
        <v>336</v>
      </c>
      <c r="AM8" s="2" t="s">
        <v>87</v>
      </c>
      <c r="AN8" s="2" t="s">
        <v>337</v>
      </c>
      <c r="AO8" s="2" t="s">
        <v>67</v>
      </c>
      <c r="AP8" s="2">
        <v>100000</v>
      </c>
      <c r="AR8" s="4" t="s">
        <v>338</v>
      </c>
      <c r="AS8" s="2" t="s">
        <v>339</v>
      </c>
      <c r="AT8" s="2" t="s">
        <v>340</v>
      </c>
      <c r="AU8" s="2" t="s">
        <v>341</v>
      </c>
      <c r="AV8" s="2" t="s">
        <v>215</v>
      </c>
      <c r="AW8" s="2">
        <v>534451</v>
      </c>
      <c r="AX8" s="2" t="s">
        <v>339</v>
      </c>
      <c r="AZ8" s="2">
        <v>9652202353</v>
      </c>
      <c r="BA8" s="2">
        <v>9951050395</v>
      </c>
      <c r="BB8" s="2">
        <v>9492604989</v>
      </c>
      <c r="BD8" s="3" t="s">
        <v>342</v>
      </c>
      <c r="BE8" s="2" t="s">
        <v>308</v>
      </c>
      <c r="BF8" s="2" t="s">
        <v>343</v>
      </c>
    </row>
    <row r="9" spans="1:58" s="2" customFormat="1" ht="80.099999999999994" customHeight="1" x14ac:dyDescent="0.25">
      <c r="A9" s="2">
        <v>7</v>
      </c>
      <c r="B9" s="6">
        <v>83</v>
      </c>
      <c r="C9" s="2" t="s">
        <v>4444</v>
      </c>
      <c r="D9" s="6" t="s">
        <v>119</v>
      </c>
      <c r="F9" s="8" t="s">
        <v>505</v>
      </c>
      <c r="G9" s="6" t="s">
        <v>91</v>
      </c>
      <c r="H9" s="6" t="s">
        <v>35</v>
      </c>
      <c r="I9" s="2" t="s">
        <v>68</v>
      </c>
      <c r="J9" s="2" t="s">
        <v>36</v>
      </c>
      <c r="K9" s="2" t="s">
        <v>520</v>
      </c>
      <c r="L9" s="2" t="s">
        <v>82</v>
      </c>
      <c r="M9" s="2" t="s">
        <v>521</v>
      </c>
      <c r="N9" s="2" t="s">
        <v>169</v>
      </c>
      <c r="O9" s="2" t="s">
        <v>83</v>
      </c>
      <c r="P9" s="2" t="s">
        <v>85</v>
      </c>
      <c r="Q9" s="2" t="s">
        <v>185</v>
      </c>
      <c r="R9" s="2">
        <v>1810216839</v>
      </c>
      <c r="S9" s="2">
        <v>2018</v>
      </c>
      <c r="T9" s="2" t="s">
        <v>89</v>
      </c>
      <c r="U9" s="2" t="s">
        <v>37</v>
      </c>
      <c r="V9" s="2" t="s">
        <v>215</v>
      </c>
      <c r="W9" s="2">
        <v>824</v>
      </c>
      <c r="X9" s="2">
        <f t="shared" si="3"/>
        <v>82.399999999999991</v>
      </c>
      <c r="Y9" s="2">
        <f>79+86+55+60+60+35+59+23+30</f>
        <v>487</v>
      </c>
      <c r="Z9" s="2">
        <v>530</v>
      </c>
      <c r="AA9" s="2">
        <f t="shared" si="0"/>
        <v>91.886792452830193</v>
      </c>
      <c r="AB9" s="2">
        <f>61+73+54+50+55+60+35+59+23+30</f>
        <v>500</v>
      </c>
      <c r="AC9" s="2">
        <v>600</v>
      </c>
      <c r="AD9" s="2">
        <f t="shared" si="1"/>
        <v>83.333333333333343</v>
      </c>
      <c r="AE9" s="2" t="s">
        <v>522</v>
      </c>
      <c r="AF9" s="2" t="s">
        <v>495</v>
      </c>
      <c r="AG9" s="2" t="s">
        <v>495</v>
      </c>
      <c r="AH9" s="2">
        <v>10000</v>
      </c>
      <c r="AI9" s="2">
        <v>205000</v>
      </c>
      <c r="AJ9" s="2">
        <v>27500</v>
      </c>
      <c r="AK9" s="2">
        <f t="shared" si="2"/>
        <v>242500</v>
      </c>
      <c r="AL9" s="2" t="s">
        <v>523</v>
      </c>
      <c r="AM9" s="2" t="s">
        <v>87</v>
      </c>
      <c r="AN9" s="2" t="s">
        <v>524</v>
      </c>
      <c r="AO9" s="2" t="s">
        <v>139</v>
      </c>
      <c r="AP9" s="2" t="s">
        <v>525</v>
      </c>
      <c r="AQ9" s="2" t="s">
        <v>526</v>
      </c>
      <c r="AR9" s="4" t="s">
        <v>527</v>
      </c>
      <c r="AS9" s="2" t="s">
        <v>528</v>
      </c>
      <c r="AT9" s="2" t="s">
        <v>529</v>
      </c>
      <c r="AU9" s="2" t="s">
        <v>169</v>
      </c>
      <c r="AV9" s="2" t="s">
        <v>215</v>
      </c>
      <c r="AW9" s="2">
        <v>518003</v>
      </c>
      <c r="AX9" s="2" t="s">
        <v>528</v>
      </c>
      <c r="BA9" s="2">
        <v>9440567058</v>
      </c>
      <c r="BB9" s="2">
        <v>9550766186</v>
      </c>
      <c r="BD9" s="3" t="s">
        <v>530</v>
      </c>
      <c r="BE9" s="2" t="s">
        <v>532</v>
      </c>
      <c r="BF9" s="2" t="s">
        <v>531</v>
      </c>
    </row>
    <row r="10" spans="1:58" s="2" customFormat="1" ht="80.099999999999994" customHeight="1" x14ac:dyDescent="0.25">
      <c r="A10" s="2">
        <v>8</v>
      </c>
      <c r="B10" s="9">
        <v>128</v>
      </c>
      <c r="C10" s="2" t="s">
        <v>4444</v>
      </c>
      <c r="D10" s="9" t="s">
        <v>119</v>
      </c>
      <c r="F10" s="10" t="s">
        <v>721</v>
      </c>
      <c r="G10" s="9" t="s">
        <v>38</v>
      </c>
      <c r="H10" s="9" t="s">
        <v>35</v>
      </c>
      <c r="I10" s="2" t="s">
        <v>68</v>
      </c>
      <c r="J10" s="2" t="s">
        <v>158</v>
      </c>
      <c r="K10" s="2" t="s">
        <v>752</v>
      </c>
      <c r="L10" s="2" t="s">
        <v>753</v>
      </c>
      <c r="M10" s="2" t="s">
        <v>754</v>
      </c>
      <c r="N10" s="2" t="s">
        <v>755</v>
      </c>
      <c r="O10" s="2" t="s">
        <v>162</v>
      </c>
      <c r="P10" s="2" t="s">
        <v>73</v>
      </c>
      <c r="Q10" s="2" t="s">
        <v>185</v>
      </c>
      <c r="R10" s="2">
        <v>1812210720</v>
      </c>
      <c r="S10" s="2">
        <v>2018</v>
      </c>
      <c r="T10" s="2" t="s">
        <v>89</v>
      </c>
      <c r="U10" s="2" t="s">
        <v>37</v>
      </c>
      <c r="V10" s="2" t="s">
        <v>215</v>
      </c>
      <c r="W10" s="2">
        <v>928</v>
      </c>
      <c r="X10" s="2">
        <f t="shared" si="3"/>
        <v>92.800000000000011</v>
      </c>
      <c r="Y10" s="2">
        <f>87+98+62+59+60+60+26+19</f>
        <v>471</v>
      </c>
      <c r="Z10" s="2">
        <v>530</v>
      </c>
      <c r="AA10" s="2">
        <f t="shared" si="0"/>
        <v>88.867924528301884</v>
      </c>
      <c r="AB10" s="2">
        <f>75+72+60+59+62+59+60+60+26+19</f>
        <v>552</v>
      </c>
      <c r="AC10" s="2">
        <v>600</v>
      </c>
      <c r="AD10" s="2">
        <f t="shared" si="1"/>
        <v>92</v>
      </c>
      <c r="AE10" s="2" t="s">
        <v>756</v>
      </c>
      <c r="AF10" s="2" t="s">
        <v>718</v>
      </c>
      <c r="AG10" s="2" t="s">
        <v>718</v>
      </c>
      <c r="AH10" s="2">
        <v>10000</v>
      </c>
      <c r="AI10" s="2">
        <v>215000</v>
      </c>
      <c r="AJ10" s="2">
        <v>27500</v>
      </c>
      <c r="AK10" s="2">
        <f t="shared" si="2"/>
        <v>252500</v>
      </c>
      <c r="AL10" s="2" t="s">
        <v>757</v>
      </c>
      <c r="AM10" s="2" t="s">
        <v>78</v>
      </c>
      <c r="AN10" s="2" t="s">
        <v>758</v>
      </c>
      <c r="AO10" s="2" t="s">
        <v>139</v>
      </c>
      <c r="AP10" s="2">
        <v>60000</v>
      </c>
      <c r="AQ10" s="2" t="s">
        <v>759</v>
      </c>
      <c r="AR10" s="4" t="s">
        <v>760</v>
      </c>
      <c r="AS10" s="2" t="s">
        <v>761</v>
      </c>
      <c r="AT10" s="2" t="s">
        <v>762</v>
      </c>
      <c r="AU10" s="2" t="s">
        <v>755</v>
      </c>
      <c r="AV10" s="2" t="s">
        <v>215</v>
      </c>
      <c r="AW10" s="2">
        <v>516002</v>
      </c>
      <c r="AX10" s="2" t="s">
        <v>761</v>
      </c>
      <c r="AZ10" s="2">
        <v>9705431927</v>
      </c>
      <c r="BA10" s="2">
        <v>9866446136</v>
      </c>
      <c r="BB10" s="2">
        <v>9154637526</v>
      </c>
      <c r="BD10" s="3" t="s">
        <v>763</v>
      </c>
      <c r="BE10" s="2" t="s">
        <v>716</v>
      </c>
      <c r="BF10" s="2" t="s">
        <v>426</v>
      </c>
    </row>
    <row r="11" spans="1:58" s="2" customFormat="1" ht="80.099999999999994" customHeight="1" x14ac:dyDescent="0.25">
      <c r="A11" s="2">
        <v>9</v>
      </c>
      <c r="B11" s="2">
        <v>131</v>
      </c>
      <c r="C11" s="2" t="s">
        <v>4444</v>
      </c>
      <c r="D11" s="2" t="s">
        <v>119</v>
      </c>
      <c r="F11" s="7" t="s">
        <v>781</v>
      </c>
      <c r="G11" s="2" t="s">
        <v>38</v>
      </c>
      <c r="H11" s="2" t="s">
        <v>35</v>
      </c>
      <c r="I11" s="2" t="s">
        <v>68</v>
      </c>
      <c r="J11" s="2" t="s">
        <v>36</v>
      </c>
      <c r="K11" s="2" t="s">
        <v>724</v>
      </c>
      <c r="L11" s="2" t="s">
        <v>82</v>
      </c>
      <c r="M11" s="2" t="s">
        <v>782</v>
      </c>
      <c r="N11" s="2" t="s">
        <v>783</v>
      </c>
      <c r="O11" s="2" t="s">
        <v>83</v>
      </c>
      <c r="P11" s="2" t="s">
        <v>85</v>
      </c>
      <c r="Q11" s="2" t="s">
        <v>185</v>
      </c>
      <c r="R11" s="2">
        <v>1805218916</v>
      </c>
      <c r="S11" s="2">
        <v>2018</v>
      </c>
      <c r="T11" s="2" t="s">
        <v>89</v>
      </c>
      <c r="U11" s="2" t="s">
        <v>37</v>
      </c>
      <c r="V11" s="2" t="s">
        <v>215</v>
      </c>
      <c r="W11" s="2">
        <v>862</v>
      </c>
      <c r="X11" s="2">
        <f>W11/1000*100</f>
        <v>86.2</v>
      </c>
      <c r="Y11" s="2">
        <f>90+99+74+71+59+60+28+25</f>
        <v>506</v>
      </c>
      <c r="Z11" s="2">
        <v>530</v>
      </c>
      <c r="AA11" s="2">
        <f t="shared" si="0"/>
        <v>95.471698113207552</v>
      </c>
      <c r="AB11" s="2">
        <f>49+32+49+45+74+71+59+60+28+25</f>
        <v>492</v>
      </c>
      <c r="AC11" s="2">
        <v>600</v>
      </c>
      <c r="AD11" s="2">
        <f t="shared" si="1"/>
        <v>82</v>
      </c>
      <c r="AE11" s="2" t="s">
        <v>784</v>
      </c>
      <c r="AF11" s="2" t="s">
        <v>718</v>
      </c>
      <c r="AG11" s="2" t="s">
        <v>718</v>
      </c>
      <c r="AH11" s="2">
        <v>10000</v>
      </c>
      <c r="AI11" s="2">
        <v>215000</v>
      </c>
      <c r="AJ11" s="2">
        <v>27500</v>
      </c>
      <c r="AK11" s="2">
        <f t="shared" si="2"/>
        <v>252500</v>
      </c>
      <c r="AL11" s="2" t="s">
        <v>785</v>
      </c>
      <c r="AM11" s="2" t="s">
        <v>78</v>
      </c>
      <c r="AN11" s="2" t="s">
        <v>786</v>
      </c>
      <c r="AO11" s="2" t="s">
        <v>139</v>
      </c>
      <c r="AP11" s="2">
        <v>100000</v>
      </c>
      <c r="AQ11" s="2" t="s">
        <v>37</v>
      </c>
      <c r="AR11" s="4" t="s">
        <v>787</v>
      </c>
      <c r="AS11" s="2" t="s">
        <v>788</v>
      </c>
      <c r="AT11" s="2" t="s">
        <v>783</v>
      </c>
      <c r="AU11" s="2" t="s">
        <v>84</v>
      </c>
      <c r="AV11" s="2" t="s">
        <v>215</v>
      </c>
      <c r="AW11" s="2">
        <v>515671</v>
      </c>
      <c r="AX11" s="2" t="s">
        <v>788</v>
      </c>
      <c r="AZ11" s="2">
        <v>9866066275</v>
      </c>
      <c r="BA11" s="2">
        <v>9885220871</v>
      </c>
      <c r="BB11" s="2">
        <v>9493347836</v>
      </c>
      <c r="BD11" s="3" t="s">
        <v>789</v>
      </c>
      <c r="BE11" s="2" t="s">
        <v>1660</v>
      </c>
      <c r="BF11" s="2" t="s">
        <v>343</v>
      </c>
    </row>
    <row r="12" spans="1:58" s="2" customFormat="1" ht="80.099999999999994" customHeight="1" x14ac:dyDescent="0.25">
      <c r="A12" s="2">
        <v>10</v>
      </c>
      <c r="B12" s="2">
        <v>137</v>
      </c>
      <c r="C12" s="2" t="s">
        <v>4444</v>
      </c>
      <c r="D12" s="2" t="s">
        <v>119</v>
      </c>
      <c r="F12" s="7" t="s">
        <v>817</v>
      </c>
      <c r="G12" s="2" t="s">
        <v>38</v>
      </c>
      <c r="H12" s="2" t="s">
        <v>35</v>
      </c>
      <c r="I12" s="2" t="s">
        <v>68</v>
      </c>
      <c r="J12" s="2" t="s">
        <v>36</v>
      </c>
      <c r="K12" s="2" t="s">
        <v>69</v>
      </c>
      <c r="L12" s="2" t="s">
        <v>82</v>
      </c>
      <c r="M12" s="2" t="s">
        <v>818</v>
      </c>
      <c r="N12" s="2" t="s">
        <v>188</v>
      </c>
      <c r="O12" s="2" t="s">
        <v>72</v>
      </c>
      <c r="P12" s="2" t="s">
        <v>62</v>
      </c>
      <c r="Q12" s="2" t="s">
        <v>185</v>
      </c>
      <c r="R12" s="2">
        <v>6617802</v>
      </c>
      <c r="S12" s="2">
        <v>2018</v>
      </c>
      <c r="T12" s="2" t="s">
        <v>616</v>
      </c>
      <c r="U12" s="2" t="s">
        <v>37</v>
      </c>
      <c r="V12" s="2" t="s">
        <v>450</v>
      </c>
      <c r="W12" s="2" t="s">
        <v>37</v>
      </c>
      <c r="X12" s="2" t="s">
        <v>37</v>
      </c>
      <c r="Y12" s="2">
        <f>70+35+55+50+73+53</f>
        <v>336</v>
      </c>
      <c r="Z12" s="2">
        <v>600</v>
      </c>
      <c r="AA12" s="2">
        <f t="shared" si="0"/>
        <v>56.000000000000007</v>
      </c>
      <c r="AB12" s="2">
        <f>35+55+50</f>
        <v>140</v>
      </c>
      <c r="AC12" s="2">
        <v>300</v>
      </c>
      <c r="AD12" s="2">
        <f t="shared" si="1"/>
        <v>46.666666666666664</v>
      </c>
      <c r="AE12" s="2" t="s">
        <v>819</v>
      </c>
      <c r="AF12" s="2" t="s">
        <v>790</v>
      </c>
      <c r="AG12" s="2" t="s">
        <v>790</v>
      </c>
      <c r="AH12" s="2">
        <v>10000</v>
      </c>
      <c r="AI12" s="2">
        <v>215000</v>
      </c>
      <c r="AJ12" s="2">
        <v>27500</v>
      </c>
      <c r="AK12" s="2">
        <f t="shared" si="2"/>
        <v>252500</v>
      </c>
      <c r="AL12" s="2" t="s">
        <v>820</v>
      </c>
      <c r="AM12" s="2" t="s">
        <v>78</v>
      </c>
      <c r="AN12" s="2" t="s">
        <v>821</v>
      </c>
      <c r="AO12" s="2" t="s">
        <v>261</v>
      </c>
      <c r="AP12" s="2">
        <v>600000</v>
      </c>
      <c r="AQ12" s="2" t="s">
        <v>829</v>
      </c>
      <c r="AR12" s="4" t="s">
        <v>822</v>
      </c>
      <c r="AS12" s="2" t="s">
        <v>823</v>
      </c>
      <c r="AT12" s="2" t="s">
        <v>824</v>
      </c>
      <c r="AU12" s="2" t="s">
        <v>825</v>
      </c>
      <c r="AV12" s="2" t="s">
        <v>450</v>
      </c>
      <c r="AW12" s="2">
        <v>712222</v>
      </c>
      <c r="AX12" s="2" t="s">
        <v>826</v>
      </c>
      <c r="AZ12" s="2">
        <v>7595955370</v>
      </c>
      <c r="BA12" s="2">
        <v>9903095356</v>
      </c>
      <c r="BB12" s="2">
        <v>9007137380</v>
      </c>
      <c r="BC12" s="3" t="s">
        <v>827</v>
      </c>
      <c r="BD12" s="3" t="s">
        <v>828</v>
      </c>
      <c r="BE12" s="25" t="s">
        <v>3173</v>
      </c>
      <c r="BF12" s="25"/>
    </row>
    <row r="13" spans="1:58" s="2" customFormat="1" ht="80.099999999999994" customHeight="1" x14ac:dyDescent="0.25">
      <c r="A13" s="2">
        <v>11</v>
      </c>
      <c r="B13" s="2">
        <v>140</v>
      </c>
      <c r="C13" s="2" t="s">
        <v>4444</v>
      </c>
      <c r="D13" s="2" t="s">
        <v>119</v>
      </c>
      <c r="F13" s="7" t="s">
        <v>830</v>
      </c>
      <c r="G13" s="2" t="s">
        <v>38</v>
      </c>
      <c r="H13" s="2" t="s">
        <v>92</v>
      </c>
      <c r="I13" s="2" t="s">
        <v>68</v>
      </c>
      <c r="J13" s="2" t="s">
        <v>36</v>
      </c>
      <c r="K13" s="2" t="s">
        <v>157</v>
      </c>
      <c r="L13" s="2" t="s">
        <v>82</v>
      </c>
      <c r="M13" s="2" t="s">
        <v>831</v>
      </c>
      <c r="N13" s="2" t="s">
        <v>832</v>
      </c>
      <c r="O13" s="2" t="s">
        <v>449</v>
      </c>
      <c r="P13" s="2" t="s">
        <v>62</v>
      </c>
      <c r="Q13" s="2" t="s">
        <v>185</v>
      </c>
      <c r="R13" s="2">
        <v>1664309</v>
      </c>
      <c r="S13" s="2">
        <v>2018</v>
      </c>
      <c r="T13" s="2" t="s">
        <v>616</v>
      </c>
      <c r="U13" s="2" t="s">
        <v>37</v>
      </c>
      <c r="V13" s="2" t="s">
        <v>833</v>
      </c>
      <c r="W13" s="2" t="s">
        <v>37</v>
      </c>
      <c r="X13" s="2" t="s">
        <v>37</v>
      </c>
      <c r="Y13" s="2">
        <f>81+57+65+74+65</f>
        <v>342</v>
      </c>
      <c r="Z13" s="2">
        <v>500</v>
      </c>
      <c r="AA13" s="2">
        <f t="shared" si="0"/>
        <v>68.400000000000006</v>
      </c>
      <c r="AB13" s="2">
        <f>57+65+74</f>
        <v>196</v>
      </c>
      <c r="AC13" s="2">
        <v>300</v>
      </c>
      <c r="AD13" s="2">
        <f t="shared" si="1"/>
        <v>65.333333333333329</v>
      </c>
      <c r="AE13" s="2" t="s">
        <v>834</v>
      </c>
      <c r="AF13" s="2" t="s">
        <v>790</v>
      </c>
      <c r="AG13" s="2" t="s">
        <v>790</v>
      </c>
      <c r="AH13" s="2">
        <v>10000</v>
      </c>
      <c r="AI13" s="2">
        <v>215000</v>
      </c>
      <c r="AJ13" s="2">
        <v>27500</v>
      </c>
      <c r="AK13" s="2">
        <f t="shared" si="2"/>
        <v>252500</v>
      </c>
      <c r="AL13" s="2" t="s">
        <v>836</v>
      </c>
      <c r="AM13" s="2" t="s">
        <v>78</v>
      </c>
      <c r="AN13" s="2" t="s">
        <v>835</v>
      </c>
      <c r="AO13" s="2" t="s">
        <v>187</v>
      </c>
      <c r="AP13" s="2">
        <v>1000000</v>
      </c>
      <c r="AQ13" s="2" t="s">
        <v>837</v>
      </c>
      <c r="AR13" s="4" t="s">
        <v>838</v>
      </c>
      <c r="AS13" s="2" t="s">
        <v>839</v>
      </c>
      <c r="AT13" s="2" t="s">
        <v>840</v>
      </c>
      <c r="AU13" s="2" t="s">
        <v>832</v>
      </c>
      <c r="AV13" s="2" t="s">
        <v>450</v>
      </c>
      <c r="AW13" s="2">
        <v>713204</v>
      </c>
      <c r="AX13" s="2" t="s">
        <v>839</v>
      </c>
      <c r="BA13" s="2">
        <v>9474370916</v>
      </c>
      <c r="BB13" s="2">
        <v>9474362752</v>
      </c>
      <c r="BC13" s="3" t="s">
        <v>841</v>
      </c>
      <c r="BD13" s="3" t="s">
        <v>842</v>
      </c>
      <c r="BE13" s="25" t="s">
        <v>3096</v>
      </c>
      <c r="BF13" s="25" t="s">
        <v>3172</v>
      </c>
    </row>
    <row r="14" spans="1:58" s="2" customFormat="1" ht="80.099999999999994" customHeight="1" x14ac:dyDescent="0.25">
      <c r="A14" s="2">
        <v>12</v>
      </c>
      <c r="B14" s="6">
        <v>155</v>
      </c>
      <c r="C14" s="2" t="s">
        <v>4444</v>
      </c>
      <c r="D14" s="6" t="s">
        <v>119</v>
      </c>
      <c r="F14" s="8" t="s">
        <v>849</v>
      </c>
      <c r="G14" s="6" t="s">
        <v>38</v>
      </c>
      <c r="H14" s="6" t="s">
        <v>35</v>
      </c>
      <c r="I14" s="2" t="s">
        <v>68</v>
      </c>
      <c r="J14" s="2" t="s">
        <v>36</v>
      </c>
      <c r="K14" s="2" t="s">
        <v>207</v>
      </c>
      <c r="L14" s="2" t="s">
        <v>82</v>
      </c>
      <c r="M14" s="2" t="s">
        <v>687</v>
      </c>
      <c r="N14" s="2" t="s">
        <v>755</v>
      </c>
      <c r="O14" s="2" t="s">
        <v>83</v>
      </c>
      <c r="P14" s="2" t="s">
        <v>85</v>
      </c>
      <c r="Q14" s="2" t="s">
        <v>74</v>
      </c>
      <c r="R14" s="2">
        <v>1812214343</v>
      </c>
      <c r="S14" s="2">
        <v>2018</v>
      </c>
      <c r="T14" s="2" t="s">
        <v>89</v>
      </c>
      <c r="U14" s="2" t="s">
        <v>37</v>
      </c>
      <c r="V14" s="2" t="s">
        <v>215</v>
      </c>
      <c r="W14" s="2">
        <v>795</v>
      </c>
      <c r="X14" s="2">
        <f>W14/1000*100</f>
        <v>79.5</v>
      </c>
      <c r="Y14" s="2">
        <f>80+85+60+62+36+32+28+30</f>
        <v>413</v>
      </c>
      <c r="Z14" s="2">
        <v>530</v>
      </c>
      <c r="AA14" s="2">
        <f t="shared" si="0"/>
        <v>77.924528301886795</v>
      </c>
      <c r="AB14" s="2">
        <f>71+73+56+37+60+62+36+32+28+30</f>
        <v>485</v>
      </c>
      <c r="AC14" s="2">
        <v>600</v>
      </c>
      <c r="AD14" s="2">
        <f t="shared" si="1"/>
        <v>80.833333333333329</v>
      </c>
      <c r="AE14" s="2" t="s">
        <v>898</v>
      </c>
      <c r="AF14" s="2" t="s">
        <v>843</v>
      </c>
      <c r="AG14" s="2" t="s">
        <v>843</v>
      </c>
      <c r="AH14" s="2">
        <v>10000</v>
      </c>
      <c r="AI14" s="2">
        <v>215000</v>
      </c>
      <c r="AJ14" s="2">
        <v>27500</v>
      </c>
      <c r="AK14" s="2">
        <f t="shared" si="2"/>
        <v>252500</v>
      </c>
      <c r="AL14" s="2" t="s">
        <v>899</v>
      </c>
      <c r="AM14" s="2" t="s">
        <v>462</v>
      </c>
      <c r="AN14" s="2" t="s">
        <v>900</v>
      </c>
      <c r="AO14" s="2" t="s">
        <v>208</v>
      </c>
      <c r="AP14" s="2">
        <v>300000</v>
      </c>
      <c r="AQ14" s="2" t="s">
        <v>901</v>
      </c>
      <c r="AR14" s="4" t="s">
        <v>902</v>
      </c>
      <c r="AS14" s="2" t="s">
        <v>903</v>
      </c>
      <c r="AT14" s="2" t="s">
        <v>904</v>
      </c>
      <c r="AU14" s="2" t="s">
        <v>755</v>
      </c>
      <c r="AV14" s="2" t="s">
        <v>215</v>
      </c>
      <c r="AW14" s="2">
        <v>516003</v>
      </c>
      <c r="AX14" s="2" t="s">
        <v>903</v>
      </c>
      <c r="AZ14" s="2">
        <v>7396975563</v>
      </c>
      <c r="BA14" s="2">
        <v>9989141510</v>
      </c>
      <c r="BB14" s="2">
        <v>9032745309</v>
      </c>
      <c r="BD14" s="3" t="s">
        <v>905</v>
      </c>
      <c r="BE14" s="25" t="s">
        <v>879</v>
      </c>
      <c r="BF14" s="25" t="s">
        <v>113</v>
      </c>
    </row>
    <row r="15" spans="1:58" s="2" customFormat="1" ht="80.099999999999994" customHeight="1" x14ac:dyDescent="0.25">
      <c r="A15" s="2">
        <v>13</v>
      </c>
      <c r="B15" s="6">
        <v>171</v>
      </c>
      <c r="C15" s="2" t="s">
        <v>4444</v>
      </c>
      <c r="D15" s="6" t="s">
        <v>119</v>
      </c>
      <c r="E15" s="6"/>
      <c r="F15" s="8" t="s">
        <v>955</v>
      </c>
      <c r="G15" s="6" t="s">
        <v>38</v>
      </c>
      <c r="H15" s="6" t="s">
        <v>35</v>
      </c>
      <c r="I15" s="2" t="s">
        <v>68</v>
      </c>
      <c r="J15" s="2" t="s">
        <v>36</v>
      </c>
      <c r="K15" s="2" t="s">
        <v>981</v>
      </c>
      <c r="L15" s="2" t="s">
        <v>136</v>
      </c>
      <c r="M15" s="2" t="s">
        <v>782</v>
      </c>
      <c r="N15" s="2" t="s">
        <v>982</v>
      </c>
      <c r="O15" s="2" t="s">
        <v>395</v>
      </c>
      <c r="P15" s="2" t="s">
        <v>62</v>
      </c>
      <c r="Q15" s="2" t="s">
        <v>74</v>
      </c>
      <c r="R15" s="2">
        <v>4633048</v>
      </c>
      <c r="S15" s="2">
        <v>2018</v>
      </c>
      <c r="T15" s="2" t="s">
        <v>616</v>
      </c>
      <c r="U15" s="2" t="s">
        <v>65</v>
      </c>
      <c r="V15" s="2" t="s">
        <v>37</v>
      </c>
      <c r="W15" s="2" t="s">
        <v>37</v>
      </c>
      <c r="X15" s="2" t="s">
        <v>37</v>
      </c>
      <c r="Y15" s="2">
        <f>85+73+83+85+84+67</f>
        <v>477</v>
      </c>
      <c r="Z15" s="2">
        <v>600</v>
      </c>
      <c r="AA15" s="2">
        <f t="shared" si="0"/>
        <v>79.5</v>
      </c>
      <c r="AB15" s="2">
        <f>73+83+85</f>
        <v>241</v>
      </c>
      <c r="AC15" s="2">
        <v>300</v>
      </c>
      <c r="AD15" s="2">
        <f t="shared" si="1"/>
        <v>80.333333333333329</v>
      </c>
      <c r="AE15" s="2" t="s">
        <v>983</v>
      </c>
      <c r="AF15" s="2" t="s">
        <v>920</v>
      </c>
      <c r="AG15" s="2" t="s">
        <v>920</v>
      </c>
      <c r="AH15" s="2">
        <v>10000</v>
      </c>
      <c r="AI15" s="2">
        <v>215000</v>
      </c>
      <c r="AJ15" s="2">
        <v>27500</v>
      </c>
      <c r="AK15" s="2">
        <f t="shared" si="2"/>
        <v>252500</v>
      </c>
      <c r="AL15" s="2" t="s">
        <v>984</v>
      </c>
      <c r="AM15" s="2" t="s">
        <v>986</v>
      </c>
      <c r="AN15" s="2" t="s">
        <v>985</v>
      </c>
      <c r="AO15" s="2" t="s">
        <v>987</v>
      </c>
      <c r="AP15" s="2">
        <v>20000</v>
      </c>
      <c r="AQ15" s="2" t="s">
        <v>994</v>
      </c>
      <c r="AR15" s="4" t="s">
        <v>988</v>
      </c>
      <c r="AS15" s="2" t="s">
        <v>989</v>
      </c>
      <c r="AT15" s="2" t="s">
        <v>990</v>
      </c>
      <c r="AU15" s="2" t="s">
        <v>991</v>
      </c>
      <c r="AV15" s="2" t="s">
        <v>65</v>
      </c>
      <c r="AW15" s="2">
        <v>571251</v>
      </c>
      <c r="AX15" s="2" t="s">
        <v>992</v>
      </c>
      <c r="BA15" s="2">
        <v>9443172281</v>
      </c>
      <c r="BD15" s="3" t="s">
        <v>993</v>
      </c>
      <c r="BE15" s="2" t="s">
        <v>2877</v>
      </c>
    </row>
    <row r="16" spans="1:58" s="2" customFormat="1" ht="80.099999999999994" customHeight="1" x14ac:dyDescent="0.25">
      <c r="A16" s="2">
        <v>14</v>
      </c>
      <c r="B16" s="6">
        <v>172</v>
      </c>
      <c r="C16" s="2" t="s">
        <v>4444</v>
      </c>
      <c r="D16" s="6" t="s">
        <v>119</v>
      </c>
      <c r="E16" s="6"/>
      <c r="F16" s="8" t="s">
        <v>956</v>
      </c>
      <c r="G16" s="6" t="s">
        <v>38</v>
      </c>
      <c r="H16" s="6" t="s">
        <v>35</v>
      </c>
      <c r="I16" s="2" t="s">
        <v>68</v>
      </c>
      <c r="J16" s="2" t="s">
        <v>36</v>
      </c>
      <c r="K16" s="2" t="s">
        <v>285</v>
      </c>
      <c r="L16" s="2" t="s">
        <v>214</v>
      </c>
      <c r="M16" s="2" t="s">
        <v>995</v>
      </c>
      <c r="N16" s="2" t="s">
        <v>996</v>
      </c>
      <c r="O16" s="2" t="s">
        <v>61</v>
      </c>
      <c r="P16" s="2" t="s">
        <v>85</v>
      </c>
      <c r="Q16" s="2" t="s">
        <v>74</v>
      </c>
      <c r="R16" s="2">
        <v>4633074</v>
      </c>
      <c r="S16" s="2">
        <v>2018</v>
      </c>
      <c r="T16" s="2" t="s">
        <v>616</v>
      </c>
      <c r="U16" s="2" t="s">
        <v>65</v>
      </c>
      <c r="V16" s="2" t="s">
        <v>37</v>
      </c>
      <c r="W16" s="2" t="s">
        <v>37</v>
      </c>
      <c r="X16" s="2" t="s">
        <v>37</v>
      </c>
      <c r="Y16" s="2">
        <f>89+59+84+71+87</f>
        <v>390</v>
      </c>
      <c r="Z16" s="2">
        <v>500</v>
      </c>
      <c r="AA16" s="2">
        <f t="shared" si="0"/>
        <v>78</v>
      </c>
      <c r="AB16" s="2">
        <f>59+84+71</f>
        <v>214</v>
      </c>
      <c r="AC16" s="2">
        <v>300</v>
      </c>
      <c r="AD16" s="2">
        <f t="shared" si="1"/>
        <v>71.333333333333343</v>
      </c>
      <c r="AE16" s="2" t="s">
        <v>997</v>
      </c>
      <c r="AF16" s="2" t="s">
        <v>920</v>
      </c>
      <c r="AG16" s="2" t="s">
        <v>920</v>
      </c>
      <c r="AH16" s="2">
        <v>10000</v>
      </c>
      <c r="AI16" s="2">
        <v>215000</v>
      </c>
      <c r="AJ16" s="2">
        <v>27500</v>
      </c>
      <c r="AK16" s="2">
        <f t="shared" si="2"/>
        <v>252500</v>
      </c>
      <c r="AL16" s="2" t="s">
        <v>998</v>
      </c>
      <c r="AM16" s="2" t="s">
        <v>78</v>
      </c>
      <c r="AN16" s="2" t="s">
        <v>999</v>
      </c>
      <c r="AO16" s="2" t="s">
        <v>1000</v>
      </c>
      <c r="AP16" s="2" t="s">
        <v>1001</v>
      </c>
      <c r="AQ16" s="2" t="s">
        <v>1002</v>
      </c>
      <c r="AR16" s="4" t="s">
        <v>1003</v>
      </c>
      <c r="AS16" s="2" t="s">
        <v>1004</v>
      </c>
      <c r="AT16" s="2" t="s">
        <v>982</v>
      </c>
      <c r="AU16" s="2" t="s">
        <v>991</v>
      </c>
      <c r="AV16" s="2" t="s">
        <v>65</v>
      </c>
      <c r="AW16" s="2">
        <v>571247</v>
      </c>
      <c r="AX16" s="2" t="s">
        <v>1004</v>
      </c>
      <c r="AZ16" s="2">
        <v>9483532972</v>
      </c>
      <c r="BA16" s="2">
        <v>9407545478</v>
      </c>
      <c r="BB16" s="2">
        <v>9902442646</v>
      </c>
      <c r="BC16" s="3" t="s">
        <v>1005</v>
      </c>
      <c r="BD16" s="3" t="s">
        <v>1006</v>
      </c>
      <c r="BE16" s="2" t="s">
        <v>2877</v>
      </c>
    </row>
    <row r="17" spans="1:59" s="2" customFormat="1" ht="80.099999999999994" customHeight="1" x14ac:dyDescent="0.25">
      <c r="A17" s="2">
        <v>15</v>
      </c>
      <c r="B17" s="6">
        <v>185</v>
      </c>
      <c r="C17" s="2" t="s">
        <v>4444</v>
      </c>
      <c r="D17" s="6" t="s">
        <v>119</v>
      </c>
      <c r="E17" s="6"/>
      <c r="F17" s="8" t="s">
        <v>1028</v>
      </c>
      <c r="G17" s="6" t="s">
        <v>38</v>
      </c>
      <c r="H17" s="6" t="s">
        <v>35</v>
      </c>
      <c r="I17" s="6" t="s">
        <v>68</v>
      </c>
      <c r="J17" s="6" t="s">
        <v>435</v>
      </c>
      <c r="K17" s="6" t="s">
        <v>1030</v>
      </c>
      <c r="L17" s="6" t="s">
        <v>82</v>
      </c>
      <c r="M17" s="6" t="s">
        <v>1031</v>
      </c>
      <c r="N17" s="6" t="s">
        <v>1032</v>
      </c>
      <c r="O17" s="6" t="s">
        <v>1033</v>
      </c>
      <c r="P17" s="6" t="s">
        <v>85</v>
      </c>
      <c r="Q17" s="6" t="s">
        <v>185</v>
      </c>
      <c r="R17" s="6">
        <v>1670341</v>
      </c>
      <c r="S17" s="11">
        <v>2018</v>
      </c>
      <c r="T17" s="6" t="s">
        <v>616</v>
      </c>
      <c r="U17" s="6" t="s">
        <v>37</v>
      </c>
      <c r="V17" s="6" t="s">
        <v>833</v>
      </c>
      <c r="W17" s="6" t="s">
        <v>37</v>
      </c>
      <c r="X17" s="11" t="s">
        <v>37</v>
      </c>
      <c r="Y17" s="6">
        <f>80+45+68+61+75</f>
        <v>329</v>
      </c>
      <c r="Z17" s="6">
        <v>500</v>
      </c>
      <c r="AA17" s="11">
        <f t="shared" si="0"/>
        <v>65.8</v>
      </c>
      <c r="AB17" s="6">
        <f>45+68+61</f>
        <v>174</v>
      </c>
      <c r="AC17" s="6">
        <v>300</v>
      </c>
      <c r="AD17" s="6">
        <f t="shared" si="1"/>
        <v>57.999999999999993</v>
      </c>
      <c r="AE17" s="11" t="s">
        <v>1034</v>
      </c>
      <c r="AF17" s="6" t="s">
        <v>1023</v>
      </c>
      <c r="AG17" s="11" t="s">
        <v>1023</v>
      </c>
      <c r="AH17" s="2">
        <v>10000</v>
      </c>
      <c r="AI17" s="6">
        <v>215000</v>
      </c>
      <c r="AJ17" s="2">
        <v>27500</v>
      </c>
      <c r="AK17" s="2">
        <f t="shared" si="2"/>
        <v>252500</v>
      </c>
      <c r="AL17" s="6" t="s">
        <v>1035</v>
      </c>
      <c r="AM17" s="6" t="s">
        <v>78</v>
      </c>
      <c r="AN17" s="6" t="s">
        <v>1036</v>
      </c>
      <c r="AO17" s="6" t="s">
        <v>139</v>
      </c>
      <c r="AP17" s="6">
        <v>500000</v>
      </c>
      <c r="AQ17" s="6" t="s">
        <v>1037</v>
      </c>
      <c r="AR17" s="13" t="s">
        <v>1038</v>
      </c>
      <c r="AS17" s="6" t="s">
        <v>1039</v>
      </c>
      <c r="AT17" s="6" t="s">
        <v>1040</v>
      </c>
      <c r="AU17" s="6" t="s">
        <v>1041</v>
      </c>
      <c r="AV17" s="6" t="s">
        <v>245</v>
      </c>
      <c r="AW17" s="6">
        <v>458001</v>
      </c>
      <c r="AX17" s="6" t="s">
        <v>1039</v>
      </c>
      <c r="AY17" s="6" t="s">
        <v>1042</v>
      </c>
      <c r="AZ17" s="6">
        <v>7049000420</v>
      </c>
      <c r="BA17" s="6">
        <v>9425105923</v>
      </c>
      <c r="BB17" s="6">
        <v>9424888009</v>
      </c>
      <c r="BC17" s="6"/>
      <c r="BD17" s="14" t="s">
        <v>1043</v>
      </c>
      <c r="BE17" s="2" t="s">
        <v>3158</v>
      </c>
      <c r="BG17" s="6"/>
    </row>
    <row r="18" spans="1:59" s="2" customFormat="1" ht="80.099999999999994" customHeight="1" x14ac:dyDescent="0.25">
      <c r="A18" s="2">
        <v>16</v>
      </c>
      <c r="B18" s="15">
        <v>188</v>
      </c>
      <c r="C18" s="2" t="s">
        <v>4444</v>
      </c>
      <c r="D18" s="6" t="s">
        <v>119</v>
      </c>
      <c r="E18" s="6"/>
      <c r="F18" s="8" t="s">
        <v>1045</v>
      </c>
      <c r="G18" s="6" t="s">
        <v>38</v>
      </c>
      <c r="H18" s="6" t="s">
        <v>35</v>
      </c>
      <c r="I18" s="6" t="s">
        <v>68</v>
      </c>
      <c r="J18" s="6" t="s">
        <v>36</v>
      </c>
      <c r="K18" s="6" t="s">
        <v>207</v>
      </c>
      <c r="L18" s="6" t="s">
        <v>82</v>
      </c>
      <c r="M18" s="6" t="s">
        <v>1056</v>
      </c>
      <c r="N18" s="6" t="s">
        <v>161</v>
      </c>
      <c r="O18" s="6" t="s">
        <v>83</v>
      </c>
      <c r="P18" s="6" t="s">
        <v>73</v>
      </c>
      <c r="Q18" s="6" t="s">
        <v>185</v>
      </c>
      <c r="R18" s="6">
        <v>1705218466</v>
      </c>
      <c r="S18" s="6">
        <v>2017</v>
      </c>
      <c r="T18" s="6" t="s">
        <v>89</v>
      </c>
      <c r="U18" s="6" t="s">
        <v>37</v>
      </c>
      <c r="V18" s="2" t="s">
        <v>215</v>
      </c>
      <c r="W18" s="6">
        <v>825</v>
      </c>
      <c r="X18" s="6">
        <f>W18/1000*100</f>
        <v>82.5</v>
      </c>
      <c r="Y18" s="6">
        <f>68+86+75+58+37+50+30+28</f>
        <v>432</v>
      </c>
      <c r="Z18" s="6">
        <v>530</v>
      </c>
      <c r="AA18" s="6">
        <f t="shared" si="0"/>
        <v>81.509433962264154</v>
      </c>
      <c r="AB18" s="6">
        <f>71+64+57+48+75+58+37+50+30+28</f>
        <v>518</v>
      </c>
      <c r="AC18" s="6">
        <v>600</v>
      </c>
      <c r="AD18" s="6">
        <f t="shared" si="1"/>
        <v>86.333333333333329</v>
      </c>
      <c r="AE18" s="11" t="s">
        <v>1057</v>
      </c>
      <c r="AF18" s="6" t="s">
        <v>138</v>
      </c>
      <c r="AG18" s="11" t="s">
        <v>1023</v>
      </c>
      <c r="AH18" s="2">
        <v>10000</v>
      </c>
      <c r="AI18" s="6">
        <v>215000</v>
      </c>
      <c r="AJ18" s="2">
        <v>27500</v>
      </c>
      <c r="AK18" s="2">
        <f t="shared" si="2"/>
        <v>252500</v>
      </c>
      <c r="AL18" s="6" t="s">
        <v>1058</v>
      </c>
      <c r="AM18" s="6" t="s">
        <v>78</v>
      </c>
      <c r="AN18" s="6" t="s">
        <v>1059</v>
      </c>
      <c r="AO18" s="6" t="s">
        <v>67</v>
      </c>
      <c r="AP18" s="6">
        <v>100000</v>
      </c>
      <c r="AQ18" s="6" t="s">
        <v>1060</v>
      </c>
      <c r="AR18" s="13" t="s">
        <v>1061</v>
      </c>
      <c r="AS18" s="6" t="s">
        <v>1062</v>
      </c>
      <c r="AT18" s="6" t="s">
        <v>1063</v>
      </c>
      <c r="AU18" s="6" t="s">
        <v>256</v>
      </c>
      <c r="AV18" s="6" t="s">
        <v>215</v>
      </c>
      <c r="AW18" s="6">
        <v>522501</v>
      </c>
      <c r="AX18" s="6" t="s">
        <v>1062</v>
      </c>
      <c r="AY18" s="6"/>
      <c r="AZ18" s="6">
        <v>9515989967</v>
      </c>
      <c r="BA18" s="6">
        <v>9515989967</v>
      </c>
      <c r="BB18" s="6" t="s">
        <v>37</v>
      </c>
      <c r="BC18" s="6"/>
      <c r="BD18" s="14" t="s">
        <v>1064</v>
      </c>
      <c r="BE18" s="2" t="s">
        <v>1065</v>
      </c>
      <c r="BF18" s="2" t="s">
        <v>1066</v>
      </c>
      <c r="BG18" s="6"/>
    </row>
    <row r="19" spans="1:59" s="2" customFormat="1" ht="80.099999999999994" customHeight="1" x14ac:dyDescent="0.25">
      <c r="A19" s="2">
        <v>17</v>
      </c>
      <c r="B19" s="27">
        <v>193</v>
      </c>
      <c r="C19" s="2" t="s">
        <v>4444</v>
      </c>
      <c r="D19" s="27" t="s">
        <v>119</v>
      </c>
      <c r="E19" s="27"/>
      <c r="F19" s="28" t="s">
        <v>1085</v>
      </c>
      <c r="G19" s="27" t="s">
        <v>38</v>
      </c>
      <c r="H19" s="27" t="s">
        <v>35</v>
      </c>
      <c r="I19" s="27" t="s">
        <v>68</v>
      </c>
      <c r="J19" s="27" t="s">
        <v>36</v>
      </c>
      <c r="K19" s="27" t="s">
        <v>1087</v>
      </c>
      <c r="L19" s="27" t="s">
        <v>82</v>
      </c>
      <c r="M19" s="27" t="s">
        <v>1088</v>
      </c>
      <c r="N19" s="27" t="s">
        <v>482</v>
      </c>
      <c r="O19" s="27" t="s">
        <v>83</v>
      </c>
      <c r="P19" s="27" t="s">
        <v>85</v>
      </c>
      <c r="Q19" s="27" t="s">
        <v>185</v>
      </c>
      <c r="R19" s="27">
        <v>1810225714</v>
      </c>
      <c r="S19" s="27">
        <v>2018</v>
      </c>
      <c r="T19" s="27" t="s">
        <v>89</v>
      </c>
      <c r="U19" s="27" t="s">
        <v>37</v>
      </c>
      <c r="V19" s="2" t="s">
        <v>215</v>
      </c>
      <c r="W19" s="27">
        <v>784</v>
      </c>
      <c r="X19" s="27">
        <f>W19/1000*100</f>
        <v>78.400000000000006</v>
      </c>
      <c r="Y19" s="27">
        <f>82+92+31+35+29+26+30+29</f>
        <v>354</v>
      </c>
      <c r="Z19" s="27">
        <v>530</v>
      </c>
      <c r="AA19" s="27">
        <f t="shared" si="0"/>
        <v>66.79245283018868</v>
      </c>
      <c r="AB19" s="27">
        <f>71+69+58+51+31+35+29+26+30+29</f>
        <v>429</v>
      </c>
      <c r="AC19" s="27">
        <v>600</v>
      </c>
      <c r="AD19" s="27">
        <f t="shared" si="1"/>
        <v>71.5</v>
      </c>
      <c r="AE19" s="27" t="s">
        <v>1089</v>
      </c>
      <c r="AF19" s="27" t="s">
        <v>1083</v>
      </c>
      <c r="AG19" s="27" t="s">
        <v>1083</v>
      </c>
      <c r="AH19" s="27">
        <v>10000</v>
      </c>
      <c r="AI19" s="27">
        <v>215000</v>
      </c>
      <c r="AJ19" s="27">
        <v>27500</v>
      </c>
      <c r="AK19" s="27">
        <f t="shared" si="2"/>
        <v>252500</v>
      </c>
      <c r="AL19" s="27" t="s">
        <v>1090</v>
      </c>
      <c r="AM19" s="27" t="s">
        <v>78</v>
      </c>
      <c r="AN19" s="27" t="s">
        <v>1091</v>
      </c>
      <c r="AO19" s="27" t="s">
        <v>1092</v>
      </c>
      <c r="AP19" s="27">
        <v>800000</v>
      </c>
      <c r="AQ19" s="27" t="s">
        <v>1093</v>
      </c>
      <c r="AR19" s="29" t="s">
        <v>1096</v>
      </c>
      <c r="AS19" s="27" t="s">
        <v>1094</v>
      </c>
      <c r="AT19" s="27" t="s">
        <v>482</v>
      </c>
      <c r="AU19" s="27" t="s">
        <v>169</v>
      </c>
      <c r="AV19" s="27" t="s">
        <v>215</v>
      </c>
      <c r="AW19" s="27">
        <v>518501</v>
      </c>
      <c r="AX19" s="27" t="s">
        <v>1094</v>
      </c>
      <c r="AY19" s="27" t="s">
        <v>37</v>
      </c>
      <c r="AZ19" s="27">
        <v>8247801106</v>
      </c>
      <c r="BA19" s="27">
        <v>8309102283</v>
      </c>
      <c r="BB19" s="27">
        <v>9866109953</v>
      </c>
      <c r="BC19" s="30" t="s">
        <v>1095</v>
      </c>
      <c r="BD19" s="30" t="s">
        <v>1097</v>
      </c>
      <c r="BE19" s="33" t="s">
        <v>879</v>
      </c>
      <c r="BF19" s="33" t="s">
        <v>2791</v>
      </c>
      <c r="BG19" s="27"/>
    </row>
    <row r="20" spans="1:59" s="2" customFormat="1" ht="80.099999999999994" customHeight="1" x14ac:dyDescent="0.25">
      <c r="A20" s="2">
        <v>18</v>
      </c>
      <c r="B20" s="2">
        <v>196</v>
      </c>
      <c r="C20" s="2" t="s">
        <v>4444</v>
      </c>
      <c r="D20" s="2" t="s">
        <v>119</v>
      </c>
      <c r="F20" s="7" t="s">
        <v>1086</v>
      </c>
      <c r="G20" s="2" t="s">
        <v>38</v>
      </c>
      <c r="H20" s="2" t="s">
        <v>35</v>
      </c>
      <c r="I20" s="2" t="s">
        <v>68</v>
      </c>
      <c r="J20" s="2" t="s">
        <v>36</v>
      </c>
      <c r="K20" s="2" t="s">
        <v>248</v>
      </c>
      <c r="L20" s="2" t="s">
        <v>70</v>
      </c>
      <c r="M20" s="2" t="s">
        <v>1102</v>
      </c>
      <c r="N20" s="2" t="s">
        <v>1103</v>
      </c>
      <c r="O20" s="2" t="s">
        <v>83</v>
      </c>
      <c r="P20" s="2" t="s">
        <v>85</v>
      </c>
      <c r="Q20" s="2" t="s">
        <v>185</v>
      </c>
      <c r="R20" s="2">
        <v>1858240034</v>
      </c>
      <c r="S20" s="2">
        <v>2018</v>
      </c>
      <c r="T20" s="2" t="s">
        <v>75</v>
      </c>
      <c r="U20" s="2" t="s">
        <v>37</v>
      </c>
      <c r="V20" s="2" t="s">
        <v>76</v>
      </c>
      <c r="W20" s="2">
        <v>839</v>
      </c>
      <c r="X20" s="2">
        <f>W20/1000*100</f>
        <v>83.899999999999991</v>
      </c>
      <c r="Y20" s="2">
        <f>85+91+68+27+55+47+29+28</f>
        <v>430</v>
      </c>
      <c r="Z20" s="2">
        <v>530</v>
      </c>
      <c r="AA20" s="2">
        <f t="shared" si="0"/>
        <v>81.132075471698116</v>
      </c>
      <c r="AB20" s="2">
        <f>75+75+60+60+68+27+55+47+29+28</f>
        <v>524</v>
      </c>
      <c r="AC20" s="2">
        <v>600</v>
      </c>
      <c r="AD20" s="2">
        <f t="shared" si="1"/>
        <v>87.333333333333329</v>
      </c>
      <c r="AE20" s="11" t="s">
        <v>1104</v>
      </c>
      <c r="AF20" s="2" t="s">
        <v>204</v>
      </c>
      <c r="AG20" s="2" t="s">
        <v>1083</v>
      </c>
      <c r="AH20" s="2">
        <v>10000</v>
      </c>
      <c r="AI20" s="2">
        <v>215000</v>
      </c>
      <c r="AJ20" s="2">
        <v>27500</v>
      </c>
      <c r="AK20" s="2">
        <f t="shared" si="2"/>
        <v>252500</v>
      </c>
      <c r="AL20" s="2" t="s">
        <v>1105</v>
      </c>
      <c r="AM20" s="2" t="s">
        <v>78</v>
      </c>
      <c r="AN20" s="2" t="s">
        <v>1106</v>
      </c>
      <c r="AO20" s="2" t="s">
        <v>1107</v>
      </c>
      <c r="AP20" s="2">
        <v>650000</v>
      </c>
      <c r="AQ20" s="2" t="s">
        <v>1108</v>
      </c>
      <c r="AR20" s="4" t="s">
        <v>1109</v>
      </c>
      <c r="AS20" s="2" t="s">
        <v>1110</v>
      </c>
      <c r="AT20" s="2" t="s">
        <v>1111</v>
      </c>
      <c r="AU20" s="2" t="s">
        <v>1112</v>
      </c>
      <c r="AV20" s="2" t="s">
        <v>215</v>
      </c>
      <c r="AW20" s="2">
        <v>515411</v>
      </c>
      <c r="AX20" s="2" t="s">
        <v>1110</v>
      </c>
      <c r="AY20" s="2" t="s">
        <v>37</v>
      </c>
      <c r="AZ20" s="2">
        <v>8897282246</v>
      </c>
      <c r="BA20" s="2">
        <v>9032104801</v>
      </c>
      <c r="BB20" s="2">
        <v>9290123089</v>
      </c>
      <c r="BC20" s="2" t="s">
        <v>37</v>
      </c>
      <c r="BD20" s="3" t="s">
        <v>1113</v>
      </c>
      <c r="BE20" s="2" t="s">
        <v>3401</v>
      </c>
      <c r="BF20" s="2" t="s">
        <v>144</v>
      </c>
    </row>
    <row r="21" spans="1:59" s="2" customFormat="1" ht="80.099999999999994" customHeight="1" x14ac:dyDescent="0.25">
      <c r="A21" s="2">
        <v>19</v>
      </c>
      <c r="B21" s="2">
        <v>199</v>
      </c>
      <c r="C21" s="2" t="s">
        <v>4444</v>
      </c>
      <c r="D21" s="2" t="s">
        <v>119</v>
      </c>
      <c r="E21" s="6"/>
      <c r="F21" s="7" t="s">
        <v>1114</v>
      </c>
      <c r="G21" s="2" t="s">
        <v>38</v>
      </c>
      <c r="H21" s="2" t="s">
        <v>35</v>
      </c>
      <c r="I21" s="2" t="s">
        <v>68</v>
      </c>
      <c r="J21" s="2" t="s">
        <v>435</v>
      </c>
      <c r="K21" s="2" t="s">
        <v>1067</v>
      </c>
      <c r="L21" s="2" t="s">
        <v>82</v>
      </c>
      <c r="M21" s="2" t="s">
        <v>1119</v>
      </c>
      <c r="N21" s="2" t="s">
        <v>1120</v>
      </c>
      <c r="O21" s="2" t="s">
        <v>226</v>
      </c>
      <c r="P21" s="2" t="s">
        <v>137</v>
      </c>
      <c r="Q21" s="2" t="s">
        <v>185</v>
      </c>
      <c r="R21" s="2">
        <v>1669784</v>
      </c>
      <c r="S21" s="2">
        <v>2018</v>
      </c>
      <c r="T21" s="2" t="s">
        <v>616</v>
      </c>
      <c r="U21" s="2" t="s">
        <v>37</v>
      </c>
      <c r="V21" s="2" t="s">
        <v>833</v>
      </c>
      <c r="W21" s="2" t="s">
        <v>37</v>
      </c>
      <c r="X21" s="2" t="s">
        <v>37</v>
      </c>
      <c r="Y21" s="2">
        <f>67+72+70+84+65</f>
        <v>358</v>
      </c>
      <c r="Z21" s="2">
        <v>500</v>
      </c>
      <c r="AA21" s="2">
        <f t="shared" si="0"/>
        <v>71.599999999999994</v>
      </c>
      <c r="AB21" s="2">
        <f>72+70+84</f>
        <v>226</v>
      </c>
      <c r="AC21" s="2">
        <v>300</v>
      </c>
      <c r="AD21" s="2">
        <f t="shared" si="1"/>
        <v>75.333333333333329</v>
      </c>
      <c r="AE21" s="11" t="s">
        <v>1121</v>
      </c>
      <c r="AF21" s="2" t="s">
        <v>1118</v>
      </c>
      <c r="AG21" s="2" t="s">
        <v>1118</v>
      </c>
      <c r="AH21" s="2">
        <v>10000</v>
      </c>
      <c r="AI21" s="2">
        <v>215000</v>
      </c>
      <c r="AJ21" s="2">
        <v>27500</v>
      </c>
      <c r="AK21" s="2">
        <f t="shared" si="2"/>
        <v>252500</v>
      </c>
      <c r="AL21" s="2" t="s">
        <v>1122</v>
      </c>
      <c r="AM21" s="2" t="s">
        <v>78</v>
      </c>
      <c r="AN21" s="2" t="s">
        <v>1123</v>
      </c>
      <c r="AO21" s="2" t="s">
        <v>139</v>
      </c>
      <c r="AP21" s="2">
        <v>250000</v>
      </c>
      <c r="AQ21" s="2" t="s">
        <v>1124</v>
      </c>
      <c r="AR21" s="4" t="s">
        <v>1125</v>
      </c>
      <c r="AS21" s="17" t="s">
        <v>1126</v>
      </c>
      <c r="AT21" s="2" t="s">
        <v>1127</v>
      </c>
      <c r="AU21" s="2" t="s">
        <v>1120</v>
      </c>
      <c r="AV21" s="2" t="s">
        <v>833</v>
      </c>
      <c r="AW21" s="2">
        <v>325205</v>
      </c>
      <c r="AX21" s="17" t="s">
        <v>1126</v>
      </c>
      <c r="AY21" s="2" t="s">
        <v>37</v>
      </c>
      <c r="AZ21" s="2">
        <v>7073100458</v>
      </c>
      <c r="BA21" s="2">
        <v>9414190458</v>
      </c>
      <c r="BB21" s="2">
        <v>9460422142</v>
      </c>
      <c r="BC21" s="3" t="s">
        <v>1128</v>
      </c>
      <c r="BD21" s="3" t="s">
        <v>1129</v>
      </c>
      <c r="BE21" s="2" t="s">
        <v>2877</v>
      </c>
    </row>
    <row r="22" spans="1:59" s="2" customFormat="1" ht="80.099999999999994" customHeight="1" x14ac:dyDescent="0.25">
      <c r="A22" s="2">
        <v>20</v>
      </c>
      <c r="B22" s="6">
        <v>174</v>
      </c>
      <c r="C22" s="2" t="s">
        <v>4444</v>
      </c>
      <c r="D22" s="6" t="s">
        <v>119</v>
      </c>
      <c r="F22" s="8" t="s">
        <v>1160</v>
      </c>
      <c r="G22" s="6" t="s">
        <v>91</v>
      </c>
      <c r="H22" s="6" t="s">
        <v>35</v>
      </c>
      <c r="I22" s="2" t="s">
        <v>68</v>
      </c>
      <c r="J22" s="2" t="s">
        <v>36</v>
      </c>
      <c r="K22" s="2" t="s">
        <v>157</v>
      </c>
      <c r="L22" s="2" t="s">
        <v>82</v>
      </c>
      <c r="M22" s="2" t="s">
        <v>1206</v>
      </c>
      <c r="N22" s="2" t="s">
        <v>95</v>
      </c>
      <c r="O22" s="2" t="s">
        <v>61</v>
      </c>
      <c r="P22" s="2" t="s">
        <v>73</v>
      </c>
      <c r="Q22" s="2" t="s">
        <v>63</v>
      </c>
      <c r="R22" s="2">
        <v>385302</v>
      </c>
      <c r="S22" s="2">
        <v>2018</v>
      </c>
      <c r="T22" s="2" t="s">
        <v>64</v>
      </c>
      <c r="U22" s="2" t="s">
        <v>65</v>
      </c>
      <c r="V22" s="2" t="s">
        <v>37</v>
      </c>
      <c r="W22" s="2" t="s">
        <v>37</v>
      </c>
      <c r="X22" s="2" t="s">
        <v>37</v>
      </c>
      <c r="Y22" s="2">
        <v>466</v>
      </c>
      <c r="Z22" s="2">
        <v>600</v>
      </c>
      <c r="AA22" s="2">
        <f t="shared" si="0"/>
        <v>77.666666666666657</v>
      </c>
      <c r="AB22" s="2">
        <f>69+73+60</f>
        <v>202</v>
      </c>
      <c r="AC22" s="2">
        <v>300</v>
      </c>
      <c r="AD22" s="2">
        <f t="shared" si="1"/>
        <v>67.333333333333329</v>
      </c>
      <c r="AE22" s="2" t="s">
        <v>1207</v>
      </c>
      <c r="AF22" s="2" t="s">
        <v>718</v>
      </c>
      <c r="AG22" s="2" t="s">
        <v>1118</v>
      </c>
      <c r="AH22" s="2">
        <v>10000</v>
      </c>
      <c r="AI22" s="2">
        <v>205000</v>
      </c>
      <c r="AJ22" s="2">
        <v>27500</v>
      </c>
      <c r="AK22" s="2">
        <f t="shared" si="2"/>
        <v>242500</v>
      </c>
      <c r="AL22" s="2" t="s">
        <v>1208</v>
      </c>
      <c r="AM22" s="2" t="s">
        <v>1210</v>
      </c>
      <c r="AN22" s="2" t="s">
        <v>1209</v>
      </c>
      <c r="AO22" s="2" t="s">
        <v>1211</v>
      </c>
      <c r="AQ22" s="2" t="s">
        <v>1216</v>
      </c>
      <c r="AR22" s="2">
        <v>432767499512</v>
      </c>
      <c r="AS22" s="2" t="s">
        <v>1212</v>
      </c>
      <c r="AT22" s="2" t="s">
        <v>1213</v>
      </c>
      <c r="AU22" s="2" t="s">
        <v>95</v>
      </c>
      <c r="AV22" s="2" t="s">
        <v>65</v>
      </c>
      <c r="AW22" s="2">
        <v>560050</v>
      </c>
      <c r="AX22" s="2" t="s">
        <v>1212</v>
      </c>
      <c r="AY22" s="2" t="s">
        <v>1214</v>
      </c>
      <c r="AZ22" s="2">
        <v>9980356167</v>
      </c>
      <c r="BB22" s="2">
        <v>9019252570</v>
      </c>
      <c r="BD22" s="3" t="s">
        <v>1215</v>
      </c>
      <c r="BE22" s="2" t="s">
        <v>3312</v>
      </c>
    </row>
    <row r="23" spans="1:59" s="2" customFormat="1" ht="80.099999999999994" customHeight="1" x14ac:dyDescent="0.25">
      <c r="A23" s="2">
        <v>21</v>
      </c>
      <c r="B23" s="6">
        <v>233</v>
      </c>
      <c r="C23" s="2" t="s">
        <v>4444</v>
      </c>
      <c r="D23" s="6" t="s">
        <v>119</v>
      </c>
      <c r="F23" s="8" t="s">
        <v>1252</v>
      </c>
      <c r="G23" s="6" t="s">
        <v>38</v>
      </c>
      <c r="H23" s="6" t="s">
        <v>35</v>
      </c>
      <c r="I23" s="2" t="s">
        <v>68</v>
      </c>
      <c r="J23" s="2" t="s">
        <v>36</v>
      </c>
      <c r="K23" s="2" t="s">
        <v>1259</v>
      </c>
      <c r="L23" s="2" t="s">
        <v>82</v>
      </c>
      <c r="M23" s="2" t="s">
        <v>1260</v>
      </c>
      <c r="N23" s="2" t="s">
        <v>1261</v>
      </c>
      <c r="O23" s="2" t="s">
        <v>72</v>
      </c>
      <c r="P23" s="2" t="s">
        <v>73</v>
      </c>
      <c r="Q23" s="2" t="s">
        <v>185</v>
      </c>
      <c r="R23" s="4" t="s">
        <v>1262</v>
      </c>
      <c r="S23" s="2">
        <v>2017</v>
      </c>
      <c r="T23" s="2" t="s">
        <v>768</v>
      </c>
      <c r="U23" s="2" t="s">
        <v>37</v>
      </c>
      <c r="V23" s="2" t="s">
        <v>188</v>
      </c>
      <c r="W23" s="2" t="s">
        <v>37</v>
      </c>
      <c r="X23" s="2" t="s">
        <v>37</v>
      </c>
      <c r="Y23" s="2">
        <v>286</v>
      </c>
      <c r="Z23" s="2">
        <v>500</v>
      </c>
      <c r="AA23" s="2">
        <f t="shared" si="0"/>
        <v>57.199999999999996</v>
      </c>
      <c r="AB23" s="2">
        <f>57+42+37</f>
        <v>136</v>
      </c>
      <c r="AC23" s="2">
        <v>300</v>
      </c>
      <c r="AD23" s="2">
        <f t="shared" si="1"/>
        <v>45.333333333333329</v>
      </c>
      <c r="AE23" s="2" t="s">
        <v>1263</v>
      </c>
      <c r="AF23" s="2" t="s">
        <v>1258</v>
      </c>
      <c r="AG23" s="2" t="s">
        <v>1258</v>
      </c>
      <c r="AH23" s="2">
        <v>10000</v>
      </c>
      <c r="AI23" s="2">
        <v>215000</v>
      </c>
      <c r="AJ23" s="2">
        <v>27500</v>
      </c>
      <c r="AK23" s="2">
        <f t="shared" si="2"/>
        <v>252500</v>
      </c>
      <c r="AL23" s="2" t="s">
        <v>1264</v>
      </c>
      <c r="AM23" s="2" t="s">
        <v>99</v>
      </c>
      <c r="AN23" s="2" t="s">
        <v>1265</v>
      </c>
      <c r="AO23" s="2" t="s">
        <v>187</v>
      </c>
      <c r="AP23" s="2">
        <v>720000</v>
      </c>
      <c r="AQ23" s="2" t="s">
        <v>1266</v>
      </c>
      <c r="AR23" s="4" t="s">
        <v>1267</v>
      </c>
      <c r="AS23" s="2" t="s">
        <v>1268</v>
      </c>
      <c r="AT23" s="2" t="s">
        <v>1269</v>
      </c>
      <c r="AU23" s="2" t="s">
        <v>1261</v>
      </c>
      <c r="AV23" s="2" t="s">
        <v>188</v>
      </c>
      <c r="AW23" s="2">
        <v>800011</v>
      </c>
      <c r="AX23" s="2" t="s">
        <v>1268</v>
      </c>
      <c r="AY23" s="2" t="s">
        <v>37</v>
      </c>
      <c r="AZ23" s="2">
        <v>7644842661</v>
      </c>
      <c r="BA23" s="2">
        <v>9835226373</v>
      </c>
      <c r="BB23" s="2">
        <v>9122831385</v>
      </c>
      <c r="BC23" s="3" t="s">
        <v>1270</v>
      </c>
      <c r="BD23" s="3" t="s">
        <v>1271</v>
      </c>
      <c r="BE23" s="2" t="s">
        <v>1272</v>
      </c>
      <c r="BF23" s="2" t="s">
        <v>37</v>
      </c>
    </row>
    <row r="24" spans="1:59" s="19" customFormat="1" ht="80.099999999999994" customHeight="1" x14ac:dyDescent="0.25">
      <c r="A24" s="2">
        <v>22</v>
      </c>
      <c r="B24" s="6">
        <v>237</v>
      </c>
      <c r="C24" s="2" t="s">
        <v>4444</v>
      </c>
      <c r="D24" s="6" t="s">
        <v>119</v>
      </c>
      <c r="E24" s="2"/>
      <c r="F24" s="8" t="s">
        <v>1254</v>
      </c>
      <c r="G24" s="6" t="s">
        <v>38</v>
      </c>
      <c r="H24" s="6" t="s">
        <v>35</v>
      </c>
      <c r="I24" s="2" t="s">
        <v>68</v>
      </c>
      <c r="J24" s="2" t="s">
        <v>36</v>
      </c>
      <c r="K24" s="2" t="s">
        <v>207</v>
      </c>
      <c r="L24" s="2" t="s">
        <v>82</v>
      </c>
      <c r="M24" s="2" t="s">
        <v>1287</v>
      </c>
      <c r="N24" s="2" t="s">
        <v>1288</v>
      </c>
      <c r="O24" s="2" t="s">
        <v>83</v>
      </c>
      <c r="P24" s="2" t="s">
        <v>73</v>
      </c>
      <c r="Q24" s="2" t="s">
        <v>185</v>
      </c>
      <c r="R24" s="2">
        <v>1806212340</v>
      </c>
      <c r="S24" s="2">
        <v>2018</v>
      </c>
      <c r="T24" s="2" t="s">
        <v>89</v>
      </c>
      <c r="U24" s="2" t="s">
        <v>37</v>
      </c>
      <c r="V24" s="2" t="s">
        <v>215</v>
      </c>
      <c r="W24" s="2">
        <v>904</v>
      </c>
      <c r="X24" s="2">
        <f>W24/1000*100</f>
        <v>90.4</v>
      </c>
      <c r="Y24" s="2">
        <f>81+98+70+67+53+55+30+30</f>
        <v>484</v>
      </c>
      <c r="Z24" s="2">
        <v>530</v>
      </c>
      <c r="AA24" s="2">
        <f t="shared" si="0"/>
        <v>91.320754716981128</v>
      </c>
      <c r="AB24" s="2">
        <f>71+71+57+48+70+67+53+55+30+30</f>
        <v>552</v>
      </c>
      <c r="AC24" s="2">
        <v>600</v>
      </c>
      <c r="AD24" s="2">
        <f t="shared" si="1"/>
        <v>92</v>
      </c>
      <c r="AE24" s="2" t="s">
        <v>1289</v>
      </c>
      <c r="AF24" s="2" t="s">
        <v>1258</v>
      </c>
      <c r="AG24" s="2" t="s">
        <v>1258</v>
      </c>
      <c r="AH24" s="2">
        <v>10000</v>
      </c>
      <c r="AI24" s="2">
        <v>215000</v>
      </c>
      <c r="AJ24" s="2">
        <v>27500</v>
      </c>
      <c r="AK24" s="2">
        <f t="shared" si="2"/>
        <v>252500</v>
      </c>
      <c r="AL24" s="2" t="s">
        <v>1290</v>
      </c>
      <c r="AM24" s="2" t="s">
        <v>78</v>
      </c>
      <c r="AN24" s="2" t="s">
        <v>1297</v>
      </c>
      <c r="AO24" s="2" t="s">
        <v>67</v>
      </c>
      <c r="AP24" s="2">
        <v>100000</v>
      </c>
      <c r="AQ24" s="2" t="s">
        <v>1291</v>
      </c>
      <c r="AR24" s="4" t="s">
        <v>1292</v>
      </c>
      <c r="AS24" s="2" t="s">
        <v>1293</v>
      </c>
      <c r="AT24" s="2" t="s">
        <v>1294</v>
      </c>
      <c r="AU24" s="2" t="s">
        <v>408</v>
      </c>
      <c r="AV24" s="2" t="s">
        <v>215</v>
      </c>
      <c r="AW24" s="2">
        <v>515414</v>
      </c>
      <c r="AX24" s="2" t="s">
        <v>1293</v>
      </c>
      <c r="AY24" s="2" t="s">
        <v>37</v>
      </c>
      <c r="AZ24" s="2">
        <v>9441708400</v>
      </c>
      <c r="BA24" s="2">
        <v>9701276717</v>
      </c>
      <c r="BB24" s="2">
        <v>9404403191</v>
      </c>
      <c r="BC24" s="2"/>
      <c r="BD24" s="3" t="s">
        <v>1295</v>
      </c>
      <c r="BE24" s="2" t="s">
        <v>1296</v>
      </c>
      <c r="BF24" s="2" t="s">
        <v>144</v>
      </c>
      <c r="BG24" s="2"/>
    </row>
    <row r="25" spans="1:59" s="2" customFormat="1" ht="80.099999999999994" customHeight="1" x14ac:dyDescent="0.25">
      <c r="A25" s="2">
        <v>23</v>
      </c>
      <c r="B25" s="6">
        <v>264</v>
      </c>
      <c r="C25" s="2" t="s">
        <v>4444</v>
      </c>
      <c r="D25" s="6" t="s">
        <v>119</v>
      </c>
      <c r="F25" s="8" t="s">
        <v>1359</v>
      </c>
      <c r="G25" s="6" t="s">
        <v>38</v>
      </c>
      <c r="H25" s="6" t="s">
        <v>35</v>
      </c>
      <c r="I25" s="2" t="s">
        <v>68</v>
      </c>
      <c r="J25" s="2" t="s">
        <v>36</v>
      </c>
      <c r="K25" s="2" t="s">
        <v>1459</v>
      </c>
      <c r="L25" s="2" t="s">
        <v>82</v>
      </c>
      <c r="M25" s="2" t="s">
        <v>1273</v>
      </c>
      <c r="N25" s="2" t="s">
        <v>1460</v>
      </c>
      <c r="O25" s="2" t="s">
        <v>83</v>
      </c>
      <c r="P25" s="2" t="s">
        <v>73</v>
      </c>
      <c r="Q25" s="2" t="s">
        <v>185</v>
      </c>
      <c r="R25" s="2">
        <v>1806215311</v>
      </c>
      <c r="S25" s="2">
        <v>2018</v>
      </c>
      <c r="T25" s="2" t="s">
        <v>89</v>
      </c>
      <c r="U25" s="2" t="s">
        <v>37</v>
      </c>
      <c r="V25" s="2" t="s">
        <v>215</v>
      </c>
      <c r="W25" s="2">
        <v>891</v>
      </c>
      <c r="X25" s="2">
        <f>W25/1000*100</f>
        <v>89.1</v>
      </c>
      <c r="Y25" s="2">
        <f>94+98+48+68+60+39+29+30</f>
        <v>466</v>
      </c>
      <c r="Z25" s="2">
        <v>530</v>
      </c>
      <c r="AA25" s="2">
        <f t="shared" si="0"/>
        <v>87.924528301886795</v>
      </c>
      <c r="AB25" s="2">
        <f>63+75+59+48+48+68+60+39+29+30</f>
        <v>519</v>
      </c>
      <c r="AC25" s="2">
        <v>600</v>
      </c>
      <c r="AD25" s="2">
        <f t="shared" si="1"/>
        <v>86.5</v>
      </c>
      <c r="AE25" s="2" t="s">
        <v>1461</v>
      </c>
      <c r="AF25" s="2" t="s">
        <v>194</v>
      </c>
      <c r="AG25" s="2" t="s">
        <v>1349</v>
      </c>
      <c r="AH25" s="2">
        <v>10000</v>
      </c>
      <c r="AI25" s="2">
        <v>215000</v>
      </c>
      <c r="AJ25" s="2">
        <v>27500</v>
      </c>
      <c r="AK25" s="2">
        <f t="shared" si="2"/>
        <v>252500</v>
      </c>
      <c r="AL25" s="2" t="s">
        <v>1462</v>
      </c>
      <c r="AM25" s="2" t="s">
        <v>87</v>
      </c>
      <c r="AN25" s="2" t="s">
        <v>1463</v>
      </c>
      <c r="AO25" s="2" t="s">
        <v>897</v>
      </c>
      <c r="AP25" s="2">
        <v>150000</v>
      </c>
      <c r="AQ25" s="2" t="s">
        <v>1464</v>
      </c>
      <c r="AR25" s="4" t="s">
        <v>1465</v>
      </c>
      <c r="AS25" s="2" t="s">
        <v>1466</v>
      </c>
      <c r="AT25" s="2" t="s">
        <v>1460</v>
      </c>
      <c r="AU25" s="2" t="s">
        <v>422</v>
      </c>
      <c r="AV25" s="2" t="s">
        <v>215</v>
      </c>
      <c r="AW25" s="2">
        <v>523167</v>
      </c>
      <c r="AX25" s="2" t="s">
        <v>1467</v>
      </c>
      <c r="AY25" s="2" t="s">
        <v>37</v>
      </c>
      <c r="AZ25" s="2">
        <v>7619641199</v>
      </c>
      <c r="BA25" s="2">
        <v>9949676815</v>
      </c>
      <c r="BB25" s="2">
        <v>7032788863</v>
      </c>
      <c r="BD25" s="3" t="s">
        <v>1468</v>
      </c>
      <c r="BE25" s="2" t="s">
        <v>3506</v>
      </c>
      <c r="BF25" s="2" t="s">
        <v>144</v>
      </c>
    </row>
    <row r="26" spans="1:59" s="2" customFormat="1" ht="80.099999999999994" customHeight="1" x14ac:dyDescent="0.25">
      <c r="A26" s="2">
        <v>24</v>
      </c>
      <c r="B26" s="2">
        <v>283</v>
      </c>
      <c r="C26" s="2" t="s">
        <v>4444</v>
      </c>
      <c r="D26" s="2" t="s">
        <v>119</v>
      </c>
      <c r="F26" s="7" t="s">
        <v>1535</v>
      </c>
      <c r="G26" s="2" t="s">
        <v>1505</v>
      </c>
      <c r="H26" s="2" t="s">
        <v>35</v>
      </c>
      <c r="I26" s="2" t="s">
        <v>68</v>
      </c>
      <c r="J26" s="2" t="s">
        <v>36</v>
      </c>
      <c r="K26" s="2" t="s">
        <v>135</v>
      </c>
      <c r="L26" s="2" t="s">
        <v>82</v>
      </c>
      <c r="M26" s="2" t="s">
        <v>1536</v>
      </c>
      <c r="N26" s="2" t="s">
        <v>1537</v>
      </c>
      <c r="O26" s="2" t="s">
        <v>83</v>
      </c>
      <c r="P26" s="2" t="s">
        <v>73</v>
      </c>
      <c r="Q26" s="2" t="s">
        <v>185</v>
      </c>
      <c r="R26" s="2">
        <v>1805247436</v>
      </c>
      <c r="S26" s="2">
        <v>2018</v>
      </c>
      <c r="T26" s="2" t="s">
        <v>89</v>
      </c>
      <c r="U26" s="2" t="s">
        <v>37</v>
      </c>
      <c r="V26" s="2" t="s">
        <v>215</v>
      </c>
      <c r="W26" s="2">
        <v>942</v>
      </c>
      <c r="X26" s="2">
        <f>W26/1000*100</f>
        <v>94.199999999999989</v>
      </c>
      <c r="Y26" s="2">
        <f>91+98+71+68+59+51+30+30</f>
        <v>498</v>
      </c>
      <c r="Z26" s="2">
        <v>530</v>
      </c>
      <c r="AA26" s="2">
        <f t="shared" si="0"/>
        <v>93.962264150943398</v>
      </c>
      <c r="AB26" s="2">
        <f>74+73+57+51+71+68+59+51+30+30</f>
        <v>564</v>
      </c>
      <c r="AC26" s="2">
        <v>600</v>
      </c>
      <c r="AD26" s="2">
        <f t="shared" si="1"/>
        <v>94</v>
      </c>
      <c r="AE26" s="2" t="s">
        <v>1538</v>
      </c>
      <c r="AF26" s="2" t="s">
        <v>1512</v>
      </c>
      <c r="AG26" s="2" t="s">
        <v>1512</v>
      </c>
      <c r="AH26" s="2">
        <v>10000</v>
      </c>
      <c r="AI26" s="2">
        <v>205000</v>
      </c>
      <c r="AJ26" s="2">
        <v>27500</v>
      </c>
      <c r="AK26" s="2">
        <f t="shared" si="2"/>
        <v>242500</v>
      </c>
      <c r="AL26" s="2" t="s">
        <v>1539</v>
      </c>
      <c r="AM26" s="2" t="s">
        <v>78</v>
      </c>
      <c r="AN26" s="2" t="s">
        <v>1540</v>
      </c>
      <c r="AO26" s="2" t="s">
        <v>1541</v>
      </c>
      <c r="AP26" s="2">
        <v>60000</v>
      </c>
      <c r="AQ26" s="2" t="s">
        <v>1549</v>
      </c>
      <c r="AR26" s="4" t="s">
        <v>1542</v>
      </c>
      <c r="AS26" s="2" t="s">
        <v>1543</v>
      </c>
      <c r="AT26" s="2" t="s">
        <v>1544</v>
      </c>
      <c r="AU26" s="2" t="s">
        <v>422</v>
      </c>
      <c r="AV26" s="2" t="s">
        <v>215</v>
      </c>
      <c r="AW26" s="2">
        <v>523187</v>
      </c>
      <c r="AX26" s="2" t="s">
        <v>1545</v>
      </c>
      <c r="AZ26" s="2">
        <v>8686363266</v>
      </c>
      <c r="BA26" s="2">
        <v>7995200963</v>
      </c>
      <c r="BB26" s="2">
        <v>7093470923</v>
      </c>
      <c r="BC26" s="3" t="s">
        <v>1546</v>
      </c>
      <c r="BD26" s="3" t="s">
        <v>1547</v>
      </c>
      <c r="BE26" s="2" t="s">
        <v>1548</v>
      </c>
      <c r="BF26" s="2" t="s">
        <v>144</v>
      </c>
    </row>
    <row r="27" spans="1:59" s="2" customFormat="1" ht="80.099999999999994" customHeight="1" x14ac:dyDescent="0.25">
      <c r="A27" s="2">
        <v>25</v>
      </c>
      <c r="B27" s="6">
        <v>301</v>
      </c>
      <c r="C27" s="2" t="s">
        <v>4444</v>
      </c>
      <c r="D27" s="6" t="s">
        <v>119</v>
      </c>
      <c r="F27" s="8" t="s">
        <v>1566</v>
      </c>
      <c r="G27" s="6" t="s">
        <v>38</v>
      </c>
      <c r="H27" s="6" t="s">
        <v>35</v>
      </c>
      <c r="I27" s="2" t="s">
        <v>68</v>
      </c>
      <c r="J27" s="2" t="s">
        <v>36</v>
      </c>
      <c r="K27" s="2" t="s">
        <v>157</v>
      </c>
      <c r="L27" s="2" t="s">
        <v>82</v>
      </c>
      <c r="M27" s="2" t="s">
        <v>344</v>
      </c>
      <c r="N27" s="2" t="s">
        <v>95</v>
      </c>
      <c r="O27" s="2" t="s">
        <v>61</v>
      </c>
      <c r="P27" s="2" t="s">
        <v>85</v>
      </c>
      <c r="Q27" s="2" t="s">
        <v>63</v>
      </c>
      <c r="R27" s="2">
        <v>384656</v>
      </c>
      <c r="S27" s="2">
        <v>2018</v>
      </c>
      <c r="T27" s="2" t="s">
        <v>64</v>
      </c>
      <c r="U27" s="2" t="s">
        <v>65</v>
      </c>
      <c r="V27" s="2" t="s">
        <v>37</v>
      </c>
      <c r="W27" s="2" t="s">
        <v>37</v>
      </c>
      <c r="X27" s="2" t="s">
        <v>37</v>
      </c>
      <c r="Y27" s="2">
        <v>521</v>
      </c>
      <c r="Z27" s="2">
        <v>600</v>
      </c>
      <c r="AA27" s="2">
        <f t="shared" si="0"/>
        <v>86.833333333333329</v>
      </c>
      <c r="AB27" s="2">
        <f>86+85+80</f>
        <v>251</v>
      </c>
      <c r="AC27" s="2">
        <v>300</v>
      </c>
      <c r="AD27" s="2">
        <f t="shared" si="1"/>
        <v>83.666666666666671</v>
      </c>
      <c r="AE27" s="2" t="s">
        <v>1587</v>
      </c>
      <c r="AF27" s="2" t="s">
        <v>1023</v>
      </c>
      <c r="AG27" s="2" t="s">
        <v>1560</v>
      </c>
      <c r="AH27" s="2">
        <v>10000</v>
      </c>
      <c r="AI27" s="2">
        <v>215000</v>
      </c>
      <c r="AJ27" s="2">
        <v>27500</v>
      </c>
      <c r="AK27" s="2">
        <f t="shared" si="2"/>
        <v>252500</v>
      </c>
      <c r="AL27" s="2" t="s">
        <v>1588</v>
      </c>
      <c r="AM27" s="2" t="s">
        <v>78</v>
      </c>
      <c r="AN27" s="2" t="s">
        <v>1589</v>
      </c>
      <c r="AO27" s="2" t="s">
        <v>1590</v>
      </c>
      <c r="AP27" s="2">
        <v>500000</v>
      </c>
      <c r="AQ27" s="2" t="s">
        <v>1591</v>
      </c>
      <c r="AR27" s="4" t="s">
        <v>1592</v>
      </c>
      <c r="AS27" s="2" t="s">
        <v>1593</v>
      </c>
      <c r="AT27" s="2" t="s">
        <v>1594</v>
      </c>
      <c r="AU27" s="2" t="s">
        <v>95</v>
      </c>
      <c r="AV27" s="2" t="s">
        <v>65</v>
      </c>
      <c r="AW27" s="2">
        <v>560050</v>
      </c>
      <c r="AX27" s="2" t="s">
        <v>1593</v>
      </c>
      <c r="AY27" s="2" t="s">
        <v>1595</v>
      </c>
      <c r="AZ27" s="2">
        <v>9480120810</v>
      </c>
      <c r="BA27" s="2">
        <v>9449079914</v>
      </c>
      <c r="BB27" s="2">
        <v>9880210509</v>
      </c>
      <c r="BC27" s="3" t="s">
        <v>1596</v>
      </c>
      <c r="BD27" s="3" t="s">
        <v>1597</v>
      </c>
      <c r="BE27" s="2" t="s">
        <v>1609</v>
      </c>
    </row>
    <row r="28" spans="1:59" s="2" customFormat="1" ht="80.099999999999994" customHeight="1" x14ac:dyDescent="0.25">
      <c r="A28" s="2">
        <v>26</v>
      </c>
      <c r="B28" s="2">
        <v>303</v>
      </c>
      <c r="C28" s="2" t="s">
        <v>4444</v>
      </c>
      <c r="D28" s="2" t="s">
        <v>119</v>
      </c>
      <c r="F28" s="7" t="s">
        <v>1570</v>
      </c>
      <c r="G28" s="2" t="s">
        <v>38</v>
      </c>
      <c r="H28" s="2" t="s">
        <v>35</v>
      </c>
      <c r="I28" s="2" t="s">
        <v>68</v>
      </c>
      <c r="J28" s="2" t="s">
        <v>36</v>
      </c>
      <c r="K28" s="2" t="s">
        <v>163</v>
      </c>
      <c r="L28" s="2" t="s">
        <v>116</v>
      </c>
      <c r="M28" s="2" t="s">
        <v>1610</v>
      </c>
      <c r="N28" s="2" t="s">
        <v>1611</v>
      </c>
      <c r="O28" s="2" t="s">
        <v>61</v>
      </c>
      <c r="P28" s="2" t="s">
        <v>62</v>
      </c>
      <c r="Q28" s="2" t="s">
        <v>63</v>
      </c>
      <c r="R28" s="2">
        <v>389649</v>
      </c>
      <c r="S28" s="2">
        <v>2018</v>
      </c>
      <c r="T28" s="2" t="s">
        <v>64</v>
      </c>
      <c r="U28" s="2" t="s">
        <v>65</v>
      </c>
      <c r="V28" s="2" t="s">
        <v>37</v>
      </c>
      <c r="W28" s="2" t="s">
        <v>37</v>
      </c>
      <c r="X28" s="2" t="s">
        <v>37</v>
      </c>
      <c r="Y28" s="2">
        <v>392</v>
      </c>
      <c r="Z28" s="2">
        <v>600</v>
      </c>
      <c r="AA28" s="2">
        <f t="shared" si="0"/>
        <v>65.333333333333329</v>
      </c>
      <c r="AB28" s="2">
        <f>72+62+51</f>
        <v>185</v>
      </c>
      <c r="AC28" s="2">
        <v>300</v>
      </c>
      <c r="AD28" s="2">
        <f t="shared" si="1"/>
        <v>61.666666666666671</v>
      </c>
      <c r="AE28" s="2" t="s">
        <v>1612</v>
      </c>
      <c r="AF28" s="2" t="s">
        <v>1118</v>
      </c>
      <c r="AG28" s="2" t="s">
        <v>1560</v>
      </c>
      <c r="AH28" s="2">
        <v>10000</v>
      </c>
      <c r="AI28" s="2">
        <v>215000</v>
      </c>
      <c r="AJ28" s="2">
        <v>27500</v>
      </c>
      <c r="AK28" s="2">
        <f t="shared" si="2"/>
        <v>252500</v>
      </c>
      <c r="AL28" s="2" t="s">
        <v>1613</v>
      </c>
      <c r="AM28" s="2" t="s">
        <v>78</v>
      </c>
      <c r="AN28" s="2" t="s">
        <v>1614</v>
      </c>
      <c r="AO28" s="2" t="s">
        <v>924</v>
      </c>
      <c r="AP28" s="2">
        <v>350000</v>
      </c>
      <c r="AQ28" s="2" t="s">
        <v>1615</v>
      </c>
      <c r="AR28" s="4" t="s">
        <v>1616</v>
      </c>
      <c r="AS28" s="2" t="s">
        <v>1617</v>
      </c>
      <c r="AT28" s="2" t="s">
        <v>1618</v>
      </c>
      <c r="AU28" s="2" t="s">
        <v>95</v>
      </c>
      <c r="AV28" s="2" t="s">
        <v>65</v>
      </c>
      <c r="AW28" s="2">
        <v>560016</v>
      </c>
      <c r="AX28" s="2" t="s">
        <v>1619</v>
      </c>
      <c r="AZ28" s="2">
        <v>7829955614</v>
      </c>
      <c r="BA28" s="2">
        <v>9964580620</v>
      </c>
      <c r="BB28" s="2">
        <v>9916392759</v>
      </c>
      <c r="BC28" s="3" t="s">
        <v>1620</v>
      </c>
      <c r="BD28" s="3" t="s">
        <v>1621</v>
      </c>
      <c r="BE28" s="2" t="s">
        <v>879</v>
      </c>
      <c r="BF28" s="2" t="s">
        <v>113</v>
      </c>
    </row>
    <row r="29" spans="1:59" s="2" customFormat="1" ht="80.099999999999994" customHeight="1" x14ac:dyDescent="0.25">
      <c r="A29" s="2">
        <v>27</v>
      </c>
      <c r="B29" s="2">
        <v>306</v>
      </c>
      <c r="C29" s="2" t="s">
        <v>4444</v>
      </c>
      <c r="D29" s="6" t="s">
        <v>119</v>
      </c>
      <c r="F29" s="8" t="s">
        <v>1586</v>
      </c>
      <c r="G29" s="6" t="s">
        <v>38</v>
      </c>
      <c r="H29" s="6" t="s">
        <v>35</v>
      </c>
      <c r="I29" s="2" t="s">
        <v>68</v>
      </c>
      <c r="J29" s="2" t="s">
        <v>435</v>
      </c>
      <c r="K29" s="2" t="s">
        <v>1643</v>
      </c>
      <c r="L29" s="2" t="s">
        <v>82</v>
      </c>
      <c r="M29" s="2" t="s">
        <v>1644</v>
      </c>
      <c r="N29" s="2" t="s">
        <v>1645</v>
      </c>
      <c r="O29" s="2" t="s">
        <v>72</v>
      </c>
      <c r="P29" s="2" t="s">
        <v>562</v>
      </c>
      <c r="Q29" s="2" t="s">
        <v>185</v>
      </c>
      <c r="R29" s="2">
        <v>1680701</v>
      </c>
      <c r="S29" s="2">
        <v>2018</v>
      </c>
      <c r="T29" s="2" t="s">
        <v>616</v>
      </c>
      <c r="U29" s="2" t="s">
        <v>37</v>
      </c>
      <c r="V29" s="2" t="s">
        <v>833</v>
      </c>
      <c r="W29" s="2" t="s">
        <v>37</v>
      </c>
      <c r="X29" s="2" t="s">
        <v>37</v>
      </c>
      <c r="Y29" s="2">
        <f>76+33+51+67+64</f>
        <v>291</v>
      </c>
      <c r="Z29" s="2">
        <v>600</v>
      </c>
      <c r="AA29" s="2">
        <f t="shared" si="0"/>
        <v>48.5</v>
      </c>
      <c r="AB29" s="2">
        <f>33+51+67</f>
        <v>151</v>
      </c>
      <c r="AC29" s="2">
        <v>300</v>
      </c>
      <c r="AD29" s="2">
        <f t="shared" si="1"/>
        <v>50.333333333333329</v>
      </c>
      <c r="AE29" s="2" t="s">
        <v>1646</v>
      </c>
      <c r="AF29" s="2" t="s">
        <v>1560</v>
      </c>
      <c r="AG29" s="2" t="s">
        <v>1560</v>
      </c>
      <c r="AH29" s="2">
        <v>10000</v>
      </c>
      <c r="AI29" s="2">
        <v>215000</v>
      </c>
      <c r="AJ29" s="2">
        <v>27500</v>
      </c>
      <c r="AK29" s="2">
        <f t="shared" si="2"/>
        <v>252500</v>
      </c>
      <c r="AL29" s="2" t="s">
        <v>1647</v>
      </c>
      <c r="AM29" s="2" t="s">
        <v>78</v>
      </c>
      <c r="AN29" s="2" t="s">
        <v>1648</v>
      </c>
      <c r="AO29" s="2" t="s">
        <v>1649</v>
      </c>
      <c r="AP29" s="2">
        <v>770000</v>
      </c>
      <c r="AQ29" s="2" t="s">
        <v>1650</v>
      </c>
      <c r="AR29" s="4" t="s">
        <v>1651</v>
      </c>
      <c r="AS29" s="2" t="s">
        <v>1652</v>
      </c>
      <c r="AT29" s="2" t="s">
        <v>1653</v>
      </c>
      <c r="AU29" s="2" t="s">
        <v>1654</v>
      </c>
      <c r="AV29" s="2" t="s">
        <v>833</v>
      </c>
      <c r="AW29" s="2">
        <v>313002</v>
      </c>
      <c r="AX29" s="2" t="s">
        <v>1652</v>
      </c>
      <c r="AZ29" s="2">
        <v>7790925568</v>
      </c>
      <c r="BA29" s="2">
        <v>9636804667</v>
      </c>
      <c r="BB29" s="2">
        <v>9413174498</v>
      </c>
      <c r="BC29" s="3" t="s">
        <v>1656</v>
      </c>
      <c r="BD29" s="3" t="s">
        <v>1655</v>
      </c>
      <c r="BE29" s="2" t="s">
        <v>4210</v>
      </c>
    </row>
    <row r="30" spans="1:59" s="2" customFormat="1" ht="80.099999999999994" customHeight="1" x14ac:dyDescent="0.25">
      <c r="A30" s="2">
        <v>28</v>
      </c>
      <c r="B30" s="2">
        <v>321</v>
      </c>
      <c r="C30" s="2" t="s">
        <v>4444</v>
      </c>
      <c r="D30" s="2" t="s">
        <v>119</v>
      </c>
      <c r="F30" s="7" t="s">
        <v>1709</v>
      </c>
      <c r="G30" s="2" t="s">
        <v>38</v>
      </c>
      <c r="H30" s="2" t="s">
        <v>35</v>
      </c>
      <c r="I30" s="2" t="s">
        <v>68</v>
      </c>
      <c r="J30" s="2" t="s">
        <v>36</v>
      </c>
      <c r="K30" s="2" t="s">
        <v>1710</v>
      </c>
      <c r="L30" s="2" t="s">
        <v>70</v>
      </c>
      <c r="M30" s="2" t="s">
        <v>1088</v>
      </c>
      <c r="N30" s="2" t="s">
        <v>1711</v>
      </c>
      <c r="O30" s="2" t="s">
        <v>83</v>
      </c>
      <c r="P30" s="2" t="s">
        <v>73</v>
      </c>
      <c r="Q30" s="2" t="s">
        <v>185</v>
      </c>
      <c r="R30" s="2">
        <v>1860227170</v>
      </c>
      <c r="S30" s="2">
        <v>2018</v>
      </c>
      <c r="T30" s="2" t="s">
        <v>75</v>
      </c>
      <c r="U30" s="2" t="s">
        <v>37</v>
      </c>
      <c r="V30" s="2" t="s">
        <v>76</v>
      </c>
      <c r="W30" s="2">
        <v>916</v>
      </c>
      <c r="X30" s="2">
        <f>W30/1000*100</f>
        <v>91.600000000000009</v>
      </c>
      <c r="Y30" s="2">
        <f>81+98+73+70+50+50+30+30</f>
        <v>482</v>
      </c>
      <c r="Z30" s="2">
        <v>530</v>
      </c>
      <c r="AA30" s="2">
        <f t="shared" si="0"/>
        <v>90.943396226415103</v>
      </c>
      <c r="AB30" s="2">
        <f>75+71+54+55+73+70+50+50+30+30</f>
        <v>558</v>
      </c>
      <c r="AC30" s="2">
        <v>600</v>
      </c>
      <c r="AD30" s="2">
        <f t="shared" si="1"/>
        <v>93</v>
      </c>
      <c r="AE30" s="2" t="s">
        <v>1712</v>
      </c>
      <c r="AF30" s="2" t="s">
        <v>1658</v>
      </c>
      <c r="AG30" s="2" t="s">
        <v>1658</v>
      </c>
      <c r="AH30" s="2">
        <v>10000</v>
      </c>
      <c r="AI30" s="2">
        <v>215000</v>
      </c>
      <c r="AJ30" s="2">
        <v>27500</v>
      </c>
      <c r="AK30" s="2">
        <f t="shared" si="2"/>
        <v>252500</v>
      </c>
      <c r="AL30" s="2" t="s">
        <v>1713</v>
      </c>
      <c r="AM30" s="2" t="s">
        <v>87</v>
      </c>
      <c r="AN30" s="2" t="s">
        <v>1714</v>
      </c>
      <c r="AO30" s="2" t="s">
        <v>139</v>
      </c>
      <c r="AP30" s="2">
        <v>250000</v>
      </c>
      <c r="AQ30" s="2" t="s">
        <v>1715</v>
      </c>
      <c r="AR30" s="4" t="s">
        <v>1716</v>
      </c>
      <c r="AS30" s="2" t="s">
        <v>1717</v>
      </c>
      <c r="AT30" s="2" t="s">
        <v>1711</v>
      </c>
      <c r="AU30" s="2" t="s">
        <v>1718</v>
      </c>
      <c r="AV30" s="2" t="s">
        <v>215</v>
      </c>
      <c r="AW30" s="2">
        <v>535501</v>
      </c>
      <c r="AX30" s="2" t="s">
        <v>1717</v>
      </c>
      <c r="AZ30" s="2">
        <v>9908717893</v>
      </c>
      <c r="BA30" s="2">
        <v>9440836893</v>
      </c>
      <c r="BB30" s="2">
        <v>9491572294</v>
      </c>
      <c r="BD30" s="3" t="s">
        <v>1719</v>
      </c>
      <c r="BE30" s="2" t="s">
        <v>1548</v>
      </c>
      <c r="BF30" s="2" t="s">
        <v>144</v>
      </c>
    </row>
    <row r="31" spans="1:59" s="2" customFormat="1" ht="80.099999999999994" customHeight="1" x14ac:dyDescent="0.25">
      <c r="A31" s="2">
        <v>29</v>
      </c>
      <c r="B31" s="6">
        <v>328</v>
      </c>
      <c r="C31" s="2" t="s">
        <v>4444</v>
      </c>
      <c r="D31" s="6" t="s">
        <v>119</v>
      </c>
      <c r="F31" s="8" t="s">
        <v>1735</v>
      </c>
      <c r="G31" s="6" t="s">
        <v>38</v>
      </c>
      <c r="H31" s="6" t="s">
        <v>35</v>
      </c>
      <c r="I31" s="2" t="s">
        <v>68</v>
      </c>
      <c r="J31" s="2" t="s">
        <v>36</v>
      </c>
      <c r="K31" s="2" t="s">
        <v>1774</v>
      </c>
      <c r="L31" s="2" t="s">
        <v>82</v>
      </c>
      <c r="M31" s="2" t="s">
        <v>1775</v>
      </c>
      <c r="N31" s="2" t="s">
        <v>631</v>
      </c>
      <c r="O31" s="2" t="s">
        <v>83</v>
      </c>
      <c r="P31" s="2" t="s">
        <v>85</v>
      </c>
      <c r="Q31" s="2" t="s">
        <v>185</v>
      </c>
      <c r="R31" s="2">
        <v>1809221901</v>
      </c>
      <c r="S31" s="2">
        <v>2018</v>
      </c>
      <c r="T31" s="2" t="s">
        <v>89</v>
      </c>
      <c r="U31" s="2" t="s">
        <v>37</v>
      </c>
      <c r="V31" s="2" t="s">
        <v>215</v>
      </c>
      <c r="W31" s="2">
        <v>735</v>
      </c>
      <c r="X31" s="2">
        <f>W31/1000*100</f>
        <v>73.5</v>
      </c>
      <c r="Y31" s="2">
        <f>92+97+27+27+38+33+29+29</f>
        <v>372</v>
      </c>
      <c r="Z31" s="2">
        <v>530</v>
      </c>
      <c r="AA31" s="2">
        <f t="shared" si="0"/>
        <v>70.188679245283012</v>
      </c>
      <c r="AB31" s="2">
        <f>53+44+53+46+27+27+38+33+29+29</f>
        <v>379</v>
      </c>
      <c r="AC31" s="2">
        <v>600</v>
      </c>
      <c r="AD31" s="2">
        <f t="shared" si="1"/>
        <v>63.166666666666671</v>
      </c>
      <c r="AE31" s="2" t="s">
        <v>1776</v>
      </c>
      <c r="AF31" s="2" t="s">
        <v>920</v>
      </c>
      <c r="AG31" s="2" t="s">
        <v>1722</v>
      </c>
      <c r="AH31" s="2">
        <v>10000</v>
      </c>
      <c r="AI31" s="2">
        <v>215000</v>
      </c>
      <c r="AJ31" s="2">
        <v>27500</v>
      </c>
      <c r="AK31" s="2">
        <f t="shared" si="2"/>
        <v>252500</v>
      </c>
      <c r="AL31" s="2" t="s">
        <v>1777</v>
      </c>
      <c r="AM31" s="2" t="s">
        <v>99</v>
      </c>
      <c r="AN31" s="2" t="s">
        <v>1778</v>
      </c>
      <c r="AO31" s="2" t="s">
        <v>115</v>
      </c>
      <c r="AP31" s="2" t="s">
        <v>1779</v>
      </c>
      <c r="AQ31" s="2" t="s">
        <v>4208</v>
      </c>
      <c r="AR31" s="4" t="s">
        <v>1780</v>
      </c>
      <c r="AS31" s="2" t="s">
        <v>1781</v>
      </c>
      <c r="AT31" s="2" t="s">
        <v>250</v>
      </c>
      <c r="AU31" s="2" t="s">
        <v>164</v>
      </c>
      <c r="AV31" s="2" t="s">
        <v>215</v>
      </c>
      <c r="AW31" s="2">
        <v>517502</v>
      </c>
      <c r="AX31" s="2" t="s">
        <v>1781</v>
      </c>
      <c r="AY31" s="2" t="s">
        <v>37</v>
      </c>
      <c r="AZ31" s="2">
        <v>8639963940</v>
      </c>
      <c r="BA31" s="2">
        <v>9866964153</v>
      </c>
      <c r="BB31" s="2">
        <v>8374112020</v>
      </c>
      <c r="BD31" s="3" t="s">
        <v>1782</v>
      </c>
      <c r="BE31" s="2" t="s">
        <v>4209</v>
      </c>
      <c r="BF31" s="2" t="s">
        <v>3892</v>
      </c>
    </row>
    <row r="32" spans="1:59" s="2" customFormat="1" ht="80.099999999999994" customHeight="1" x14ac:dyDescent="0.25">
      <c r="A32" s="2">
        <v>30</v>
      </c>
      <c r="B32" s="6">
        <v>344</v>
      </c>
      <c r="C32" s="2" t="s">
        <v>4444</v>
      </c>
      <c r="D32" s="6" t="s">
        <v>119</v>
      </c>
      <c r="F32" s="8" t="s">
        <v>1849</v>
      </c>
      <c r="G32" s="6" t="s">
        <v>38</v>
      </c>
      <c r="H32" s="6" t="s">
        <v>35</v>
      </c>
      <c r="I32" s="2" t="s">
        <v>68</v>
      </c>
      <c r="J32" s="2" t="s">
        <v>36</v>
      </c>
      <c r="K32" s="2" t="s">
        <v>1850</v>
      </c>
      <c r="L32" s="2" t="s">
        <v>82</v>
      </c>
      <c r="M32" s="2" t="s">
        <v>1851</v>
      </c>
      <c r="N32" s="2" t="s">
        <v>1852</v>
      </c>
      <c r="O32" s="2" t="s">
        <v>72</v>
      </c>
      <c r="P32" s="2" t="s">
        <v>85</v>
      </c>
      <c r="Q32" s="2" t="s">
        <v>185</v>
      </c>
      <c r="R32" s="2">
        <v>6160356</v>
      </c>
      <c r="S32" s="2">
        <v>2018</v>
      </c>
      <c r="T32" s="2" t="s">
        <v>184</v>
      </c>
      <c r="U32" s="2" t="s">
        <v>37</v>
      </c>
      <c r="V32" s="2" t="s">
        <v>1852</v>
      </c>
      <c r="W32" s="2" t="s">
        <v>37</v>
      </c>
      <c r="X32" s="2" t="s">
        <v>37</v>
      </c>
      <c r="Y32" s="2">
        <f>82+75+69+81+98+89</f>
        <v>494</v>
      </c>
      <c r="Z32" s="2">
        <v>600</v>
      </c>
      <c r="AA32" s="2">
        <f t="shared" si="0"/>
        <v>82.333333333333343</v>
      </c>
      <c r="AB32" s="2">
        <f>75+69+81</f>
        <v>225</v>
      </c>
      <c r="AC32" s="2">
        <v>300</v>
      </c>
      <c r="AD32" s="2">
        <f t="shared" si="1"/>
        <v>75</v>
      </c>
      <c r="AE32" s="2" t="s">
        <v>1263</v>
      </c>
      <c r="AF32" s="2" t="s">
        <v>1832</v>
      </c>
      <c r="AG32" s="2" t="s">
        <v>1832</v>
      </c>
      <c r="AH32" s="2">
        <v>10000</v>
      </c>
      <c r="AI32" s="2">
        <v>215000</v>
      </c>
      <c r="AJ32" s="2">
        <v>27500</v>
      </c>
      <c r="AK32" s="2">
        <f t="shared" si="2"/>
        <v>252500</v>
      </c>
      <c r="AL32" s="2" t="s">
        <v>1853</v>
      </c>
      <c r="AM32" s="2" t="s">
        <v>99</v>
      </c>
      <c r="AN32" s="2" t="s">
        <v>1854</v>
      </c>
      <c r="AO32" s="2" t="s">
        <v>187</v>
      </c>
      <c r="AP32" s="2">
        <v>600000</v>
      </c>
      <c r="AQ32" s="2" t="s">
        <v>1855</v>
      </c>
      <c r="AR32" s="4" t="s">
        <v>1856</v>
      </c>
      <c r="AS32" s="2" t="s">
        <v>1857</v>
      </c>
      <c r="AT32" s="2" t="s">
        <v>1858</v>
      </c>
      <c r="AU32" s="2" t="s">
        <v>1852</v>
      </c>
      <c r="AV32" s="2" t="s">
        <v>1852</v>
      </c>
      <c r="AW32" s="2">
        <v>2266008</v>
      </c>
      <c r="AX32" s="2" t="s">
        <v>1857</v>
      </c>
      <c r="AZ32" s="2" t="s">
        <v>1859</v>
      </c>
      <c r="BA32" s="2">
        <v>9451062960</v>
      </c>
      <c r="BB32" s="2">
        <v>8173008340</v>
      </c>
      <c r="BC32" s="3" t="s">
        <v>1860</v>
      </c>
      <c r="BD32" s="3" t="s">
        <v>1861</v>
      </c>
      <c r="BE32" s="2" t="s">
        <v>1862</v>
      </c>
      <c r="BF32" s="2" t="s">
        <v>37</v>
      </c>
    </row>
    <row r="33" spans="1:58" s="2" customFormat="1" ht="80.099999999999994" customHeight="1" x14ac:dyDescent="0.25">
      <c r="A33" s="2">
        <v>31</v>
      </c>
      <c r="B33" s="2">
        <v>361</v>
      </c>
      <c r="C33" s="2" t="s">
        <v>4444</v>
      </c>
      <c r="D33" s="2" t="s">
        <v>119</v>
      </c>
      <c r="F33" s="7" t="s">
        <v>1941</v>
      </c>
      <c r="G33" s="2" t="s">
        <v>38</v>
      </c>
      <c r="H33" s="2" t="s">
        <v>35</v>
      </c>
      <c r="I33" s="2" t="s">
        <v>68</v>
      </c>
      <c r="J33" s="2" t="s">
        <v>36</v>
      </c>
      <c r="K33" s="2" t="s">
        <v>148</v>
      </c>
      <c r="L33" s="2" t="s">
        <v>82</v>
      </c>
      <c r="M33" s="2" t="s">
        <v>191</v>
      </c>
      <c r="N33" s="2" t="s">
        <v>923</v>
      </c>
      <c r="O33" s="2" t="s">
        <v>83</v>
      </c>
      <c r="P33" s="2" t="s">
        <v>137</v>
      </c>
      <c r="Q33" s="2" t="s">
        <v>185</v>
      </c>
      <c r="R33" s="2">
        <v>4625383</v>
      </c>
      <c r="S33" s="2">
        <v>2018</v>
      </c>
      <c r="T33" s="2" t="s">
        <v>616</v>
      </c>
      <c r="U33" s="2" t="s">
        <v>65</v>
      </c>
      <c r="V33" s="2" t="s">
        <v>37</v>
      </c>
      <c r="W33" s="2" t="s">
        <v>37</v>
      </c>
      <c r="X33" s="2" t="s">
        <v>37</v>
      </c>
      <c r="Y33" s="2">
        <f>88+46+62+55+62</f>
        <v>313</v>
      </c>
      <c r="Z33" s="2">
        <v>500</v>
      </c>
      <c r="AA33" s="2">
        <f t="shared" si="0"/>
        <v>62.6</v>
      </c>
      <c r="AB33" s="2">
        <f>46+62+55</f>
        <v>163</v>
      </c>
      <c r="AC33" s="2">
        <v>300</v>
      </c>
      <c r="AD33" s="2">
        <f t="shared" si="1"/>
        <v>54.333333333333336</v>
      </c>
      <c r="AE33" s="2" t="s">
        <v>1942</v>
      </c>
      <c r="AF33" s="2" t="s">
        <v>1023</v>
      </c>
      <c r="AG33" s="2" t="s">
        <v>1918</v>
      </c>
      <c r="AH33" s="2">
        <v>10000</v>
      </c>
      <c r="AI33" s="2">
        <v>215000</v>
      </c>
      <c r="AJ33" s="2">
        <v>27500</v>
      </c>
      <c r="AK33" s="2">
        <f t="shared" si="2"/>
        <v>252500</v>
      </c>
      <c r="AL33" s="2" t="s">
        <v>1943</v>
      </c>
      <c r="AM33" s="2" t="s">
        <v>78</v>
      </c>
      <c r="AN33" s="2" t="s">
        <v>1944</v>
      </c>
      <c r="AO33" s="2" t="s">
        <v>1945</v>
      </c>
      <c r="AP33" s="2">
        <v>200000</v>
      </c>
      <c r="AQ33" s="2" t="s">
        <v>1946</v>
      </c>
      <c r="AR33" s="4" t="s">
        <v>1947</v>
      </c>
      <c r="AS33" s="2" t="s">
        <v>1953</v>
      </c>
      <c r="AT33" s="2" t="s">
        <v>1948</v>
      </c>
      <c r="AU33" s="2" t="s">
        <v>95</v>
      </c>
      <c r="AV33" s="2" t="s">
        <v>65</v>
      </c>
      <c r="AW33" s="2">
        <v>560100</v>
      </c>
      <c r="AX33" s="2" t="s">
        <v>1953</v>
      </c>
      <c r="AZ33" s="2">
        <v>9620964992</v>
      </c>
      <c r="BA33" s="2">
        <v>9632212108</v>
      </c>
      <c r="BB33" s="2">
        <v>9448129424</v>
      </c>
      <c r="BC33" s="3" t="s">
        <v>1949</v>
      </c>
      <c r="BD33" s="3" t="s">
        <v>1950</v>
      </c>
      <c r="BE33" s="2" t="s">
        <v>1951</v>
      </c>
      <c r="BF33" s="2" t="s">
        <v>1952</v>
      </c>
    </row>
    <row r="34" spans="1:58" s="2" customFormat="1" ht="80.099999999999994" customHeight="1" x14ac:dyDescent="0.25">
      <c r="A34" s="2">
        <v>32</v>
      </c>
      <c r="B34" s="6">
        <v>365</v>
      </c>
      <c r="C34" s="2" t="s">
        <v>4444</v>
      </c>
      <c r="D34" s="6" t="s">
        <v>119</v>
      </c>
      <c r="F34" s="8" t="s">
        <v>1954</v>
      </c>
      <c r="G34" s="6" t="s">
        <v>38</v>
      </c>
      <c r="H34" s="6" t="s">
        <v>35</v>
      </c>
      <c r="I34" s="2" t="s">
        <v>68</v>
      </c>
      <c r="J34" s="2" t="s">
        <v>36</v>
      </c>
      <c r="K34" s="2" t="s">
        <v>469</v>
      </c>
      <c r="L34" s="2" t="s">
        <v>82</v>
      </c>
      <c r="M34" s="2" t="s">
        <v>1957</v>
      </c>
      <c r="N34" s="2" t="s">
        <v>1958</v>
      </c>
      <c r="O34" s="2" t="s">
        <v>83</v>
      </c>
      <c r="Q34" s="2" t="s">
        <v>185</v>
      </c>
      <c r="R34" s="2">
        <v>1805249582</v>
      </c>
      <c r="S34" s="2">
        <v>2018</v>
      </c>
      <c r="T34" s="2" t="s">
        <v>89</v>
      </c>
      <c r="U34" s="2" t="s">
        <v>37</v>
      </c>
      <c r="V34" s="2" t="s">
        <v>215</v>
      </c>
      <c r="W34" s="2">
        <v>901</v>
      </c>
      <c r="X34" s="2">
        <f>W34/1000*100</f>
        <v>90.100000000000009</v>
      </c>
      <c r="Y34" s="2">
        <f>92+98+72+74+53+53+20+12</f>
        <v>474</v>
      </c>
      <c r="Z34" s="2">
        <v>530</v>
      </c>
      <c r="AA34" s="2">
        <f t="shared" si="0"/>
        <v>89.433962264150949</v>
      </c>
      <c r="AB34" s="2">
        <f>72+73+60+46+72+74+53+53+20+12</f>
        <v>535</v>
      </c>
      <c r="AC34" s="2">
        <v>600</v>
      </c>
      <c r="AD34" s="2">
        <f t="shared" si="1"/>
        <v>89.166666666666671</v>
      </c>
      <c r="AE34" s="2" t="s">
        <v>1959</v>
      </c>
      <c r="AF34" s="2" t="s">
        <v>204</v>
      </c>
      <c r="AG34" s="2" t="s">
        <v>1918</v>
      </c>
      <c r="AH34" s="2">
        <v>10000</v>
      </c>
      <c r="AI34" s="2">
        <v>215000</v>
      </c>
      <c r="AJ34" s="2">
        <v>27500</v>
      </c>
      <c r="AK34" s="2">
        <f t="shared" si="2"/>
        <v>252500</v>
      </c>
      <c r="AL34" s="2" t="s">
        <v>1960</v>
      </c>
      <c r="AM34" s="2" t="s">
        <v>78</v>
      </c>
      <c r="AN34" s="2" t="s">
        <v>1961</v>
      </c>
      <c r="AO34" s="2" t="s">
        <v>139</v>
      </c>
      <c r="AP34" s="2">
        <v>250000</v>
      </c>
      <c r="AQ34" s="2" t="s">
        <v>1962</v>
      </c>
      <c r="AR34" s="4" t="s">
        <v>1963</v>
      </c>
      <c r="AS34" s="2" t="s">
        <v>1964</v>
      </c>
      <c r="AT34" s="2" t="s">
        <v>1965</v>
      </c>
      <c r="AU34" s="2" t="s">
        <v>422</v>
      </c>
      <c r="AV34" s="2" t="s">
        <v>215</v>
      </c>
      <c r="AW34" s="2">
        <v>523002</v>
      </c>
      <c r="AX34" s="2" t="s">
        <v>1964</v>
      </c>
      <c r="AY34" s="2" t="s">
        <v>1966</v>
      </c>
      <c r="AZ34" s="2">
        <v>8074780612</v>
      </c>
      <c r="BA34" s="2">
        <v>9848516258</v>
      </c>
      <c r="BB34" s="2">
        <v>8121616258</v>
      </c>
      <c r="BC34" s="3" t="s">
        <v>1967</v>
      </c>
      <c r="BD34" s="3" t="s">
        <v>1968</v>
      </c>
      <c r="BE34" s="2" t="s">
        <v>3375</v>
      </c>
      <c r="BF34" s="2" t="s">
        <v>144</v>
      </c>
    </row>
    <row r="35" spans="1:58" s="2" customFormat="1" ht="80.099999999999994" customHeight="1" x14ac:dyDescent="0.25">
      <c r="A35" s="2">
        <v>33</v>
      </c>
      <c r="B35" s="6">
        <v>366</v>
      </c>
      <c r="C35" s="2" t="s">
        <v>4444</v>
      </c>
      <c r="D35" s="6" t="s">
        <v>119</v>
      </c>
      <c r="F35" s="8" t="s">
        <v>1955</v>
      </c>
      <c r="G35" s="6" t="s">
        <v>38</v>
      </c>
      <c r="H35" s="6" t="s">
        <v>35</v>
      </c>
      <c r="I35" s="2" t="s">
        <v>68</v>
      </c>
      <c r="J35" s="2" t="s">
        <v>36</v>
      </c>
      <c r="K35" s="2" t="s">
        <v>1046</v>
      </c>
      <c r="L35" s="2" t="s">
        <v>82</v>
      </c>
      <c r="M35" s="2" t="s">
        <v>1887</v>
      </c>
      <c r="N35" s="2" t="s">
        <v>1965</v>
      </c>
      <c r="O35" s="2" t="s">
        <v>83</v>
      </c>
      <c r="P35" s="2" t="s">
        <v>85</v>
      </c>
      <c r="Q35" s="2" t="s">
        <v>185</v>
      </c>
      <c r="R35" s="2">
        <v>1807214550</v>
      </c>
      <c r="S35" s="2">
        <v>2018</v>
      </c>
      <c r="T35" s="2" t="s">
        <v>89</v>
      </c>
      <c r="U35" s="2" t="s">
        <v>37</v>
      </c>
      <c r="V35" s="2" t="s">
        <v>215</v>
      </c>
      <c r="W35" s="2">
        <v>943</v>
      </c>
      <c r="X35" s="2">
        <f>W35/1000*100</f>
        <v>94.3</v>
      </c>
      <c r="Y35" s="2">
        <f>93+99+71+67+56+54+30+27</f>
        <v>497</v>
      </c>
      <c r="Z35" s="2">
        <v>530</v>
      </c>
      <c r="AA35" s="2">
        <f t="shared" ref="AA35:AA57" si="4">Y35/Z35*100</f>
        <v>93.773584905660385</v>
      </c>
      <c r="AB35" s="2">
        <f>74+74+56+53+71+67+56+54+30+27</f>
        <v>562</v>
      </c>
      <c r="AC35" s="2">
        <v>600</v>
      </c>
      <c r="AD35" s="2">
        <f t="shared" ref="AD35:AD57" si="5">AB35/AC35*100</f>
        <v>93.666666666666671</v>
      </c>
      <c r="AE35" s="2" t="s">
        <v>1969</v>
      </c>
      <c r="AF35" s="2" t="s">
        <v>204</v>
      </c>
      <c r="AG35" s="2" t="s">
        <v>1918</v>
      </c>
      <c r="AH35" s="2">
        <v>10000</v>
      </c>
      <c r="AI35" s="2">
        <v>215000</v>
      </c>
      <c r="AJ35" s="2">
        <v>27500</v>
      </c>
      <c r="AK35" s="2">
        <f t="shared" ref="AK35:AK57" si="6">AH35+AI35+AJ35</f>
        <v>252500</v>
      </c>
      <c r="AL35" s="2" t="s">
        <v>1970</v>
      </c>
      <c r="AM35" s="2" t="s">
        <v>78</v>
      </c>
      <c r="AN35" s="2" t="s">
        <v>1971</v>
      </c>
      <c r="AO35" s="2" t="s">
        <v>139</v>
      </c>
      <c r="AP35" s="2" t="s">
        <v>1972</v>
      </c>
      <c r="AQ35" s="2" t="s">
        <v>1973</v>
      </c>
      <c r="AR35" s="4" t="s">
        <v>1974</v>
      </c>
      <c r="AS35" s="2" t="s">
        <v>1975</v>
      </c>
      <c r="AT35" s="2" t="s">
        <v>1965</v>
      </c>
      <c r="AU35" s="2" t="s">
        <v>422</v>
      </c>
      <c r="AV35" s="2" t="s">
        <v>215</v>
      </c>
      <c r="AW35" s="2">
        <v>523001</v>
      </c>
      <c r="AX35" s="2" t="s">
        <v>1975</v>
      </c>
      <c r="AY35" s="2" t="s">
        <v>1976</v>
      </c>
      <c r="AZ35" s="2">
        <v>9491254150</v>
      </c>
      <c r="BA35" s="2">
        <v>9849876155</v>
      </c>
      <c r="BB35" s="2">
        <v>9494899415</v>
      </c>
      <c r="BC35" s="3" t="s">
        <v>1977</v>
      </c>
      <c r="BD35" s="3" t="s">
        <v>1978</v>
      </c>
      <c r="BE35" s="2" t="s">
        <v>1548</v>
      </c>
      <c r="BF35" s="2" t="s">
        <v>144</v>
      </c>
    </row>
    <row r="36" spans="1:58" s="2" customFormat="1" ht="80.099999999999994" customHeight="1" x14ac:dyDescent="0.25">
      <c r="A36" s="2">
        <v>34</v>
      </c>
      <c r="B36" s="2">
        <v>407</v>
      </c>
      <c r="C36" s="2" t="s">
        <v>4444</v>
      </c>
      <c r="D36" s="6" t="s">
        <v>119</v>
      </c>
      <c r="F36" s="8" t="s">
        <v>2125</v>
      </c>
      <c r="G36" s="6" t="s">
        <v>38</v>
      </c>
      <c r="H36" s="6" t="s">
        <v>35</v>
      </c>
      <c r="I36" s="2" t="s">
        <v>68</v>
      </c>
      <c r="J36" s="2" t="s">
        <v>36</v>
      </c>
      <c r="K36" s="2" t="s">
        <v>2071</v>
      </c>
      <c r="L36" s="2" t="s">
        <v>82</v>
      </c>
      <c r="M36" s="2" t="s">
        <v>2126</v>
      </c>
      <c r="N36" s="2" t="s">
        <v>1654</v>
      </c>
      <c r="O36" s="2" t="s">
        <v>72</v>
      </c>
      <c r="P36" s="2" t="s">
        <v>73</v>
      </c>
      <c r="Q36" s="2" t="s">
        <v>185</v>
      </c>
      <c r="R36" s="2">
        <v>1679604</v>
      </c>
      <c r="S36" s="2">
        <v>2018</v>
      </c>
      <c r="T36" s="2" t="s">
        <v>616</v>
      </c>
      <c r="U36" s="2" t="s">
        <v>37</v>
      </c>
      <c r="V36" s="2" t="s">
        <v>833</v>
      </c>
      <c r="W36" s="2" t="s">
        <v>37</v>
      </c>
      <c r="X36" s="2" t="s">
        <v>37</v>
      </c>
      <c r="Y36" s="2">
        <f>87+78+87+71+78</f>
        <v>401</v>
      </c>
      <c r="Z36" s="2">
        <v>500</v>
      </c>
      <c r="AA36" s="2">
        <f t="shared" si="4"/>
        <v>80.2</v>
      </c>
      <c r="AB36" s="2">
        <f>78+87+71</f>
        <v>236</v>
      </c>
      <c r="AC36" s="2">
        <v>300</v>
      </c>
      <c r="AD36" s="2">
        <f t="shared" si="5"/>
        <v>78.666666666666657</v>
      </c>
      <c r="AE36" s="2" t="s">
        <v>2127</v>
      </c>
      <c r="AF36" s="2" t="s">
        <v>2103</v>
      </c>
      <c r="AG36" s="2" t="s">
        <v>2103</v>
      </c>
      <c r="AH36" s="2">
        <v>10000</v>
      </c>
      <c r="AI36" s="2">
        <v>215000</v>
      </c>
      <c r="AJ36" s="2">
        <v>27500</v>
      </c>
      <c r="AK36" s="2">
        <f t="shared" si="6"/>
        <v>252500</v>
      </c>
      <c r="AL36" s="2" t="s">
        <v>2128</v>
      </c>
      <c r="AM36" s="2" t="s">
        <v>78</v>
      </c>
      <c r="AN36" s="2" t="s">
        <v>2129</v>
      </c>
      <c r="AO36" s="2" t="s">
        <v>912</v>
      </c>
      <c r="AP36" s="2" t="s">
        <v>2130</v>
      </c>
      <c r="AQ36" s="2" t="s">
        <v>2131</v>
      </c>
      <c r="AR36" s="4" t="s">
        <v>2132</v>
      </c>
      <c r="AS36" s="2" t="s">
        <v>2133</v>
      </c>
      <c r="AT36" s="2" t="s">
        <v>881</v>
      </c>
      <c r="AU36" s="2" t="s">
        <v>1654</v>
      </c>
      <c r="AV36" s="2" t="s">
        <v>833</v>
      </c>
      <c r="AW36" s="2">
        <v>313001</v>
      </c>
      <c r="AX36" s="2" t="s">
        <v>2133</v>
      </c>
      <c r="AY36" s="2" t="s">
        <v>2134</v>
      </c>
      <c r="AZ36" s="2">
        <v>9571845978</v>
      </c>
      <c r="BA36" s="2">
        <v>9414167503</v>
      </c>
      <c r="BB36" s="2">
        <v>9413635280</v>
      </c>
      <c r="BD36" s="3" t="s">
        <v>2135</v>
      </c>
      <c r="BE36" s="25" t="s">
        <v>3388</v>
      </c>
      <c r="BF36" s="25"/>
    </row>
    <row r="37" spans="1:58" s="2" customFormat="1" ht="80.099999999999994" customHeight="1" x14ac:dyDescent="0.25">
      <c r="A37" s="2">
        <v>35</v>
      </c>
      <c r="B37" s="2">
        <v>409</v>
      </c>
      <c r="C37" s="2" t="s">
        <v>4444</v>
      </c>
      <c r="D37" s="2" t="s">
        <v>119</v>
      </c>
      <c r="F37" s="7" t="s">
        <v>2151</v>
      </c>
      <c r="G37" s="2" t="s">
        <v>38</v>
      </c>
      <c r="H37" s="2" t="s">
        <v>35</v>
      </c>
      <c r="I37" s="2" t="s">
        <v>68</v>
      </c>
      <c r="J37" s="2" t="s">
        <v>36</v>
      </c>
      <c r="K37" s="2" t="s">
        <v>1572</v>
      </c>
      <c r="L37" s="2" t="s">
        <v>82</v>
      </c>
      <c r="M37" s="2" t="s">
        <v>2152</v>
      </c>
      <c r="N37" s="2" t="s">
        <v>2153</v>
      </c>
      <c r="O37" s="2" t="s">
        <v>83</v>
      </c>
      <c r="P37" s="2" t="s">
        <v>85</v>
      </c>
      <c r="Q37" s="2" t="s">
        <v>185</v>
      </c>
      <c r="R37" s="2">
        <v>1805225623</v>
      </c>
      <c r="S37" s="2">
        <v>2018</v>
      </c>
      <c r="T37" s="2" t="s">
        <v>89</v>
      </c>
      <c r="U37" s="2" t="s">
        <v>37</v>
      </c>
      <c r="V37" s="2" t="s">
        <v>215</v>
      </c>
      <c r="W37" s="2">
        <v>730</v>
      </c>
      <c r="X37" s="2">
        <f>W37/1000*100</f>
        <v>73</v>
      </c>
      <c r="Y37" s="2">
        <f>85+84+47+55+58+36+28+26</f>
        <v>419</v>
      </c>
      <c r="Z37" s="2">
        <v>530</v>
      </c>
      <c r="AA37" s="2">
        <f t="shared" si="4"/>
        <v>79.056603773584911</v>
      </c>
      <c r="AB37" s="2">
        <f>71+41+33+31+47+55+58+36+28+26</f>
        <v>426</v>
      </c>
      <c r="AC37" s="2">
        <v>600</v>
      </c>
      <c r="AD37" s="2">
        <f t="shared" si="5"/>
        <v>71</v>
      </c>
      <c r="AE37" s="2" t="s">
        <v>2072</v>
      </c>
      <c r="AF37" s="2" t="s">
        <v>678</v>
      </c>
      <c r="AG37" s="2" t="s">
        <v>2103</v>
      </c>
      <c r="AH37" s="2">
        <v>10000</v>
      </c>
      <c r="AI37" s="2">
        <v>215000</v>
      </c>
      <c r="AJ37" s="2">
        <v>27500</v>
      </c>
      <c r="AK37" s="2">
        <f t="shared" si="6"/>
        <v>252500</v>
      </c>
      <c r="AL37" s="2" t="s">
        <v>2155</v>
      </c>
      <c r="AM37" s="2" t="s">
        <v>78</v>
      </c>
      <c r="AN37" s="2" t="s">
        <v>2154</v>
      </c>
      <c r="AO37" s="2" t="s">
        <v>912</v>
      </c>
      <c r="AP37" s="2">
        <v>500000</v>
      </c>
      <c r="AQ37" s="2" t="s">
        <v>2156</v>
      </c>
      <c r="AR37" s="4" t="s">
        <v>2157</v>
      </c>
      <c r="AS37" s="2" t="s">
        <v>2158</v>
      </c>
      <c r="AT37" s="2" t="s">
        <v>2153</v>
      </c>
      <c r="AU37" s="2" t="s">
        <v>422</v>
      </c>
      <c r="AV37" s="2" t="s">
        <v>215</v>
      </c>
      <c r="AW37" s="2">
        <v>523357</v>
      </c>
      <c r="AX37" s="2" t="s">
        <v>2158</v>
      </c>
      <c r="AZ37" s="2">
        <v>9701415411</v>
      </c>
      <c r="BA37" s="2">
        <v>9701252988</v>
      </c>
      <c r="BB37" s="2">
        <v>98225360149</v>
      </c>
      <c r="BC37" s="3"/>
      <c r="BD37" s="3" t="s">
        <v>2159</v>
      </c>
      <c r="BE37" s="2" t="s">
        <v>2150</v>
      </c>
      <c r="BF37" s="2" t="s">
        <v>144</v>
      </c>
    </row>
    <row r="38" spans="1:58" s="2" customFormat="1" ht="80.099999999999994" customHeight="1" x14ac:dyDescent="0.25">
      <c r="A38" s="2">
        <v>36</v>
      </c>
      <c r="B38" s="2">
        <v>411</v>
      </c>
      <c r="C38" s="2" t="s">
        <v>4444</v>
      </c>
      <c r="D38" s="2" t="s">
        <v>119</v>
      </c>
      <c r="F38" s="7" t="s">
        <v>2137</v>
      </c>
      <c r="G38" s="2" t="s">
        <v>1505</v>
      </c>
      <c r="H38" s="2" t="s">
        <v>35</v>
      </c>
      <c r="I38" s="2" t="s">
        <v>68</v>
      </c>
      <c r="J38" s="2" t="s">
        <v>36</v>
      </c>
      <c r="K38" s="2" t="s">
        <v>2138</v>
      </c>
      <c r="L38" s="2" t="s">
        <v>82</v>
      </c>
      <c r="M38" s="2" t="s">
        <v>2139</v>
      </c>
      <c r="N38" s="2" t="s">
        <v>155</v>
      </c>
      <c r="O38" s="2" t="s">
        <v>61</v>
      </c>
      <c r="P38" s="2" t="s">
        <v>85</v>
      </c>
      <c r="Q38" s="2" t="s">
        <v>63</v>
      </c>
      <c r="R38" s="2">
        <v>722497</v>
      </c>
      <c r="S38" s="2">
        <v>2018</v>
      </c>
      <c r="T38" s="2" t="s">
        <v>64</v>
      </c>
      <c r="U38" s="2" t="s">
        <v>65</v>
      </c>
      <c r="V38" s="2" t="s">
        <v>37</v>
      </c>
      <c r="W38" s="2" t="s">
        <v>37</v>
      </c>
      <c r="X38" s="2" t="s">
        <v>37</v>
      </c>
      <c r="Y38" s="2">
        <v>423</v>
      </c>
      <c r="Z38" s="2">
        <v>600</v>
      </c>
      <c r="AA38" s="2">
        <f t="shared" si="4"/>
        <v>70.5</v>
      </c>
      <c r="AB38" s="2">
        <f>58+70+53</f>
        <v>181</v>
      </c>
      <c r="AC38" s="2">
        <v>300</v>
      </c>
      <c r="AD38" s="2">
        <f t="shared" si="5"/>
        <v>60.333333333333336</v>
      </c>
      <c r="AE38" s="2" t="s">
        <v>2148</v>
      </c>
      <c r="AF38" s="2" t="s">
        <v>1083</v>
      </c>
      <c r="AG38" s="2" t="s">
        <v>2103</v>
      </c>
      <c r="AH38" s="2">
        <v>10000</v>
      </c>
      <c r="AI38" s="2">
        <v>205000</v>
      </c>
      <c r="AJ38" s="2">
        <v>27500</v>
      </c>
      <c r="AK38" s="2">
        <f t="shared" si="6"/>
        <v>242500</v>
      </c>
      <c r="AL38" s="2" t="s">
        <v>2140</v>
      </c>
      <c r="AM38" s="2" t="s">
        <v>87</v>
      </c>
      <c r="AN38" s="2" t="s">
        <v>2141</v>
      </c>
      <c r="AO38" s="2" t="s">
        <v>2142</v>
      </c>
      <c r="AP38" s="2">
        <v>800000</v>
      </c>
      <c r="AQ38" s="2" t="s">
        <v>2143</v>
      </c>
      <c r="AR38" s="4" t="s">
        <v>2144</v>
      </c>
      <c r="AS38" s="2" t="s">
        <v>2145</v>
      </c>
      <c r="AT38" s="2" t="s">
        <v>2146</v>
      </c>
      <c r="AU38" s="2" t="s">
        <v>95</v>
      </c>
      <c r="AV38" s="2" t="s">
        <v>65</v>
      </c>
      <c r="AW38" s="2">
        <v>560078</v>
      </c>
      <c r="AX38" s="2" t="s">
        <v>2145</v>
      </c>
      <c r="AZ38" s="2">
        <v>8762396826</v>
      </c>
      <c r="BA38" s="2">
        <v>9481490666</v>
      </c>
      <c r="BB38" s="2">
        <v>9448717623</v>
      </c>
      <c r="BC38" s="3" t="s">
        <v>2147</v>
      </c>
      <c r="BD38" s="3" t="s">
        <v>2149</v>
      </c>
      <c r="BE38" s="2" t="s">
        <v>1609</v>
      </c>
      <c r="BF38" s="2" t="s">
        <v>37</v>
      </c>
    </row>
    <row r="39" spans="1:58" s="2" customFormat="1" ht="80.099999999999994" customHeight="1" x14ac:dyDescent="0.25">
      <c r="A39" s="2">
        <v>37</v>
      </c>
      <c r="B39" s="2">
        <v>423</v>
      </c>
      <c r="C39" s="2" t="s">
        <v>4444</v>
      </c>
      <c r="D39" s="2" t="s">
        <v>119</v>
      </c>
      <c r="F39" s="7" t="s">
        <v>2171</v>
      </c>
      <c r="G39" s="2" t="s">
        <v>1505</v>
      </c>
      <c r="H39" s="2" t="s">
        <v>35</v>
      </c>
      <c r="I39" s="2" t="s">
        <v>68</v>
      </c>
      <c r="J39" s="2" t="s">
        <v>36</v>
      </c>
      <c r="K39" s="2" t="s">
        <v>140</v>
      </c>
      <c r="L39" s="2" t="s">
        <v>82</v>
      </c>
      <c r="M39" s="2" t="s">
        <v>613</v>
      </c>
      <c r="N39" s="2" t="s">
        <v>2173</v>
      </c>
      <c r="O39" s="2" t="s">
        <v>61</v>
      </c>
      <c r="P39" s="2" t="s">
        <v>85</v>
      </c>
      <c r="Q39" s="2" t="s">
        <v>63</v>
      </c>
      <c r="R39" s="2">
        <v>566294</v>
      </c>
      <c r="S39" s="2">
        <v>2018</v>
      </c>
      <c r="T39" s="2" t="s">
        <v>64</v>
      </c>
      <c r="U39" s="2" t="s">
        <v>65</v>
      </c>
      <c r="V39" s="2" t="s">
        <v>37</v>
      </c>
      <c r="W39" s="2" t="s">
        <v>37</v>
      </c>
      <c r="X39" s="2" t="s">
        <v>37</v>
      </c>
      <c r="Y39" s="2">
        <v>353</v>
      </c>
      <c r="Z39" s="2">
        <v>600</v>
      </c>
      <c r="AA39" s="2">
        <f t="shared" si="4"/>
        <v>58.833333333333336</v>
      </c>
      <c r="AB39" s="2">
        <f>52+55+47</f>
        <v>154</v>
      </c>
      <c r="AC39" s="2">
        <v>300</v>
      </c>
      <c r="AD39" s="2">
        <f t="shared" si="5"/>
        <v>51.333333333333329</v>
      </c>
      <c r="AE39" s="2" t="s">
        <v>2174</v>
      </c>
      <c r="AF39" s="2" t="s">
        <v>1512</v>
      </c>
      <c r="AG39" s="2" t="s">
        <v>2160</v>
      </c>
      <c r="AH39" s="2">
        <v>10000</v>
      </c>
      <c r="AI39" s="2">
        <v>205000</v>
      </c>
      <c r="AJ39" s="2">
        <v>27500</v>
      </c>
      <c r="AK39" s="2">
        <f t="shared" si="6"/>
        <v>242500</v>
      </c>
      <c r="AL39" s="2" t="s">
        <v>2175</v>
      </c>
      <c r="AM39" s="2" t="s">
        <v>78</v>
      </c>
      <c r="AN39" s="2" t="s">
        <v>2176</v>
      </c>
      <c r="AO39" s="2" t="s">
        <v>2177</v>
      </c>
      <c r="AP39" s="2">
        <v>1000000</v>
      </c>
      <c r="AQ39" s="2" t="s">
        <v>2178</v>
      </c>
      <c r="AR39" s="4" t="s">
        <v>2179</v>
      </c>
      <c r="AS39" s="2" t="s">
        <v>2180</v>
      </c>
      <c r="AT39" s="2" t="s">
        <v>2181</v>
      </c>
      <c r="AU39" s="2" t="s">
        <v>2173</v>
      </c>
      <c r="AV39" s="2" t="s">
        <v>65</v>
      </c>
      <c r="AW39" s="2">
        <v>563122</v>
      </c>
      <c r="AX39" s="2" t="s">
        <v>2180</v>
      </c>
      <c r="AY39" s="2" t="s">
        <v>2182</v>
      </c>
      <c r="AZ39" s="2">
        <v>8904383130</v>
      </c>
      <c r="BA39" s="2">
        <v>8762208706</v>
      </c>
      <c r="BB39" s="2">
        <v>9448694706</v>
      </c>
      <c r="BC39" s="3" t="s">
        <v>2183</v>
      </c>
      <c r="BD39" s="3" t="s">
        <v>2184</v>
      </c>
      <c r="BE39" s="2" t="s">
        <v>1609</v>
      </c>
    </row>
    <row r="40" spans="1:58" s="2" customFormat="1" ht="80.099999999999994" customHeight="1" x14ac:dyDescent="0.25">
      <c r="A40" s="2">
        <v>38</v>
      </c>
      <c r="B40" s="6">
        <v>462</v>
      </c>
      <c r="C40" s="2" t="s">
        <v>4444</v>
      </c>
      <c r="D40" s="6" t="s">
        <v>119</v>
      </c>
      <c r="F40" s="8" t="s">
        <v>2350</v>
      </c>
      <c r="G40" s="6" t="s">
        <v>38</v>
      </c>
      <c r="H40" s="6" t="s">
        <v>35</v>
      </c>
      <c r="I40" s="2" t="s">
        <v>68</v>
      </c>
      <c r="J40" s="2" t="s">
        <v>36</v>
      </c>
      <c r="K40" s="2" t="s">
        <v>2351</v>
      </c>
      <c r="L40" s="2" t="s">
        <v>70</v>
      </c>
      <c r="M40" s="2" t="s">
        <v>2352</v>
      </c>
      <c r="N40" s="2" t="s">
        <v>2353</v>
      </c>
      <c r="O40" s="2" t="s">
        <v>123</v>
      </c>
      <c r="P40" s="2" t="s">
        <v>73</v>
      </c>
      <c r="Q40" s="2" t="s">
        <v>185</v>
      </c>
      <c r="R40" s="2">
        <v>4614973</v>
      </c>
      <c r="S40" s="2">
        <v>2018</v>
      </c>
      <c r="T40" s="2" t="s">
        <v>616</v>
      </c>
      <c r="U40" s="2" t="s">
        <v>37</v>
      </c>
      <c r="V40" s="2" t="s">
        <v>152</v>
      </c>
      <c r="W40" s="2" t="s">
        <v>37</v>
      </c>
      <c r="X40" s="2" t="s">
        <v>37</v>
      </c>
      <c r="Y40" s="2">
        <f>86+59+73+80+85</f>
        <v>383</v>
      </c>
      <c r="Z40" s="2">
        <v>600</v>
      </c>
      <c r="AA40" s="2">
        <f t="shared" si="4"/>
        <v>63.833333333333329</v>
      </c>
      <c r="AB40" s="2">
        <f>59+73+80</f>
        <v>212</v>
      </c>
      <c r="AC40" s="2">
        <v>300</v>
      </c>
      <c r="AD40" s="2">
        <f t="shared" si="5"/>
        <v>70.666666666666671</v>
      </c>
      <c r="AE40" s="2" t="s">
        <v>2354</v>
      </c>
      <c r="AF40" s="2" t="s">
        <v>2348</v>
      </c>
      <c r="AG40" s="2" t="s">
        <v>2348</v>
      </c>
      <c r="AH40" s="2">
        <v>10000</v>
      </c>
      <c r="AI40" s="2">
        <v>215000</v>
      </c>
      <c r="AJ40" s="2">
        <v>27500</v>
      </c>
      <c r="AK40" s="2">
        <f t="shared" si="6"/>
        <v>252500</v>
      </c>
      <c r="AL40" s="2" t="s">
        <v>2355</v>
      </c>
      <c r="AM40" s="2" t="s">
        <v>87</v>
      </c>
      <c r="AN40" s="2" t="s">
        <v>2356</v>
      </c>
      <c r="AO40" s="2" t="s">
        <v>154</v>
      </c>
      <c r="AP40" s="2">
        <v>84000</v>
      </c>
      <c r="AQ40" s="2" t="s">
        <v>2361</v>
      </c>
      <c r="AR40" s="4" t="s">
        <v>2357</v>
      </c>
      <c r="AS40" s="2" t="s">
        <v>2358</v>
      </c>
      <c r="AT40" s="2" t="s">
        <v>2359</v>
      </c>
      <c r="AU40" s="2" t="s">
        <v>736</v>
      </c>
      <c r="AV40" s="2" t="s">
        <v>152</v>
      </c>
      <c r="AW40" s="2">
        <v>638505</v>
      </c>
      <c r="AX40" s="2" t="s">
        <v>2358</v>
      </c>
      <c r="AY40" s="2" t="s">
        <v>37</v>
      </c>
      <c r="AZ40" s="2">
        <v>9790622025</v>
      </c>
      <c r="BA40" s="2">
        <v>9486649447</v>
      </c>
      <c r="BB40" s="2">
        <v>9524438543</v>
      </c>
      <c r="BD40" s="3" t="s">
        <v>2360</v>
      </c>
      <c r="BE40" s="2" t="s">
        <v>1862</v>
      </c>
      <c r="BF40" s="2" t="s">
        <v>37</v>
      </c>
    </row>
    <row r="41" spans="1:58" s="2" customFormat="1" ht="80.099999999999994" customHeight="1" x14ac:dyDescent="0.25">
      <c r="A41" s="2">
        <v>39</v>
      </c>
      <c r="B41" s="2">
        <v>466</v>
      </c>
      <c r="C41" s="2" t="s">
        <v>4444</v>
      </c>
      <c r="D41" s="6" t="s">
        <v>119</v>
      </c>
      <c r="F41" s="8" t="s">
        <v>2364</v>
      </c>
      <c r="G41" s="6" t="s">
        <v>38</v>
      </c>
      <c r="H41" s="6" t="s">
        <v>92</v>
      </c>
      <c r="I41" s="2" t="s">
        <v>68</v>
      </c>
      <c r="J41" s="2" t="s">
        <v>435</v>
      </c>
      <c r="K41" s="2" t="s">
        <v>2138</v>
      </c>
      <c r="L41" s="2" t="s">
        <v>82</v>
      </c>
      <c r="M41" s="2" t="s">
        <v>2376</v>
      </c>
      <c r="N41" s="2" t="s">
        <v>2377</v>
      </c>
      <c r="O41" s="2" t="s">
        <v>72</v>
      </c>
      <c r="P41" s="2" t="s">
        <v>562</v>
      </c>
      <c r="Q41" s="2" t="s">
        <v>185</v>
      </c>
      <c r="R41" s="2">
        <v>1645005</v>
      </c>
      <c r="S41" s="2">
        <v>2018</v>
      </c>
      <c r="T41" s="2" t="s">
        <v>616</v>
      </c>
      <c r="U41" s="2" t="s">
        <v>37</v>
      </c>
      <c r="V41" s="2" t="s">
        <v>833</v>
      </c>
      <c r="W41" s="2" t="s">
        <v>37</v>
      </c>
      <c r="X41" s="2" t="s">
        <v>37</v>
      </c>
      <c r="Y41" s="2">
        <f>71+66+78+55+94</f>
        <v>364</v>
      </c>
      <c r="Z41" s="2">
        <v>500</v>
      </c>
      <c r="AA41" s="2">
        <f t="shared" si="4"/>
        <v>72.8</v>
      </c>
      <c r="AB41" s="2">
        <f>66+78+55</f>
        <v>199</v>
      </c>
      <c r="AC41" s="2">
        <v>300</v>
      </c>
      <c r="AD41" s="2">
        <f t="shared" si="5"/>
        <v>66.333333333333329</v>
      </c>
      <c r="AE41" s="2" t="s">
        <v>2378</v>
      </c>
      <c r="AF41" s="2" t="s">
        <v>2348</v>
      </c>
      <c r="AG41" s="2" t="s">
        <v>2348</v>
      </c>
      <c r="AH41" s="2">
        <v>10000</v>
      </c>
      <c r="AI41" s="2">
        <v>215000</v>
      </c>
      <c r="AJ41" s="2">
        <v>27500</v>
      </c>
      <c r="AK41" s="2">
        <f t="shared" si="6"/>
        <v>252500</v>
      </c>
      <c r="AL41" s="2" t="s">
        <v>2379</v>
      </c>
      <c r="AM41" s="2" t="s">
        <v>78</v>
      </c>
      <c r="AN41" s="2" t="s">
        <v>1402</v>
      </c>
      <c r="AO41" s="2" t="s">
        <v>79</v>
      </c>
      <c r="AP41" s="2">
        <v>800000</v>
      </c>
      <c r="AQ41" s="2" t="s">
        <v>2380</v>
      </c>
      <c r="AR41" s="4" t="s">
        <v>2381</v>
      </c>
      <c r="AS41" s="2" t="s">
        <v>2382</v>
      </c>
      <c r="AT41" s="2" t="s">
        <v>2383</v>
      </c>
      <c r="AU41" s="2" t="s">
        <v>705</v>
      </c>
      <c r="AV41" s="2" t="s">
        <v>833</v>
      </c>
      <c r="AW41" s="2">
        <v>302018</v>
      </c>
      <c r="AX41" s="2" t="s">
        <v>2382</v>
      </c>
      <c r="AY41" s="2" t="s">
        <v>2384</v>
      </c>
      <c r="AZ41" s="2">
        <v>7976987185</v>
      </c>
      <c r="BA41" s="2">
        <v>9829365601</v>
      </c>
      <c r="BB41" s="2">
        <v>8769409818</v>
      </c>
      <c r="BC41" s="3" t="s">
        <v>2385</v>
      </c>
      <c r="BD41" s="3" t="s">
        <v>2386</v>
      </c>
      <c r="BE41" s="2" t="s">
        <v>1862</v>
      </c>
      <c r="BF41" s="2" t="s">
        <v>37</v>
      </c>
    </row>
    <row r="42" spans="1:58" s="2" customFormat="1" ht="80.099999999999994" customHeight="1" x14ac:dyDescent="0.25">
      <c r="A42" s="2">
        <v>40</v>
      </c>
      <c r="B42" s="6">
        <v>496</v>
      </c>
      <c r="C42" s="2" t="s">
        <v>4444</v>
      </c>
      <c r="D42" s="6" t="s">
        <v>119</v>
      </c>
      <c r="F42" s="8" t="s">
        <v>2514</v>
      </c>
      <c r="G42" s="6" t="s">
        <v>38</v>
      </c>
      <c r="H42" s="6" t="s">
        <v>35</v>
      </c>
      <c r="I42" s="2" t="s">
        <v>68</v>
      </c>
      <c r="J42" s="2" t="s">
        <v>159</v>
      </c>
      <c r="K42" s="2" t="s">
        <v>70</v>
      </c>
      <c r="L42" s="2" t="s">
        <v>2530</v>
      </c>
      <c r="M42" s="2" t="s">
        <v>71</v>
      </c>
      <c r="N42" s="2" t="s">
        <v>1805</v>
      </c>
      <c r="O42" s="2" t="s">
        <v>795</v>
      </c>
      <c r="P42" s="2" t="s">
        <v>85</v>
      </c>
      <c r="Q42" s="2" t="s">
        <v>185</v>
      </c>
      <c r="R42" s="2">
        <v>5422334</v>
      </c>
      <c r="S42" s="2">
        <v>2018</v>
      </c>
      <c r="T42" s="2" t="s">
        <v>1361</v>
      </c>
      <c r="U42" s="2" t="s">
        <v>37</v>
      </c>
      <c r="V42" s="2" t="s">
        <v>794</v>
      </c>
      <c r="W42" s="2">
        <f>155+183+110+119+125+81</f>
        <v>773</v>
      </c>
      <c r="X42" s="2">
        <f>W42/1200*100</f>
        <v>64.416666666666671</v>
      </c>
      <c r="Y42" s="2">
        <f>70+84+68+70+74+35</f>
        <v>401</v>
      </c>
      <c r="Z42" s="2">
        <v>600</v>
      </c>
      <c r="AA42" s="2">
        <f t="shared" si="4"/>
        <v>66.833333333333329</v>
      </c>
      <c r="AB42" s="2">
        <f>110+119+81</f>
        <v>310</v>
      </c>
      <c r="AC42" s="2">
        <v>600</v>
      </c>
      <c r="AD42" s="2">
        <f t="shared" si="5"/>
        <v>51.666666666666671</v>
      </c>
      <c r="AE42" s="2" t="s">
        <v>2531</v>
      </c>
      <c r="AF42" s="2" t="s">
        <v>790</v>
      </c>
      <c r="AG42" s="2" t="s">
        <v>2493</v>
      </c>
      <c r="AH42" s="2">
        <v>10000</v>
      </c>
      <c r="AI42" s="2">
        <v>215000</v>
      </c>
      <c r="AJ42" s="2">
        <v>27500</v>
      </c>
      <c r="AK42" s="2">
        <f t="shared" si="6"/>
        <v>252500</v>
      </c>
      <c r="AL42" s="2" t="s">
        <v>2532</v>
      </c>
      <c r="AM42" s="2" t="s">
        <v>78</v>
      </c>
      <c r="AN42" s="2" t="s">
        <v>2533</v>
      </c>
      <c r="AO42" s="2" t="s">
        <v>139</v>
      </c>
      <c r="AP42" s="2">
        <v>60000</v>
      </c>
      <c r="AQ42" s="2" t="s">
        <v>2534</v>
      </c>
      <c r="AR42" s="4" t="s">
        <v>2535</v>
      </c>
      <c r="AS42" s="2" t="s">
        <v>2536</v>
      </c>
      <c r="AT42" s="2" t="s">
        <v>2537</v>
      </c>
      <c r="AU42" s="2" t="s">
        <v>1988</v>
      </c>
      <c r="AV42" s="2" t="s">
        <v>794</v>
      </c>
      <c r="AW42" s="2">
        <v>670643</v>
      </c>
      <c r="AX42" s="2" t="s">
        <v>2538</v>
      </c>
      <c r="AY42" s="2" t="s">
        <v>2539</v>
      </c>
      <c r="AZ42" s="2">
        <v>9747862655</v>
      </c>
      <c r="BA42" s="2">
        <v>9539606605</v>
      </c>
      <c r="BB42" s="2">
        <v>8867155848</v>
      </c>
      <c r="BC42" s="3" t="s">
        <v>2540</v>
      </c>
      <c r="BD42" s="3" t="s">
        <v>2541</v>
      </c>
      <c r="BE42" s="2" t="s">
        <v>1862</v>
      </c>
      <c r="BF42" s="2" t="s">
        <v>37</v>
      </c>
    </row>
    <row r="43" spans="1:58" s="2" customFormat="1" ht="80.099999999999994" customHeight="1" x14ac:dyDescent="0.25">
      <c r="A43" s="2">
        <v>41</v>
      </c>
      <c r="B43" s="2">
        <v>526</v>
      </c>
      <c r="C43" s="2" t="s">
        <v>4444</v>
      </c>
      <c r="D43" s="2" t="s">
        <v>119</v>
      </c>
      <c r="F43" s="7" t="s">
        <v>2654</v>
      </c>
      <c r="G43" s="2" t="s">
        <v>38</v>
      </c>
      <c r="H43" s="2" t="s">
        <v>35</v>
      </c>
      <c r="I43" s="2" t="s">
        <v>68</v>
      </c>
      <c r="J43" s="2" t="s">
        <v>36</v>
      </c>
      <c r="K43" s="2" t="s">
        <v>157</v>
      </c>
      <c r="L43" s="2" t="s">
        <v>82</v>
      </c>
      <c r="M43" s="2" t="s">
        <v>2061</v>
      </c>
      <c r="N43" s="2" t="s">
        <v>2657</v>
      </c>
      <c r="O43" s="2" t="s">
        <v>72</v>
      </c>
      <c r="P43" s="2" t="s">
        <v>73</v>
      </c>
      <c r="Q43" s="2" t="s">
        <v>185</v>
      </c>
      <c r="R43" s="2" t="s">
        <v>2658</v>
      </c>
      <c r="S43" s="2">
        <v>2017</v>
      </c>
      <c r="T43" s="2" t="s">
        <v>184</v>
      </c>
      <c r="U43" s="2" t="s">
        <v>37</v>
      </c>
      <c r="V43" s="2" t="s">
        <v>564</v>
      </c>
      <c r="W43" s="2" t="s">
        <v>37</v>
      </c>
      <c r="X43" s="2" t="s">
        <v>37</v>
      </c>
      <c r="Y43" s="2">
        <f>73+81+73+71+92</f>
        <v>390</v>
      </c>
      <c r="Z43" s="2">
        <v>500</v>
      </c>
      <c r="AA43" s="2">
        <f t="shared" si="4"/>
        <v>78</v>
      </c>
      <c r="AB43" s="2">
        <f>81+73+71</f>
        <v>225</v>
      </c>
      <c r="AC43" s="2">
        <v>300</v>
      </c>
      <c r="AD43" s="2">
        <f t="shared" si="5"/>
        <v>75</v>
      </c>
      <c r="AE43" s="2" t="s">
        <v>2659</v>
      </c>
      <c r="AF43" s="2" t="s">
        <v>2653</v>
      </c>
      <c r="AG43" s="2" t="s">
        <v>2653</v>
      </c>
      <c r="AH43" s="2">
        <v>10000</v>
      </c>
      <c r="AI43" s="2">
        <v>300000</v>
      </c>
      <c r="AJ43" s="2">
        <v>27500</v>
      </c>
      <c r="AK43" s="2">
        <f t="shared" si="6"/>
        <v>337500</v>
      </c>
      <c r="AL43" s="2" t="s">
        <v>2660</v>
      </c>
      <c r="AM43" s="2" t="s">
        <v>78</v>
      </c>
      <c r="AN43" s="2" t="s">
        <v>2661</v>
      </c>
      <c r="AO43" s="2" t="s">
        <v>912</v>
      </c>
      <c r="AP43" s="2">
        <v>700000</v>
      </c>
      <c r="AQ43" s="2" t="s">
        <v>2662</v>
      </c>
      <c r="AR43" s="4" t="s">
        <v>2663</v>
      </c>
      <c r="AS43" s="2" t="s">
        <v>2664</v>
      </c>
      <c r="AT43" s="2" t="s">
        <v>2665</v>
      </c>
      <c r="AU43" s="2" t="s">
        <v>2665</v>
      </c>
      <c r="AV43" s="2" t="s">
        <v>564</v>
      </c>
      <c r="AW43" s="2">
        <v>122001</v>
      </c>
      <c r="AX43" s="2" t="s">
        <v>2664</v>
      </c>
      <c r="AZ43" s="2">
        <v>9821161725</v>
      </c>
      <c r="BA43" s="2">
        <v>9811611725</v>
      </c>
      <c r="BB43" s="2">
        <v>9560545725</v>
      </c>
      <c r="BC43" s="3" t="s">
        <v>2666</v>
      </c>
      <c r="BD43" s="3" t="s">
        <v>2667</v>
      </c>
      <c r="BE43" s="2" t="s">
        <v>3387</v>
      </c>
    </row>
    <row r="44" spans="1:58" s="2" customFormat="1" ht="80.099999999999994" customHeight="1" x14ac:dyDescent="0.25">
      <c r="A44" s="2">
        <v>42</v>
      </c>
      <c r="B44" s="2">
        <v>531</v>
      </c>
      <c r="C44" s="2" t="s">
        <v>4444</v>
      </c>
      <c r="D44" s="2" t="s">
        <v>119</v>
      </c>
      <c r="F44" s="24" t="s">
        <v>2691</v>
      </c>
      <c r="G44" s="2" t="s">
        <v>91</v>
      </c>
      <c r="H44" s="2" t="s">
        <v>35</v>
      </c>
      <c r="I44" s="2" t="s">
        <v>68</v>
      </c>
      <c r="J44" s="2" t="s">
        <v>435</v>
      </c>
      <c r="K44" s="2" t="s">
        <v>1067</v>
      </c>
      <c r="L44" s="2" t="s">
        <v>82</v>
      </c>
      <c r="M44" s="2" t="s">
        <v>1088</v>
      </c>
      <c r="N44" s="2" t="s">
        <v>1299</v>
      </c>
      <c r="O44" s="2" t="s">
        <v>1337</v>
      </c>
      <c r="P44" s="2" t="s">
        <v>137</v>
      </c>
      <c r="Q44" s="2" t="s">
        <v>185</v>
      </c>
      <c r="R44" s="2">
        <v>4606506</v>
      </c>
      <c r="S44" s="2">
        <v>2018</v>
      </c>
      <c r="T44" s="2" t="s">
        <v>616</v>
      </c>
      <c r="U44" s="2" t="s">
        <v>37</v>
      </c>
      <c r="V44" s="2" t="s">
        <v>152</v>
      </c>
      <c r="W44" s="2" t="s">
        <v>37</v>
      </c>
      <c r="X44" s="2" t="s">
        <v>37</v>
      </c>
      <c r="Y44" s="2">
        <f>68+85+89+65+92</f>
        <v>399</v>
      </c>
      <c r="Z44" s="2">
        <v>500</v>
      </c>
      <c r="AA44" s="2">
        <f t="shared" si="4"/>
        <v>79.800000000000011</v>
      </c>
      <c r="AB44" s="2">
        <f>85+89+65</f>
        <v>239</v>
      </c>
      <c r="AC44" s="2">
        <v>300</v>
      </c>
      <c r="AD44" s="2">
        <f t="shared" si="5"/>
        <v>79.666666666666657</v>
      </c>
      <c r="AE44" s="2" t="s">
        <v>2702</v>
      </c>
      <c r="AF44" s="2" t="s">
        <v>2689</v>
      </c>
      <c r="AG44" s="2" t="s">
        <v>2689</v>
      </c>
      <c r="AH44" s="2">
        <v>10000</v>
      </c>
      <c r="AI44" s="2">
        <v>205000</v>
      </c>
      <c r="AJ44" s="2">
        <v>27500</v>
      </c>
      <c r="AK44" s="2">
        <f t="shared" si="6"/>
        <v>242500</v>
      </c>
      <c r="AL44" s="2" t="s">
        <v>2703</v>
      </c>
      <c r="AM44" s="2" t="s">
        <v>87</v>
      </c>
      <c r="AN44" s="2" t="s">
        <v>2704</v>
      </c>
      <c r="AO44" s="2" t="s">
        <v>79</v>
      </c>
      <c r="AP44" s="2">
        <v>1000000</v>
      </c>
      <c r="AQ44" s="2" t="s">
        <v>2705</v>
      </c>
      <c r="AR44" s="4" t="s">
        <v>2706</v>
      </c>
      <c r="AS44" s="2" t="s">
        <v>2707</v>
      </c>
      <c r="AT44" s="2" t="s">
        <v>2708</v>
      </c>
      <c r="AU44" s="2" t="s">
        <v>155</v>
      </c>
      <c r="AV44" s="2" t="s">
        <v>152</v>
      </c>
      <c r="AW44" s="2">
        <v>600010</v>
      </c>
      <c r="AX44" s="2" t="s">
        <v>2709</v>
      </c>
      <c r="AY44" s="2" t="s">
        <v>2710</v>
      </c>
      <c r="AZ44" s="2">
        <v>9380843021</v>
      </c>
      <c r="BA44" s="2">
        <v>9444999585</v>
      </c>
      <c r="BB44" s="2">
        <v>9444280086</v>
      </c>
      <c r="BC44" s="3" t="s">
        <v>2711</v>
      </c>
      <c r="BD44" s="3" t="s">
        <v>2712</v>
      </c>
      <c r="BE44" s="2" t="s">
        <v>1862</v>
      </c>
      <c r="BF44" s="2" t="s">
        <v>37</v>
      </c>
    </row>
    <row r="45" spans="1:58" s="2" customFormat="1" ht="80.099999999999994" customHeight="1" x14ac:dyDescent="0.25">
      <c r="A45" s="2">
        <v>43</v>
      </c>
      <c r="B45" s="2">
        <v>602</v>
      </c>
      <c r="C45" s="2" t="s">
        <v>4444</v>
      </c>
      <c r="D45" s="2" t="s">
        <v>119</v>
      </c>
      <c r="F45" s="7" t="s">
        <v>2971</v>
      </c>
      <c r="G45" s="2" t="s">
        <v>38</v>
      </c>
      <c r="H45" s="2" t="s">
        <v>92</v>
      </c>
      <c r="I45" s="2" t="s">
        <v>68</v>
      </c>
      <c r="J45" s="2" t="s">
        <v>36</v>
      </c>
      <c r="K45" s="2" t="s">
        <v>2972</v>
      </c>
      <c r="L45" s="2" t="s">
        <v>82</v>
      </c>
      <c r="M45" s="2" t="s">
        <v>2973</v>
      </c>
      <c r="N45" s="2" t="s">
        <v>2974</v>
      </c>
      <c r="O45" s="2" t="s">
        <v>72</v>
      </c>
      <c r="P45" s="2" t="s">
        <v>1360</v>
      </c>
      <c r="Q45" s="2" t="s">
        <v>185</v>
      </c>
      <c r="R45" s="2">
        <v>6622829</v>
      </c>
      <c r="S45" s="2">
        <v>2018</v>
      </c>
      <c r="T45" s="2" t="s">
        <v>616</v>
      </c>
      <c r="U45" s="2" t="s">
        <v>37</v>
      </c>
      <c r="V45" s="2" t="s">
        <v>450</v>
      </c>
      <c r="W45" s="2" t="s">
        <v>37</v>
      </c>
      <c r="X45" s="2" t="s">
        <v>37</v>
      </c>
      <c r="Y45" s="2">
        <f>93+60+66+78+81+79</f>
        <v>457</v>
      </c>
      <c r="Z45" s="2">
        <v>600</v>
      </c>
      <c r="AA45" s="2">
        <f t="shared" si="4"/>
        <v>76.166666666666671</v>
      </c>
      <c r="AB45" s="2">
        <f>60+66+78</f>
        <v>204</v>
      </c>
      <c r="AC45" s="2">
        <v>300</v>
      </c>
      <c r="AD45" s="2">
        <f t="shared" si="5"/>
        <v>68</v>
      </c>
      <c r="AE45" s="2" t="s">
        <v>2975</v>
      </c>
      <c r="AF45" s="2" t="s">
        <v>790</v>
      </c>
      <c r="AG45" s="2" t="s">
        <v>2976</v>
      </c>
      <c r="AH45" s="2">
        <v>10000</v>
      </c>
      <c r="AI45" s="2">
        <v>215000</v>
      </c>
      <c r="AJ45" s="2">
        <v>27500</v>
      </c>
      <c r="AK45" s="2">
        <f t="shared" si="6"/>
        <v>252500</v>
      </c>
      <c r="AL45" s="2" t="s">
        <v>2977</v>
      </c>
      <c r="AM45" s="2" t="s">
        <v>78</v>
      </c>
      <c r="AN45" s="2" t="s">
        <v>2978</v>
      </c>
      <c r="AO45" s="2" t="s">
        <v>187</v>
      </c>
      <c r="AP45" s="2">
        <v>1500000</v>
      </c>
      <c r="AQ45" s="2" t="s">
        <v>2979</v>
      </c>
      <c r="AR45" s="4" t="s">
        <v>2980</v>
      </c>
      <c r="AS45" s="2" t="s">
        <v>2981</v>
      </c>
      <c r="AT45" s="2" t="s">
        <v>832</v>
      </c>
      <c r="AU45" s="2" t="s">
        <v>2982</v>
      </c>
      <c r="AV45" s="2" t="s">
        <v>450</v>
      </c>
      <c r="AW45" s="2">
        <v>713205</v>
      </c>
      <c r="AX45" s="2" t="s">
        <v>2983</v>
      </c>
      <c r="AY45" s="2" t="s">
        <v>2984</v>
      </c>
      <c r="AZ45" s="2">
        <v>6296349492</v>
      </c>
      <c r="BA45" s="2">
        <v>9434791315</v>
      </c>
      <c r="BB45" s="2">
        <v>9475458257</v>
      </c>
      <c r="BC45" s="3" t="s">
        <v>2985</v>
      </c>
      <c r="BD45" s="3" t="s">
        <v>2986</v>
      </c>
      <c r="BE45" s="25" t="s">
        <v>1939</v>
      </c>
      <c r="BF45" s="25" t="s">
        <v>230</v>
      </c>
    </row>
    <row r="46" spans="1:58" s="2" customFormat="1" ht="80.099999999999994" customHeight="1" x14ac:dyDescent="0.25">
      <c r="A46" s="2">
        <v>44</v>
      </c>
      <c r="B46" s="2">
        <v>627</v>
      </c>
      <c r="C46" s="2" t="s">
        <v>4444</v>
      </c>
      <c r="D46" s="2" t="s">
        <v>119</v>
      </c>
      <c r="F46" s="7" t="s">
        <v>3054</v>
      </c>
      <c r="G46" s="2" t="s">
        <v>38</v>
      </c>
      <c r="H46" s="2" t="s">
        <v>35</v>
      </c>
      <c r="I46" s="2" t="s">
        <v>68</v>
      </c>
      <c r="J46" s="2" t="s">
        <v>36</v>
      </c>
      <c r="K46" s="2" t="s">
        <v>3055</v>
      </c>
      <c r="L46" s="2" t="s">
        <v>82</v>
      </c>
      <c r="M46" s="2" t="s">
        <v>3056</v>
      </c>
      <c r="N46" s="2" t="s">
        <v>3057</v>
      </c>
      <c r="O46" s="2" t="s">
        <v>561</v>
      </c>
      <c r="P46" s="2" t="s">
        <v>62</v>
      </c>
      <c r="Q46" s="2" t="s">
        <v>185</v>
      </c>
      <c r="R46" s="2">
        <v>4643085</v>
      </c>
      <c r="S46" s="2">
        <v>2017</v>
      </c>
      <c r="T46" s="2" t="s">
        <v>616</v>
      </c>
      <c r="U46" s="2" t="s">
        <v>37</v>
      </c>
      <c r="V46" s="2" t="s">
        <v>1101</v>
      </c>
      <c r="W46" s="2" t="s">
        <v>37</v>
      </c>
      <c r="X46" s="2" t="s">
        <v>37</v>
      </c>
      <c r="Y46" s="2">
        <f>82+71+59+33+82</f>
        <v>327</v>
      </c>
      <c r="Z46" s="2">
        <v>500</v>
      </c>
      <c r="AA46" s="2">
        <f t="shared" si="4"/>
        <v>65.400000000000006</v>
      </c>
      <c r="AB46" s="2">
        <f>71+59+33</f>
        <v>163</v>
      </c>
      <c r="AC46" s="2">
        <v>300</v>
      </c>
      <c r="AD46" s="2">
        <f t="shared" si="5"/>
        <v>54.333333333333336</v>
      </c>
      <c r="AE46" s="2" t="s">
        <v>3058</v>
      </c>
      <c r="AF46" s="2" t="s">
        <v>3049</v>
      </c>
      <c r="AG46" s="2" t="s">
        <v>3049</v>
      </c>
      <c r="AH46" s="2">
        <v>10000</v>
      </c>
      <c r="AI46" s="2">
        <v>300000</v>
      </c>
      <c r="AJ46" s="2">
        <v>27500</v>
      </c>
      <c r="AK46" s="2">
        <f t="shared" si="6"/>
        <v>337500</v>
      </c>
      <c r="AL46" s="2" t="s">
        <v>3059</v>
      </c>
      <c r="AM46" s="2" t="s">
        <v>139</v>
      </c>
      <c r="AN46" s="2" t="s">
        <v>3060</v>
      </c>
      <c r="AO46" s="2" t="s">
        <v>139</v>
      </c>
      <c r="AP46" s="2">
        <v>600000</v>
      </c>
      <c r="AQ46" s="2" t="s">
        <v>3061</v>
      </c>
      <c r="AR46" s="4" t="s">
        <v>3062</v>
      </c>
      <c r="AS46" s="2" t="s">
        <v>3063</v>
      </c>
      <c r="AT46" s="2" t="s">
        <v>3064</v>
      </c>
      <c r="AU46" s="2" t="s">
        <v>969</v>
      </c>
      <c r="AV46" s="2" t="s">
        <v>1101</v>
      </c>
      <c r="AW46" s="2">
        <v>401303</v>
      </c>
      <c r="AX46" s="2" t="s">
        <v>3063</v>
      </c>
      <c r="AY46" s="2" t="s">
        <v>37</v>
      </c>
      <c r="AZ46" s="2">
        <v>7972193410</v>
      </c>
      <c r="BA46" s="2">
        <v>9923472245</v>
      </c>
      <c r="BB46" s="2">
        <v>8806001777</v>
      </c>
      <c r="BC46" s="3" t="s">
        <v>3065</v>
      </c>
      <c r="BD46" s="3" t="s">
        <v>3066</v>
      </c>
      <c r="BE46" s="25" t="s">
        <v>1862</v>
      </c>
      <c r="BF46" s="25" t="s">
        <v>37</v>
      </c>
    </row>
    <row r="47" spans="1:58" s="2" customFormat="1" ht="80.099999999999994" customHeight="1" x14ac:dyDescent="0.25">
      <c r="A47" s="2">
        <v>45</v>
      </c>
      <c r="B47" s="2">
        <v>629</v>
      </c>
      <c r="C47" s="2" t="s">
        <v>4444</v>
      </c>
      <c r="D47" s="2" t="s">
        <v>119</v>
      </c>
      <c r="F47" s="7" t="s">
        <v>3068</v>
      </c>
      <c r="G47" s="2" t="s">
        <v>38</v>
      </c>
      <c r="H47" s="2" t="s">
        <v>92</v>
      </c>
      <c r="I47" s="2" t="s">
        <v>68</v>
      </c>
      <c r="J47" s="2" t="s">
        <v>36</v>
      </c>
      <c r="K47" s="2" t="s">
        <v>140</v>
      </c>
      <c r="L47" s="2" t="s">
        <v>82</v>
      </c>
      <c r="M47" s="2" t="s">
        <v>3069</v>
      </c>
      <c r="N47" s="2" t="s">
        <v>1718</v>
      </c>
      <c r="O47" s="2" t="s">
        <v>83</v>
      </c>
      <c r="P47" s="2" t="s">
        <v>85</v>
      </c>
      <c r="Q47" s="2" t="s">
        <v>185</v>
      </c>
      <c r="R47" s="2">
        <v>4612012</v>
      </c>
      <c r="S47" s="2">
        <v>2018</v>
      </c>
      <c r="T47" s="2" t="s">
        <v>616</v>
      </c>
      <c r="U47" s="2" t="s">
        <v>37</v>
      </c>
      <c r="V47" s="2" t="s">
        <v>152</v>
      </c>
      <c r="W47" s="2" t="s">
        <v>37</v>
      </c>
      <c r="X47" s="2" t="s">
        <v>37</v>
      </c>
      <c r="Y47" s="2">
        <f>75+69+72+81+90+82</f>
        <v>469</v>
      </c>
      <c r="Z47" s="2">
        <v>600</v>
      </c>
      <c r="AA47" s="2">
        <f t="shared" si="4"/>
        <v>78.166666666666657</v>
      </c>
      <c r="AB47" s="2">
        <f>69+72+81</f>
        <v>222</v>
      </c>
      <c r="AC47" s="2">
        <v>300</v>
      </c>
      <c r="AD47" s="2">
        <f t="shared" si="5"/>
        <v>74</v>
      </c>
      <c r="AE47" s="2" t="s">
        <v>3070</v>
      </c>
      <c r="AF47" s="2" t="s">
        <v>920</v>
      </c>
      <c r="AG47" s="2" t="s">
        <v>3071</v>
      </c>
      <c r="AH47" s="2">
        <v>10000</v>
      </c>
      <c r="AI47" s="2">
        <v>215000</v>
      </c>
      <c r="AJ47" s="2">
        <v>27500</v>
      </c>
      <c r="AK47" s="2">
        <f t="shared" si="6"/>
        <v>252500</v>
      </c>
      <c r="AL47" s="2" t="s">
        <v>3072</v>
      </c>
      <c r="AM47" s="2" t="s">
        <v>78</v>
      </c>
      <c r="AN47" s="2" t="s">
        <v>3073</v>
      </c>
      <c r="AO47" s="2" t="s">
        <v>139</v>
      </c>
      <c r="AP47" s="2">
        <v>2500000</v>
      </c>
      <c r="AQ47" s="2" t="s">
        <v>3074</v>
      </c>
      <c r="AR47" s="4" t="s">
        <v>3075</v>
      </c>
      <c r="AS47" s="2" t="s">
        <v>3076</v>
      </c>
      <c r="AT47" s="2" t="s">
        <v>3077</v>
      </c>
      <c r="AU47" s="2" t="s">
        <v>1718</v>
      </c>
      <c r="AV47" s="2" t="s">
        <v>215</v>
      </c>
      <c r="AW47" s="2">
        <v>535001</v>
      </c>
      <c r="AX47" s="2" t="s">
        <v>3076</v>
      </c>
      <c r="AY47" s="2" t="s">
        <v>3078</v>
      </c>
      <c r="AZ47" s="2">
        <v>9490605396</v>
      </c>
      <c r="BA47" s="2">
        <v>9885057459</v>
      </c>
      <c r="BB47" s="2">
        <v>8886611897</v>
      </c>
      <c r="BC47" s="3" t="s">
        <v>3079</v>
      </c>
      <c r="BD47" s="3" t="s">
        <v>3080</v>
      </c>
      <c r="BE47" s="2" t="s">
        <v>1862</v>
      </c>
      <c r="BF47" s="2" t="s">
        <v>37</v>
      </c>
    </row>
    <row r="48" spans="1:58" s="2" customFormat="1" ht="80.099999999999994" customHeight="1" x14ac:dyDescent="0.25">
      <c r="A48" s="2">
        <v>46</v>
      </c>
      <c r="B48" s="2">
        <v>662</v>
      </c>
      <c r="C48" s="2" t="s">
        <v>4444</v>
      </c>
      <c r="D48" s="2" t="s">
        <v>119</v>
      </c>
      <c r="F48" s="7" t="s">
        <v>3159</v>
      </c>
      <c r="G48" s="2" t="s">
        <v>91</v>
      </c>
      <c r="H48" s="2" t="s">
        <v>35</v>
      </c>
      <c r="I48" s="2" t="s">
        <v>68</v>
      </c>
      <c r="J48" s="2" t="s">
        <v>36</v>
      </c>
      <c r="K48" s="2" t="s">
        <v>347</v>
      </c>
      <c r="L48" s="2" t="s">
        <v>82</v>
      </c>
      <c r="M48" s="2" t="s">
        <v>3160</v>
      </c>
      <c r="N48" s="2" t="s">
        <v>3161</v>
      </c>
      <c r="O48" s="2" t="s">
        <v>449</v>
      </c>
      <c r="P48" s="2" t="s">
        <v>73</v>
      </c>
      <c r="Q48" s="2" t="s">
        <v>185</v>
      </c>
      <c r="R48" s="2">
        <v>3625744</v>
      </c>
      <c r="S48" s="2">
        <v>2018</v>
      </c>
      <c r="T48" s="2" t="s">
        <v>616</v>
      </c>
      <c r="U48" s="2" t="s">
        <v>37</v>
      </c>
      <c r="V48" s="2" t="s">
        <v>1829</v>
      </c>
      <c r="W48" s="2" t="s">
        <v>37</v>
      </c>
      <c r="X48" s="2" t="s">
        <v>37</v>
      </c>
      <c r="Y48" s="2">
        <f>88+70+81+66+99+78</f>
        <v>482</v>
      </c>
      <c r="Z48" s="2">
        <v>600</v>
      </c>
      <c r="AA48" s="2">
        <f t="shared" si="4"/>
        <v>80.333333333333329</v>
      </c>
      <c r="AB48" s="2">
        <f>70+81+66</f>
        <v>217</v>
      </c>
      <c r="AC48" s="2">
        <v>300</v>
      </c>
      <c r="AD48" s="2">
        <f t="shared" si="5"/>
        <v>72.333333333333343</v>
      </c>
      <c r="AE48" s="2" t="s">
        <v>3162</v>
      </c>
      <c r="AF48" s="2" t="s">
        <v>1023</v>
      </c>
      <c r="AG48" s="2" t="s">
        <v>3163</v>
      </c>
      <c r="AH48" s="2">
        <v>10000</v>
      </c>
      <c r="AI48" s="2">
        <v>205000</v>
      </c>
      <c r="AJ48" s="2">
        <v>27500</v>
      </c>
      <c r="AK48" s="2">
        <f t="shared" si="6"/>
        <v>242500</v>
      </c>
      <c r="AL48" s="2" t="s">
        <v>3164</v>
      </c>
      <c r="AM48" s="2" t="s">
        <v>78</v>
      </c>
      <c r="AN48" s="2" t="s">
        <v>3165</v>
      </c>
      <c r="AO48" s="2" t="s">
        <v>3166</v>
      </c>
      <c r="AP48" s="2">
        <v>400000</v>
      </c>
      <c r="AQ48" s="2" t="s">
        <v>3167</v>
      </c>
      <c r="AR48" s="4" t="s">
        <v>3170</v>
      </c>
      <c r="AS48" s="2" t="s">
        <v>3168</v>
      </c>
      <c r="AT48" s="2" t="s">
        <v>3161</v>
      </c>
      <c r="AU48" s="2" t="s">
        <v>1821</v>
      </c>
      <c r="AV48" s="2" t="s">
        <v>1829</v>
      </c>
      <c r="AW48" s="2">
        <v>785634</v>
      </c>
      <c r="AX48" s="2" t="s">
        <v>3168</v>
      </c>
      <c r="AZ48" s="2">
        <v>8402993968</v>
      </c>
      <c r="BA48" s="2">
        <v>6000523059</v>
      </c>
      <c r="BB48" s="2">
        <v>9365667959</v>
      </c>
      <c r="BC48" s="3" t="s">
        <v>3171</v>
      </c>
      <c r="BD48" s="3" t="s">
        <v>3169</v>
      </c>
      <c r="BE48" s="2" t="s">
        <v>1862</v>
      </c>
      <c r="BF48" s="2" t="s">
        <v>37</v>
      </c>
    </row>
    <row r="49" spans="1:60" s="2" customFormat="1" ht="80.099999999999994" customHeight="1" x14ac:dyDescent="0.25">
      <c r="A49" s="2">
        <v>47</v>
      </c>
      <c r="B49" s="6">
        <v>467</v>
      </c>
      <c r="C49" s="2" t="s">
        <v>4444</v>
      </c>
      <c r="D49" s="6" t="s">
        <v>119</v>
      </c>
      <c r="F49" s="8" t="s">
        <v>3174</v>
      </c>
      <c r="G49" s="6" t="s">
        <v>38</v>
      </c>
      <c r="H49" s="6" t="s">
        <v>92</v>
      </c>
      <c r="I49" s="2" t="s">
        <v>68</v>
      </c>
      <c r="J49" s="2" t="s">
        <v>36</v>
      </c>
      <c r="K49" s="2" t="s">
        <v>2972</v>
      </c>
      <c r="L49" s="2" t="s">
        <v>82</v>
      </c>
      <c r="M49" s="2" t="s">
        <v>2827</v>
      </c>
      <c r="N49" s="2" t="s">
        <v>705</v>
      </c>
      <c r="O49" s="2" t="s">
        <v>72</v>
      </c>
      <c r="P49" s="2" t="s">
        <v>73</v>
      </c>
      <c r="Q49" s="2" t="s">
        <v>185</v>
      </c>
      <c r="R49" s="2">
        <v>1645064</v>
      </c>
      <c r="S49" s="2">
        <v>2018</v>
      </c>
      <c r="T49" s="2" t="s">
        <v>616</v>
      </c>
      <c r="U49" s="2" t="s">
        <v>37</v>
      </c>
      <c r="V49" s="2" t="s">
        <v>833</v>
      </c>
      <c r="W49" s="2" t="s">
        <v>37</v>
      </c>
      <c r="X49" s="2" t="s">
        <v>37</v>
      </c>
      <c r="Y49" s="2">
        <f>82+69+66+62+77</f>
        <v>356</v>
      </c>
      <c r="Z49" s="2">
        <v>500</v>
      </c>
      <c r="AA49" s="2">
        <f t="shared" si="4"/>
        <v>71.2</v>
      </c>
      <c r="AB49" s="2">
        <f>69+66+62</f>
        <v>197</v>
      </c>
      <c r="AC49" s="2">
        <v>300</v>
      </c>
      <c r="AD49" s="2">
        <f t="shared" si="5"/>
        <v>65.666666666666657</v>
      </c>
      <c r="AE49" s="2" t="s">
        <v>3181</v>
      </c>
      <c r="AF49" s="2" t="s">
        <v>2348</v>
      </c>
      <c r="AG49" s="2" t="s">
        <v>3163</v>
      </c>
      <c r="AH49" s="2">
        <v>10000</v>
      </c>
      <c r="AI49" s="2">
        <v>215000</v>
      </c>
      <c r="AJ49" s="2">
        <v>27500</v>
      </c>
      <c r="AK49" s="2">
        <f t="shared" si="6"/>
        <v>252500</v>
      </c>
      <c r="AL49" s="2" t="s">
        <v>3182</v>
      </c>
      <c r="AM49" s="2" t="s">
        <v>78</v>
      </c>
      <c r="AN49" s="2" t="s">
        <v>3183</v>
      </c>
      <c r="AO49" s="2" t="s">
        <v>139</v>
      </c>
      <c r="AP49" s="2">
        <v>600000</v>
      </c>
      <c r="AQ49" s="2" t="s">
        <v>3184</v>
      </c>
      <c r="AR49" s="4" t="s">
        <v>3185</v>
      </c>
      <c r="AS49" s="2" t="s">
        <v>3186</v>
      </c>
      <c r="AT49" s="2" t="s">
        <v>3189</v>
      </c>
      <c r="AU49" s="2" t="s">
        <v>705</v>
      </c>
      <c r="AV49" s="2" t="s">
        <v>833</v>
      </c>
      <c r="AW49" s="2">
        <v>302019</v>
      </c>
      <c r="AX49" s="2" t="s">
        <v>3186</v>
      </c>
      <c r="AY49" s="2" t="s">
        <v>37</v>
      </c>
      <c r="AZ49" s="2">
        <v>9166405827</v>
      </c>
      <c r="BA49" s="2">
        <v>9314505536</v>
      </c>
      <c r="BB49" s="2">
        <v>9351545557</v>
      </c>
      <c r="BC49" s="3" t="s">
        <v>3187</v>
      </c>
      <c r="BD49" s="3" t="s">
        <v>3188</v>
      </c>
      <c r="BE49" s="2" t="s">
        <v>1862</v>
      </c>
      <c r="BF49" s="2" t="s">
        <v>37</v>
      </c>
    </row>
    <row r="50" spans="1:60" s="2" customFormat="1" ht="80.099999999999994" customHeight="1" x14ac:dyDescent="0.25">
      <c r="A50" s="2">
        <v>48</v>
      </c>
      <c r="B50" s="6">
        <v>671</v>
      </c>
      <c r="C50" s="2" t="s">
        <v>4444</v>
      </c>
      <c r="D50" s="6" t="s">
        <v>119</v>
      </c>
      <c r="F50" s="18" t="s">
        <v>3180</v>
      </c>
      <c r="G50" s="6" t="s">
        <v>38</v>
      </c>
      <c r="H50" s="6" t="s">
        <v>35</v>
      </c>
      <c r="I50" s="2" t="s">
        <v>68</v>
      </c>
      <c r="J50" s="2" t="s">
        <v>36</v>
      </c>
      <c r="K50" s="2" t="s">
        <v>3190</v>
      </c>
      <c r="L50" s="2" t="s">
        <v>82</v>
      </c>
      <c r="M50" s="2" t="s">
        <v>3245</v>
      </c>
      <c r="N50" s="2" t="s">
        <v>3246</v>
      </c>
      <c r="O50" s="2" t="s">
        <v>72</v>
      </c>
      <c r="P50" s="2" t="s">
        <v>62</v>
      </c>
      <c r="Q50" s="2" t="s">
        <v>185</v>
      </c>
      <c r="R50" s="2">
        <v>4631972</v>
      </c>
      <c r="S50" s="2">
        <v>2017</v>
      </c>
      <c r="T50" s="2" t="s">
        <v>616</v>
      </c>
      <c r="U50" s="2" t="s">
        <v>37</v>
      </c>
      <c r="V50" s="2" t="s">
        <v>215</v>
      </c>
      <c r="W50" s="2" t="s">
        <v>37</v>
      </c>
      <c r="X50" s="2" t="s">
        <v>37</v>
      </c>
      <c r="Y50" s="2">
        <f>64+85+80+81+93</f>
        <v>403</v>
      </c>
      <c r="Z50" s="2">
        <v>500</v>
      </c>
      <c r="AA50" s="2">
        <f t="shared" si="4"/>
        <v>80.600000000000009</v>
      </c>
      <c r="AB50" s="2">
        <f>85+80+81</f>
        <v>246</v>
      </c>
      <c r="AC50" s="2">
        <v>300</v>
      </c>
      <c r="AD50" s="2">
        <f t="shared" si="5"/>
        <v>82</v>
      </c>
      <c r="AE50" s="2" t="s">
        <v>3247</v>
      </c>
      <c r="AF50" s="2" t="s">
        <v>3163</v>
      </c>
      <c r="AG50" s="2" t="s">
        <v>3163</v>
      </c>
      <c r="AH50" s="2">
        <v>10000</v>
      </c>
      <c r="AI50" s="2">
        <v>215000</v>
      </c>
      <c r="AJ50" s="2">
        <v>27500</v>
      </c>
      <c r="AK50" s="2">
        <f t="shared" si="6"/>
        <v>252500</v>
      </c>
      <c r="AL50" s="2" t="s">
        <v>3248</v>
      </c>
      <c r="AM50" s="2" t="s">
        <v>2878</v>
      </c>
      <c r="AN50" s="2" t="s">
        <v>3249</v>
      </c>
      <c r="AO50" s="2" t="s">
        <v>261</v>
      </c>
      <c r="AP50" s="2">
        <v>700000</v>
      </c>
      <c r="AQ50" s="2" t="s">
        <v>3250</v>
      </c>
      <c r="AR50" s="4" t="s">
        <v>3251</v>
      </c>
      <c r="AS50" s="2" t="s">
        <v>3252</v>
      </c>
      <c r="AT50" s="2" t="s">
        <v>3253</v>
      </c>
      <c r="AU50" s="2" t="s">
        <v>3246</v>
      </c>
      <c r="AV50" s="2" t="s">
        <v>245</v>
      </c>
      <c r="AW50" s="2">
        <v>484001</v>
      </c>
      <c r="AX50" s="2" t="s">
        <v>3252</v>
      </c>
      <c r="AY50" s="2" t="s">
        <v>37</v>
      </c>
      <c r="AZ50" s="2">
        <v>9826191572</v>
      </c>
      <c r="BA50" s="2">
        <v>9300923500</v>
      </c>
      <c r="BB50" s="2">
        <v>9301118485</v>
      </c>
      <c r="BC50" s="3" t="s">
        <v>3254</v>
      </c>
      <c r="BD50" s="3" t="s">
        <v>3255</v>
      </c>
      <c r="BE50" s="2" t="s">
        <v>1862</v>
      </c>
      <c r="BF50" s="2" t="s">
        <v>37</v>
      </c>
    </row>
    <row r="51" spans="1:60" s="2" customFormat="1" ht="80.099999999999994" customHeight="1" x14ac:dyDescent="0.25">
      <c r="A51" s="2">
        <v>49</v>
      </c>
      <c r="B51" s="6">
        <v>683</v>
      </c>
      <c r="C51" s="2" t="s">
        <v>4444</v>
      </c>
      <c r="D51" s="2" t="s">
        <v>119</v>
      </c>
      <c r="F51" s="7" t="s">
        <v>3313</v>
      </c>
      <c r="G51" s="2" t="s">
        <v>38</v>
      </c>
      <c r="H51" s="2" t="s">
        <v>35</v>
      </c>
      <c r="I51" s="2" t="s">
        <v>68</v>
      </c>
      <c r="J51" s="2" t="s">
        <v>36</v>
      </c>
      <c r="K51" s="2" t="s">
        <v>3317</v>
      </c>
      <c r="L51" s="2" t="s">
        <v>286</v>
      </c>
      <c r="M51" s="2" t="s">
        <v>1250</v>
      </c>
      <c r="N51" s="2" t="s">
        <v>215</v>
      </c>
      <c r="O51" s="2" t="s">
        <v>83</v>
      </c>
      <c r="P51" s="2" t="s">
        <v>62</v>
      </c>
      <c r="Q51" s="2" t="s">
        <v>185</v>
      </c>
      <c r="R51" s="2">
        <v>1807210308</v>
      </c>
      <c r="S51" s="2">
        <v>2018</v>
      </c>
      <c r="T51" s="2" t="s">
        <v>89</v>
      </c>
      <c r="U51" s="2" t="s">
        <v>37</v>
      </c>
      <c r="V51" s="2" t="s">
        <v>215</v>
      </c>
      <c r="W51" s="2">
        <v>917</v>
      </c>
      <c r="X51" s="2">
        <f>W51/1000*100</f>
        <v>91.7</v>
      </c>
      <c r="Y51" s="2">
        <f>90+98+73+69+54+55+30+29</f>
        <v>498</v>
      </c>
      <c r="Z51" s="2">
        <v>530</v>
      </c>
      <c r="AA51" s="2">
        <f t="shared" si="4"/>
        <v>93.962264150943398</v>
      </c>
      <c r="AB51" s="2">
        <f>67+70+53+41+73+69+54+55+30+29</f>
        <v>541</v>
      </c>
      <c r="AC51" s="2">
        <v>600</v>
      </c>
      <c r="AD51" s="2">
        <f t="shared" si="5"/>
        <v>90.166666666666657</v>
      </c>
      <c r="AE51" s="2" t="s">
        <v>3318</v>
      </c>
      <c r="AF51" s="2" t="s">
        <v>459</v>
      </c>
      <c r="AG51" s="2" t="s">
        <v>3319</v>
      </c>
      <c r="AH51" s="2">
        <v>10000</v>
      </c>
      <c r="AI51" s="2">
        <v>215000</v>
      </c>
      <c r="AJ51" s="2">
        <v>27500</v>
      </c>
      <c r="AK51" s="2">
        <f t="shared" si="6"/>
        <v>252500</v>
      </c>
      <c r="AL51" s="2" t="s">
        <v>3320</v>
      </c>
      <c r="AM51" s="2" t="s">
        <v>78</v>
      </c>
      <c r="AN51" s="2" t="s">
        <v>3321</v>
      </c>
      <c r="AO51" s="2" t="s">
        <v>139</v>
      </c>
      <c r="AP51" s="2">
        <v>400000</v>
      </c>
      <c r="AQ51" s="2" t="s">
        <v>3325</v>
      </c>
      <c r="AR51" s="4" t="s">
        <v>3322</v>
      </c>
      <c r="AS51" s="2" t="s">
        <v>3323</v>
      </c>
      <c r="AT51" s="2" t="s">
        <v>1965</v>
      </c>
      <c r="AU51" s="2" t="s">
        <v>422</v>
      </c>
      <c r="AV51" s="2" t="s">
        <v>215</v>
      </c>
      <c r="AW51" s="2">
        <v>523001</v>
      </c>
      <c r="AX51" s="2" t="s">
        <v>3323</v>
      </c>
      <c r="AZ51" s="2">
        <v>7989349030</v>
      </c>
      <c r="BA51" s="2">
        <v>9848872469</v>
      </c>
      <c r="BB51" s="2">
        <v>9441745093</v>
      </c>
      <c r="BC51" s="3" t="s">
        <v>3324</v>
      </c>
      <c r="BD51" s="3" t="s">
        <v>3326</v>
      </c>
      <c r="BE51" s="2" t="s">
        <v>2150</v>
      </c>
      <c r="BF51" s="2" t="s">
        <v>144</v>
      </c>
    </row>
    <row r="52" spans="1:60" s="2" customFormat="1" ht="80.099999999999994" customHeight="1" x14ac:dyDescent="0.25">
      <c r="A52" s="2">
        <v>50</v>
      </c>
      <c r="B52" s="6">
        <v>746</v>
      </c>
      <c r="C52" s="2" t="s">
        <v>4444</v>
      </c>
      <c r="D52" s="6" t="s">
        <v>119</v>
      </c>
      <c r="F52" s="8" t="s">
        <v>3463</v>
      </c>
      <c r="G52" s="6" t="s">
        <v>38</v>
      </c>
      <c r="H52" s="6" t="s">
        <v>35</v>
      </c>
      <c r="I52" s="2" t="s">
        <v>68</v>
      </c>
      <c r="J52" s="2" t="s">
        <v>36</v>
      </c>
      <c r="K52" s="2" t="s">
        <v>3576</v>
      </c>
      <c r="L52" s="2" t="s">
        <v>82</v>
      </c>
      <c r="M52" s="2" t="s">
        <v>3577</v>
      </c>
      <c r="N52" s="2" t="s">
        <v>2362</v>
      </c>
      <c r="O52" s="2" t="s">
        <v>123</v>
      </c>
      <c r="P52" s="2" t="s">
        <v>73</v>
      </c>
      <c r="Q52" s="2" t="s">
        <v>185</v>
      </c>
      <c r="R52" s="2">
        <v>4617865</v>
      </c>
      <c r="S52" s="2">
        <v>2018</v>
      </c>
      <c r="T52" s="2" t="s">
        <v>616</v>
      </c>
      <c r="U52" s="2" t="s">
        <v>37</v>
      </c>
      <c r="V52" s="2" t="s">
        <v>152</v>
      </c>
      <c r="W52" s="2" t="s">
        <v>37</v>
      </c>
      <c r="X52" s="2" t="s">
        <v>37</v>
      </c>
      <c r="Y52" s="2">
        <f>73+43+68+62+92</f>
        <v>338</v>
      </c>
      <c r="Z52" s="2">
        <v>500</v>
      </c>
      <c r="AA52" s="2">
        <f t="shared" si="4"/>
        <v>67.600000000000009</v>
      </c>
      <c r="AB52" s="2">
        <f>43+68+62</f>
        <v>173</v>
      </c>
      <c r="AC52" s="2">
        <v>300</v>
      </c>
      <c r="AD52" s="2">
        <f t="shared" si="5"/>
        <v>57.666666666666664</v>
      </c>
      <c r="AE52" s="2" t="s">
        <v>3578</v>
      </c>
      <c r="AF52" s="2" t="s">
        <v>920</v>
      </c>
      <c r="AG52" s="2" t="s">
        <v>3497</v>
      </c>
      <c r="AH52" s="2">
        <v>10000</v>
      </c>
      <c r="AI52" s="2">
        <v>215000</v>
      </c>
      <c r="AJ52" s="2">
        <v>27500</v>
      </c>
      <c r="AK52" s="2">
        <f t="shared" si="6"/>
        <v>252500</v>
      </c>
      <c r="AL52" s="2" t="s">
        <v>3579</v>
      </c>
      <c r="AM52" s="2" t="s">
        <v>87</v>
      </c>
      <c r="AN52" s="2" t="s">
        <v>3580</v>
      </c>
      <c r="AO52" s="2" t="s">
        <v>67</v>
      </c>
      <c r="AP52" s="2">
        <v>60000</v>
      </c>
      <c r="AR52" s="4" t="s">
        <v>3581</v>
      </c>
      <c r="AS52" s="2" t="s">
        <v>3584</v>
      </c>
      <c r="AT52" s="2" t="s">
        <v>3582</v>
      </c>
      <c r="AU52" s="2" t="s">
        <v>2362</v>
      </c>
      <c r="AV52" s="2" t="s">
        <v>152</v>
      </c>
      <c r="AW52" s="2">
        <v>694710</v>
      </c>
      <c r="AX52" s="2" t="s">
        <v>3584</v>
      </c>
      <c r="AZ52" s="2">
        <v>9698912604</v>
      </c>
      <c r="BA52" s="2">
        <v>9381189070</v>
      </c>
      <c r="BB52" s="2">
        <v>9492527446</v>
      </c>
      <c r="BD52" s="3" t="s">
        <v>3583</v>
      </c>
      <c r="BE52" s="2" t="s">
        <v>1863</v>
      </c>
      <c r="BF52" s="2" t="s">
        <v>2713</v>
      </c>
    </row>
    <row r="53" spans="1:60" s="2" customFormat="1" ht="80.099999999999994" customHeight="1" x14ac:dyDescent="0.25">
      <c r="A53" s="2">
        <v>51</v>
      </c>
      <c r="B53" s="6">
        <v>770</v>
      </c>
      <c r="C53" s="2" t="s">
        <v>4444</v>
      </c>
      <c r="D53" s="6" t="s">
        <v>119</v>
      </c>
      <c r="F53" s="8" t="s">
        <v>3467</v>
      </c>
      <c r="G53" s="6" t="s">
        <v>38</v>
      </c>
      <c r="H53" s="6" t="s">
        <v>35</v>
      </c>
      <c r="I53" s="2" t="s">
        <v>68</v>
      </c>
      <c r="J53" s="2" t="s">
        <v>36</v>
      </c>
      <c r="K53" s="2" t="s">
        <v>81</v>
      </c>
      <c r="L53" s="2" t="s">
        <v>82</v>
      </c>
      <c r="M53" s="2" t="s">
        <v>3618</v>
      </c>
      <c r="N53" s="2" t="s">
        <v>84</v>
      </c>
      <c r="O53" s="2" t="s">
        <v>83</v>
      </c>
      <c r="P53" s="2" t="s">
        <v>73</v>
      </c>
      <c r="Q53" s="2" t="s">
        <v>185</v>
      </c>
      <c r="R53" s="2">
        <v>1811215665</v>
      </c>
      <c r="S53" s="2">
        <v>2018</v>
      </c>
      <c r="T53" s="2" t="s">
        <v>89</v>
      </c>
      <c r="U53" s="2" t="s">
        <v>37</v>
      </c>
      <c r="V53" s="2" t="s">
        <v>215</v>
      </c>
      <c r="W53" s="2">
        <v>952</v>
      </c>
      <c r="X53" s="2">
        <f>W53/1000*100</f>
        <v>95.199999999999989</v>
      </c>
      <c r="Y53" s="2">
        <f>85+98+72+75+60+55+30+30</f>
        <v>505</v>
      </c>
      <c r="Z53" s="2">
        <v>530</v>
      </c>
      <c r="AA53" s="2">
        <f t="shared" si="4"/>
        <v>95.283018867924525</v>
      </c>
      <c r="AB53" s="2">
        <f>75+74+56+56+72+75+60+55+30+30</f>
        <v>583</v>
      </c>
      <c r="AC53" s="2">
        <v>600</v>
      </c>
      <c r="AD53" s="2">
        <f t="shared" si="5"/>
        <v>97.166666666666671</v>
      </c>
      <c r="AE53" s="2" t="s">
        <v>3619</v>
      </c>
      <c r="AF53" s="2" t="s">
        <v>920</v>
      </c>
      <c r="AG53" s="2" t="s">
        <v>3497</v>
      </c>
      <c r="AH53" s="2">
        <v>10000</v>
      </c>
      <c r="AI53" s="2">
        <v>215000</v>
      </c>
      <c r="AJ53" s="2">
        <v>27500</v>
      </c>
      <c r="AK53" s="2">
        <f t="shared" si="6"/>
        <v>252500</v>
      </c>
      <c r="AL53" s="2" t="s">
        <v>3620</v>
      </c>
      <c r="AM53" s="2" t="s">
        <v>99</v>
      </c>
      <c r="AN53" s="2" t="s">
        <v>3621</v>
      </c>
      <c r="AO53" s="2" t="s">
        <v>99</v>
      </c>
      <c r="AP53" s="2" t="s">
        <v>3627</v>
      </c>
      <c r="AQ53" s="2" t="s">
        <v>3622</v>
      </c>
      <c r="AR53" s="4" t="s">
        <v>3623</v>
      </c>
      <c r="AS53" s="2" t="s">
        <v>3624</v>
      </c>
      <c r="AT53" s="2" t="s">
        <v>3625</v>
      </c>
      <c r="AU53" s="2" t="s">
        <v>84</v>
      </c>
      <c r="AV53" s="2" t="s">
        <v>215</v>
      </c>
      <c r="AW53" s="2">
        <v>515004</v>
      </c>
      <c r="AX53" s="2" t="s">
        <v>3624</v>
      </c>
      <c r="AZ53" s="2">
        <v>6303875740</v>
      </c>
      <c r="BA53" s="2">
        <v>9440937921</v>
      </c>
      <c r="BD53" s="3" t="s">
        <v>3626</v>
      </c>
      <c r="BE53" s="25" t="s">
        <v>4103</v>
      </c>
      <c r="BF53" s="25"/>
    </row>
    <row r="54" spans="1:60" s="2" customFormat="1" ht="80.099999999999994" customHeight="1" x14ac:dyDescent="0.25">
      <c r="A54" s="2">
        <v>52</v>
      </c>
      <c r="B54" s="6">
        <v>363</v>
      </c>
      <c r="C54" s="2" t="s">
        <v>4444</v>
      </c>
      <c r="D54" s="6" t="s">
        <v>119</v>
      </c>
      <c r="E54" s="6"/>
      <c r="F54" s="8" t="s">
        <v>3473</v>
      </c>
      <c r="G54" s="6" t="s">
        <v>38</v>
      </c>
      <c r="H54" s="6" t="s">
        <v>35</v>
      </c>
      <c r="I54" s="6" t="s">
        <v>68</v>
      </c>
      <c r="J54" s="6" t="s">
        <v>36</v>
      </c>
      <c r="K54" s="6" t="s">
        <v>3678</v>
      </c>
      <c r="L54" s="6" t="s">
        <v>82</v>
      </c>
      <c r="M54" s="6" t="s">
        <v>2457</v>
      </c>
      <c r="N54" s="6" t="s">
        <v>3679</v>
      </c>
      <c r="O54" s="6" t="s">
        <v>123</v>
      </c>
      <c r="P54" s="6" t="s">
        <v>85</v>
      </c>
      <c r="Q54" s="2" t="s">
        <v>185</v>
      </c>
      <c r="R54" s="6">
        <v>1811246014</v>
      </c>
      <c r="S54" s="6">
        <v>2018</v>
      </c>
      <c r="T54" s="6" t="s">
        <v>366</v>
      </c>
      <c r="U54" s="6" t="s">
        <v>37</v>
      </c>
      <c r="V54" s="6" t="s">
        <v>152</v>
      </c>
      <c r="W54" s="6" t="s">
        <v>37</v>
      </c>
      <c r="X54" s="6" t="s">
        <v>37</v>
      </c>
      <c r="Y54" s="6">
        <v>837</v>
      </c>
      <c r="Z54" s="6">
        <v>1200</v>
      </c>
      <c r="AA54" s="2">
        <f t="shared" si="4"/>
        <v>69.75</v>
      </c>
      <c r="AB54" s="6">
        <f>152+125+120</f>
        <v>397</v>
      </c>
      <c r="AC54" s="6">
        <v>600</v>
      </c>
      <c r="AD54" s="6">
        <f t="shared" si="5"/>
        <v>66.166666666666657</v>
      </c>
      <c r="AE54" s="6" t="s">
        <v>3680</v>
      </c>
      <c r="AF54" s="6" t="s">
        <v>576</v>
      </c>
      <c r="AG54" s="2" t="s">
        <v>3681</v>
      </c>
      <c r="AH54" s="2">
        <v>10000</v>
      </c>
      <c r="AI54" s="6">
        <v>210000</v>
      </c>
      <c r="AJ54" s="2">
        <v>27500</v>
      </c>
      <c r="AK54" s="2">
        <f t="shared" si="6"/>
        <v>247500</v>
      </c>
      <c r="AL54" s="6" t="s">
        <v>3682</v>
      </c>
      <c r="AM54" s="6" t="s">
        <v>566</v>
      </c>
      <c r="AN54" s="6" t="s">
        <v>3683</v>
      </c>
      <c r="AO54" s="6" t="s">
        <v>429</v>
      </c>
      <c r="AP54" s="6">
        <v>1000000</v>
      </c>
      <c r="AQ54" s="6" t="s">
        <v>3684</v>
      </c>
      <c r="AR54" s="13" t="s">
        <v>3685</v>
      </c>
      <c r="AS54" s="6" t="s">
        <v>3686</v>
      </c>
      <c r="AT54" s="6" t="s">
        <v>3687</v>
      </c>
      <c r="AU54" s="6" t="s">
        <v>1457</v>
      </c>
      <c r="AV54" s="6" t="s">
        <v>152</v>
      </c>
      <c r="AW54" s="6">
        <v>641606</v>
      </c>
      <c r="AX54" s="6" t="s">
        <v>3686</v>
      </c>
      <c r="AY54" s="6" t="s">
        <v>3688</v>
      </c>
      <c r="AZ54" s="6">
        <v>7708782917</v>
      </c>
      <c r="BA54" s="6">
        <v>9843277677</v>
      </c>
      <c r="BB54" s="6">
        <v>9585327567</v>
      </c>
      <c r="BC54" s="14" t="s">
        <v>3689</v>
      </c>
      <c r="BD54" s="6"/>
      <c r="BE54" s="2" t="s">
        <v>1862</v>
      </c>
      <c r="BF54" s="2" t="s">
        <v>37</v>
      </c>
      <c r="BG54" s="6"/>
    </row>
    <row r="55" spans="1:60" s="19" customFormat="1" ht="80.099999999999994" customHeight="1" x14ac:dyDescent="0.25">
      <c r="A55" s="2">
        <v>53</v>
      </c>
      <c r="B55" s="6">
        <v>797</v>
      </c>
      <c r="C55" s="2" t="s">
        <v>4444</v>
      </c>
      <c r="D55" s="6" t="s">
        <v>119</v>
      </c>
      <c r="E55" s="2"/>
      <c r="F55" s="8" t="s">
        <v>3478</v>
      </c>
      <c r="G55" s="6" t="s">
        <v>38</v>
      </c>
      <c r="H55" s="6" t="s">
        <v>35</v>
      </c>
      <c r="I55" s="2" t="s">
        <v>68</v>
      </c>
      <c r="J55" s="2" t="s">
        <v>36</v>
      </c>
      <c r="K55" s="2" t="s">
        <v>207</v>
      </c>
      <c r="L55" s="2" t="s">
        <v>82</v>
      </c>
      <c r="M55" s="2" t="s">
        <v>3730</v>
      </c>
      <c r="N55" s="2" t="s">
        <v>3731</v>
      </c>
      <c r="O55" s="2" t="s">
        <v>83</v>
      </c>
      <c r="P55" s="2" t="s">
        <v>73</v>
      </c>
      <c r="Q55" s="2" t="s">
        <v>185</v>
      </c>
      <c r="R55" s="2">
        <v>1805224640</v>
      </c>
      <c r="S55" s="2">
        <v>2018</v>
      </c>
      <c r="T55" s="2" t="s">
        <v>89</v>
      </c>
      <c r="U55" s="2" t="s">
        <v>37</v>
      </c>
      <c r="V55" s="2" t="s">
        <v>215</v>
      </c>
      <c r="W55" s="2">
        <v>780</v>
      </c>
      <c r="X55" s="2">
        <f>W55/1000*100</f>
        <v>78</v>
      </c>
      <c r="Y55" s="2">
        <f>80+90+57+41+46+56+27+30</f>
        <v>427</v>
      </c>
      <c r="Z55" s="2">
        <v>530</v>
      </c>
      <c r="AA55" s="2">
        <f t="shared" si="4"/>
        <v>80.566037735849065</v>
      </c>
      <c r="AB55" s="2">
        <f>58+46+44+42+57+41+46+56+27+30</f>
        <v>447</v>
      </c>
      <c r="AC55" s="2">
        <v>600</v>
      </c>
      <c r="AD55" s="2">
        <f t="shared" si="5"/>
        <v>74.5</v>
      </c>
      <c r="AE55" s="2" t="s">
        <v>3732</v>
      </c>
      <c r="AF55" s="2" t="s">
        <v>920</v>
      </c>
      <c r="AG55" s="2" t="s">
        <v>3681</v>
      </c>
      <c r="AH55" s="2">
        <v>10000</v>
      </c>
      <c r="AI55" s="2">
        <v>215000</v>
      </c>
      <c r="AJ55" s="2">
        <v>27500</v>
      </c>
      <c r="AK55" s="2">
        <f t="shared" si="6"/>
        <v>252500</v>
      </c>
      <c r="AL55" s="2" t="s">
        <v>3733</v>
      </c>
      <c r="AM55" s="2" t="s">
        <v>78</v>
      </c>
      <c r="AN55" s="2" t="s">
        <v>3734</v>
      </c>
      <c r="AO55" s="2" t="s">
        <v>139</v>
      </c>
      <c r="AP55" s="2">
        <v>200000</v>
      </c>
      <c r="AQ55" s="2" t="s">
        <v>4371</v>
      </c>
      <c r="AR55" s="4" t="s">
        <v>3735</v>
      </c>
      <c r="AS55" s="2" t="s">
        <v>3736</v>
      </c>
      <c r="AT55" s="2" t="s">
        <v>3737</v>
      </c>
      <c r="AU55" s="2" t="s">
        <v>341</v>
      </c>
      <c r="AV55" s="2" t="s">
        <v>215</v>
      </c>
      <c r="AW55" s="2">
        <v>534124</v>
      </c>
      <c r="AX55" s="2" t="s">
        <v>3738</v>
      </c>
      <c r="AY55" s="2"/>
      <c r="AZ55" s="2">
        <v>9949333229</v>
      </c>
      <c r="BA55" s="2"/>
      <c r="BB55" s="2"/>
      <c r="BC55" s="2"/>
      <c r="BD55" s="3" t="s">
        <v>3739</v>
      </c>
      <c r="BE55" s="2" t="s">
        <v>879</v>
      </c>
      <c r="BF55" s="2" t="s">
        <v>144</v>
      </c>
      <c r="BG55" s="2"/>
    </row>
    <row r="56" spans="1:60" s="2" customFormat="1" ht="80.099999999999994" customHeight="1" x14ac:dyDescent="0.25">
      <c r="A56" s="2">
        <v>54</v>
      </c>
      <c r="B56" s="6">
        <v>878</v>
      </c>
      <c r="C56" s="2" t="s">
        <v>4444</v>
      </c>
      <c r="D56" s="6" t="s">
        <v>119</v>
      </c>
      <c r="F56" s="8" t="s">
        <v>3990</v>
      </c>
      <c r="G56" s="6" t="s">
        <v>38</v>
      </c>
      <c r="H56" s="6" t="s">
        <v>92</v>
      </c>
      <c r="I56" s="2" t="s">
        <v>68</v>
      </c>
      <c r="J56" s="2" t="s">
        <v>36</v>
      </c>
      <c r="K56" s="2" t="s">
        <v>114</v>
      </c>
      <c r="L56" s="2" t="s">
        <v>82</v>
      </c>
      <c r="M56" s="2" t="s">
        <v>153</v>
      </c>
      <c r="N56" s="2" t="s">
        <v>755</v>
      </c>
      <c r="O56" s="2" t="s">
        <v>83</v>
      </c>
      <c r="P56" s="2" t="s">
        <v>85</v>
      </c>
      <c r="Q56" s="2" t="s">
        <v>185</v>
      </c>
      <c r="R56" s="2">
        <v>1805237646</v>
      </c>
      <c r="S56" s="2">
        <v>2018</v>
      </c>
      <c r="T56" s="2" t="s">
        <v>89</v>
      </c>
      <c r="U56" s="2" t="s">
        <v>37</v>
      </c>
      <c r="V56" s="2" t="s">
        <v>215</v>
      </c>
      <c r="W56" s="2">
        <v>950</v>
      </c>
      <c r="X56" s="2">
        <f>W56/1000*100</f>
        <v>95</v>
      </c>
      <c r="Y56" s="2">
        <f>90+98+64+68+58+56+30+30</f>
        <v>494</v>
      </c>
      <c r="Z56" s="2">
        <v>530</v>
      </c>
      <c r="AA56" s="2">
        <f t="shared" si="4"/>
        <v>93.20754716981132</v>
      </c>
      <c r="AB56" s="2">
        <f>75+75+58+56+64+68+58+56+30+30</f>
        <v>570</v>
      </c>
      <c r="AC56" s="2">
        <v>600</v>
      </c>
      <c r="AD56" s="2">
        <f t="shared" si="5"/>
        <v>95</v>
      </c>
      <c r="AE56" s="2" t="s">
        <v>4001</v>
      </c>
      <c r="AF56" s="2" t="s">
        <v>2493</v>
      </c>
      <c r="AG56" s="2" t="s">
        <v>4000</v>
      </c>
      <c r="AH56" s="2">
        <v>10000</v>
      </c>
      <c r="AI56" s="2">
        <v>300000</v>
      </c>
      <c r="AJ56" s="2">
        <v>27500</v>
      </c>
      <c r="AK56" s="2">
        <f t="shared" si="6"/>
        <v>337500</v>
      </c>
      <c r="AL56" s="2" t="s">
        <v>4002</v>
      </c>
      <c r="AM56" s="2" t="s">
        <v>87</v>
      </c>
      <c r="AN56" s="2" t="s">
        <v>4003</v>
      </c>
      <c r="AO56" s="2" t="s">
        <v>568</v>
      </c>
      <c r="AP56" s="2" t="s">
        <v>4004</v>
      </c>
      <c r="AQ56" s="2" t="s">
        <v>4009</v>
      </c>
      <c r="AR56" s="4" t="s">
        <v>4005</v>
      </c>
      <c r="AS56" s="2" t="s">
        <v>4006</v>
      </c>
      <c r="AT56" s="2" t="s">
        <v>1683</v>
      </c>
      <c r="AU56" s="2" t="s">
        <v>755</v>
      </c>
      <c r="AV56" s="2" t="s">
        <v>215</v>
      </c>
      <c r="AW56" s="2">
        <v>516360</v>
      </c>
      <c r="AX56" s="2" t="s">
        <v>4006</v>
      </c>
      <c r="AZ56" s="2">
        <v>7893979948</v>
      </c>
      <c r="BA56" s="2">
        <v>9885703106</v>
      </c>
      <c r="BB56" s="2">
        <v>9885165760</v>
      </c>
      <c r="BC56" s="3" t="s">
        <v>4007</v>
      </c>
      <c r="BD56" s="3" t="s">
        <v>4008</v>
      </c>
      <c r="BE56" s="2" t="s">
        <v>879</v>
      </c>
      <c r="BF56" s="2" t="s">
        <v>113</v>
      </c>
    </row>
    <row r="57" spans="1:60" s="2" customFormat="1" ht="80.099999999999994" customHeight="1" x14ac:dyDescent="0.25">
      <c r="A57" s="2">
        <v>55</v>
      </c>
      <c r="B57" s="6">
        <v>892</v>
      </c>
      <c r="C57" s="2" t="s">
        <v>4444</v>
      </c>
      <c r="D57" s="6" t="s">
        <v>119</v>
      </c>
      <c r="F57" s="8" t="s">
        <v>3992</v>
      </c>
      <c r="G57" s="6" t="s">
        <v>38</v>
      </c>
      <c r="H57" s="6" t="s">
        <v>92</v>
      </c>
      <c r="I57" s="2" t="s">
        <v>68</v>
      </c>
      <c r="J57" s="2" t="s">
        <v>36</v>
      </c>
      <c r="K57" s="2" t="s">
        <v>114</v>
      </c>
      <c r="L57" s="2" t="s">
        <v>82</v>
      </c>
      <c r="M57" s="2" t="s">
        <v>3454</v>
      </c>
      <c r="N57" s="2" t="s">
        <v>1111</v>
      </c>
      <c r="O57" s="2" t="s">
        <v>83</v>
      </c>
      <c r="P57" s="2" t="s">
        <v>73</v>
      </c>
      <c r="Q57" s="2" t="s">
        <v>185</v>
      </c>
      <c r="R57" s="2">
        <v>1805249666</v>
      </c>
      <c r="S57" s="2">
        <v>2018</v>
      </c>
      <c r="T57" s="2" t="s">
        <v>89</v>
      </c>
      <c r="U57" s="2" t="s">
        <v>37</v>
      </c>
      <c r="V57" s="2" t="s">
        <v>215</v>
      </c>
      <c r="W57" s="2">
        <v>947</v>
      </c>
      <c r="X57" s="2">
        <f>W57/1000*100</f>
        <v>94.699999999999989</v>
      </c>
      <c r="Y57" s="2">
        <f>94+98+72+62+60+48+30+30</f>
        <v>494</v>
      </c>
      <c r="Z57" s="2">
        <v>530</v>
      </c>
      <c r="AA57" s="2">
        <f t="shared" si="4"/>
        <v>93.20754716981132</v>
      </c>
      <c r="AB57" s="2">
        <f>75+75+58+56+72+62+60+48+30+30</f>
        <v>566</v>
      </c>
      <c r="AC57" s="2">
        <v>600</v>
      </c>
      <c r="AD57" s="2">
        <f t="shared" si="5"/>
        <v>94.333333333333343</v>
      </c>
      <c r="AE57" s="2" t="s">
        <v>4024</v>
      </c>
      <c r="AF57" s="2" t="s">
        <v>2493</v>
      </c>
      <c r="AG57" s="2" t="s">
        <v>4000</v>
      </c>
      <c r="AH57" s="2">
        <v>10000</v>
      </c>
      <c r="AI57" s="2">
        <v>300000</v>
      </c>
      <c r="AJ57" s="2">
        <v>27500</v>
      </c>
      <c r="AK57" s="2">
        <f t="shared" si="6"/>
        <v>337500</v>
      </c>
      <c r="AL57" s="2" t="s">
        <v>4025</v>
      </c>
      <c r="AM57" s="2" t="s">
        <v>87</v>
      </c>
      <c r="AN57" s="2" t="s">
        <v>4026</v>
      </c>
      <c r="AO57" s="2" t="s">
        <v>568</v>
      </c>
      <c r="AP57" s="2" t="s">
        <v>4004</v>
      </c>
      <c r="AQ57" s="2" t="s">
        <v>4027</v>
      </c>
      <c r="AR57" s="4" t="s">
        <v>4028</v>
      </c>
      <c r="AS57" s="2" t="s">
        <v>4029</v>
      </c>
      <c r="AT57" s="2" t="s">
        <v>1683</v>
      </c>
      <c r="AU57" s="2" t="s">
        <v>755</v>
      </c>
      <c r="AV57" s="2" t="s">
        <v>215</v>
      </c>
      <c r="AW57" s="2">
        <v>516360</v>
      </c>
      <c r="AX57" s="2" t="s">
        <v>4029</v>
      </c>
      <c r="AZ57" s="2">
        <v>9100880691</v>
      </c>
      <c r="BA57" s="2">
        <v>984949055</v>
      </c>
      <c r="BB57" s="2">
        <v>9908483493</v>
      </c>
      <c r="BC57" s="3" t="s">
        <v>4031</v>
      </c>
      <c r="BD57" s="3" t="s">
        <v>4030</v>
      </c>
      <c r="BE57" s="2" t="s">
        <v>879</v>
      </c>
      <c r="BF57" s="2" t="s">
        <v>113</v>
      </c>
    </row>
    <row r="58" spans="1:60" s="2" customFormat="1" ht="80.099999999999994" customHeight="1" x14ac:dyDescent="0.25">
      <c r="A58" s="2">
        <v>56</v>
      </c>
      <c r="B58" s="2">
        <v>917</v>
      </c>
      <c r="C58" s="2" t="s">
        <v>4444</v>
      </c>
      <c r="D58" s="6" t="s">
        <v>119</v>
      </c>
      <c r="F58" s="7" t="s">
        <v>4108</v>
      </c>
      <c r="G58" s="2" t="s">
        <v>4109</v>
      </c>
      <c r="H58" s="2" t="s">
        <v>35</v>
      </c>
      <c r="I58" s="2" t="s">
        <v>4127</v>
      </c>
      <c r="J58" s="2" t="s">
        <v>165</v>
      </c>
      <c r="K58" s="2" t="s">
        <v>4128</v>
      </c>
      <c r="L58" s="2" t="s">
        <v>82</v>
      </c>
      <c r="M58" s="2" t="s">
        <v>4129</v>
      </c>
      <c r="N58" s="2" t="s">
        <v>4130</v>
      </c>
      <c r="O58" s="2" t="s">
        <v>4131</v>
      </c>
      <c r="P58" s="2" t="s">
        <v>85</v>
      </c>
      <c r="Q58" s="2" t="s">
        <v>185</v>
      </c>
      <c r="R58" s="2" t="s">
        <v>4132</v>
      </c>
      <c r="S58" s="2">
        <v>2016</v>
      </c>
      <c r="T58" s="2" t="s">
        <v>4133</v>
      </c>
      <c r="U58" s="2" t="s">
        <v>37</v>
      </c>
      <c r="V58" s="2" t="s">
        <v>4109</v>
      </c>
      <c r="W58" s="2" t="s">
        <v>37</v>
      </c>
      <c r="X58" s="2" t="s">
        <v>37</v>
      </c>
      <c r="Y58" s="2" t="s">
        <v>4134</v>
      </c>
      <c r="AE58" s="2" t="s">
        <v>4135</v>
      </c>
      <c r="AG58" s="2" t="s">
        <v>4117</v>
      </c>
      <c r="AL58" s="2" t="s">
        <v>4136</v>
      </c>
      <c r="AM58" s="2" t="s">
        <v>4137</v>
      </c>
      <c r="AN58" s="2" t="s">
        <v>4138</v>
      </c>
      <c r="AO58" s="2" t="s">
        <v>4139</v>
      </c>
      <c r="AP58" s="2" t="s">
        <v>4140</v>
      </c>
      <c r="AR58" s="4"/>
      <c r="AS58" s="2" t="s">
        <v>4141</v>
      </c>
      <c r="AT58" s="2" t="s">
        <v>4142</v>
      </c>
      <c r="AU58" s="2" t="s">
        <v>4142</v>
      </c>
      <c r="AV58" s="2" t="s">
        <v>4109</v>
      </c>
      <c r="AW58" s="2" t="s">
        <v>37</v>
      </c>
      <c r="AX58" s="2" t="s">
        <v>4141</v>
      </c>
      <c r="AZ58" s="2" t="s">
        <v>4143</v>
      </c>
      <c r="BA58" s="2" t="s">
        <v>4144</v>
      </c>
      <c r="BB58" s="2" t="s">
        <v>4145</v>
      </c>
      <c r="BC58" s="3" t="s">
        <v>4146</v>
      </c>
      <c r="BD58" s="3" t="s">
        <v>4147</v>
      </c>
      <c r="BE58" s="2" t="s">
        <v>4148</v>
      </c>
    </row>
    <row r="59" spans="1:60" s="6" customFormat="1" ht="80.099999999999994" customHeight="1" x14ac:dyDescent="0.25">
      <c r="A59" s="2">
        <v>57</v>
      </c>
      <c r="B59" s="6">
        <v>716</v>
      </c>
      <c r="C59" s="2" t="s">
        <v>4444</v>
      </c>
      <c r="D59" s="6" t="s">
        <v>119</v>
      </c>
      <c r="F59" s="8" t="s">
        <v>4201</v>
      </c>
      <c r="G59" s="6" t="s">
        <v>4200</v>
      </c>
      <c r="H59" s="6" t="s">
        <v>35</v>
      </c>
      <c r="I59" s="6" t="s">
        <v>68</v>
      </c>
      <c r="J59" s="6" t="s">
        <v>36</v>
      </c>
      <c r="K59" s="6" t="s">
        <v>207</v>
      </c>
      <c r="L59" s="6" t="s">
        <v>82</v>
      </c>
      <c r="M59" s="6" t="s">
        <v>1567</v>
      </c>
      <c r="N59" s="6" t="s">
        <v>482</v>
      </c>
      <c r="O59" s="6" t="s">
        <v>83</v>
      </c>
      <c r="P59" s="6" t="s">
        <v>85</v>
      </c>
      <c r="Q59" s="6" t="s">
        <v>185</v>
      </c>
      <c r="R59" s="6">
        <v>1810222784</v>
      </c>
      <c r="S59" s="6">
        <v>2018</v>
      </c>
      <c r="T59" s="6" t="s">
        <v>89</v>
      </c>
      <c r="U59" s="6" t="s">
        <v>37</v>
      </c>
      <c r="V59" s="6" t="s">
        <v>215</v>
      </c>
      <c r="W59" s="6">
        <v>914</v>
      </c>
      <c r="X59" s="6">
        <f t="shared" ref="X59" si="7">W59/1000*100</f>
        <v>91.4</v>
      </c>
      <c r="Y59" s="6">
        <f>88+94+73+73+59+55+27+27</f>
        <v>496</v>
      </c>
      <c r="Z59" s="6">
        <v>530</v>
      </c>
      <c r="AA59" s="6">
        <f t="shared" ref="AA59" si="8">Y59/Z59*100</f>
        <v>93.584905660377359</v>
      </c>
      <c r="AB59" s="6">
        <f>70+75+51+46+73+73+59+55+27+27</f>
        <v>556</v>
      </c>
      <c r="AC59" s="6">
        <v>600</v>
      </c>
      <c r="AD59" s="6">
        <f t="shared" ref="AD59" si="9">AB59/AC59*100</f>
        <v>92.666666666666657</v>
      </c>
      <c r="AE59" s="6" t="s">
        <v>4211</v>
      </c>
      <c r="AF59" s="6" t="s">
        <v>790</v>
      </c>
      <c r="AG59" s="6" t="s">
        <v>4212</v>
      </c>
      <c r="AH59" s="6">
        <v>10000</v>
      </c>
      <c r="AI59" s="6">
        <v>215000</v>
      </c>
      <c r="AJ59" s="6">
        <v>27500</v>
      </c>
      <c r="AK59" s="6">
        <f t="shared" ref="AK59:AK60" si="10">AH59+AI59+AJ59</f>
        <v>252500</v>
      </c>
      <c r="AL59" s="6" t="s">
        <v>4213</v>
      </c>
      <c r="AM59" s="6" t="s">
        <v>78</v>
      </c>
      <c r="AN59" s="6" t="s">
        <v>4214</v>
      </c>
      <c r="AO59" s="6" t="s">
        <v>67</v>
      </c>
      <c r="AP59" s="6">
        <v>100000</v>
      </c>
      <c r="AQ59" s="6" t="s">
        <v>4215</v>
      </c>
      <c r="AR59" s="13" t="s">
        <v>4216</v>
      </c>
      <c r="AS59" s="6" t="s">
        <v>4218</v>
      </c>
      <c r="AT59" s="6" t="s">
        <v>482</v>
      </c>
      <c r="AU59" s="6" t="s">
        <v>169</v>
      </c>
      <c r="AV59" s="6" t="s">
        <v>215</v>
      </c>
      <c r="AW59" s="6">
        <v>518502</v>
      </c>
      <c r="AX59" s="6" t="s">
        <v>4218</v>
      </c>
      <c r="AZ59" s="6">
        <v>9703382265</v>
      </c>
      <c r="BA59" s="6">
        <v>9908386510</v>
      </c>
      <c r="BB59" s="6">
        <v>8247280459</v>
      </c>
      <c r="BD59" s="14" t="s">
        <v>4217</v>
      </c>
      <c r="BE59" s="6" t="s">
        <v>3964</v>
      </c>
      <c r="BF59" s="6" t="s">
        <v>144</v>
      </c>
    </row>
    <row r="60" spans="1:60" s="2" customFormat="1" ht="78" customHeight="1" x14ac:dyDescent="0.25">
      <c r="A60" s="2">
        <v>58</v>
      </c>
      <c r="B60" s="2">
        <v>1012</v>
      </c>
      <c r="C60" s="2" t="s">
        <v>4444</v>
      </c>
      <c r="D60" s="6" t="s">
        <v>119</v>
      </c>
      <c r="F60" s="8" t="s">
        <v>4380</v>
      </c>
      <c r="G60" s="2" t="s">
        <v>3484</v>
      </c>
      <c r="H60" s="2" t="s">
        <v>35</v>
      </c>
      <c r="I60" s="2" t="s">
        <v>68</v>
      </c>
      <c r="J60" s="2" t="s">
        <v>36</v>
      </c>
      <c r="K60" s="2" t="s">
        <v>2863</v>
      </c>
      <c r="L60" s="2" t="s">
        <v>82</v>
      </c>
      <c r="M60" s="2" t="s">
        <v>2324</v>
      </c>
      <c r="N60" s="2" t="s">
        <v>4160</v>
      </c>
      <c r="O60" s="2" t="s">
        <v>4399</v>
      </c>
      <c r="P60" s="2" t="s">
        <v>73</v>
      </c>
      <c r="Q60" s="2" t="s">
        <v>185</v>
      </c>
      <c r="S60" s="2">
        <v>2018</v>
      </c>
      <c r="T60" s="2" t="s">
        <v>4350</v>
      </c>
      <c r="U60" s="2" t="s">
        <v>37</v>
      </c>
      <c r="V60" s="2" t="s">
        <v>3484</v>
      </c>
      <c r="W60" s="2" t="s">
        <v>4400</v>
      </c>
      <c r="AE60" s="2" t="s">
        <v>4409</v>
      </c>
      <c r="AG60" s="2" t="s">
        <v>4383</v>
      </c>
      <c r="AH60" s="2">
        <v>68000</v>
      </c>
      <c r="AI60" s="2">
        <v>215000</v>
      </c>
      <c r="AK60" s="2">
        <f t="shared" si="10"/>
        <v>283000</v>
      </c>
      <c r="AL60" s="2" t="s">
        <v>4401</v>
      </c>
      <c r="AM60" s="2" t="s">
        <v>78</v>
      </c>
      <c r="AN60" s="2" t="s">
        <v>4402</v>
      </c>
      <c r="AO60" s="2" t="s">
        <v>2816</v>
      </c>
      <c r="AP60" s="2">
        <v>500000</v>
      </c>
      <c r="AR60" s="4" t="s">
        <v>4403</v>
      </c>
      <c r="AS60" s="2" t="s">
        <v>4410</v>
      </c>
      <c r="AT60" s="2" t="s">
        <v>4404</v>
      </c>
      <c r="AU60" s="2" t="s">
        <v>4405</v>
      </c>
      <c r="AV60" s="2" t="s">
        <v>188</v>
      </c>
      <c r="AW60" s="2">
        <v>845305</v>
      </c>
      <c r="AX60" s="2" t="s">
        <v>4406</v>
      </c>
      <c r="AZ60" s="2">
        <v>9065729910</v>
      </c>
      <c r="BA60" s="2" t="s">
        <v>4407</v>
      </c>
      <c r="BD60" s="3" t="s">
        <v>4408</v>
      </c>
      <c r="BF60" s="2" t="s">
        <v>4353</v>
      </c>
    </row>
    <row r="61" spans="1:60" s="1" customFormat="1" ht="74.25" customHeight="1" x14ac:dyDescent="0.25">
      <c r="A61" s="2">
        <v>59</v>
      </c>
      <c r="B61" s="2">
        <v>1015</v>
      </c>
      <c r="C61" s="2" t="s">
        <v>4444</v>
      </c>
      <c r="D61" s="2" t="s">
        <v>119</v>
      </c>
      <c r="E61" s="2"/>
      <c r="F61" s="7" t="s">
        <v>4427</v>
      </c>
      <c r="G61" s="2" t="s">
        <v>4428</v>
      </c>
      <c r="H61" s="2" t="s">
        <v>35</v>
      </c>
      <c r="I61" s="2" t="s">
        <v>68</v>
      </c>
      <c r="J61" s="2" t="s">
        <v>36</v>
      </c>
      <c r="K61" s="2" t="s">
        <v>1007</v>
      </c>
      <c r="L61" s="2" t="s">
        <v>82</v>
      </c>
      <c r="M61" s="2" t="s">
        <v>3368</v>
      </c>
      <c r="N61" s="2" t="s">
        <v>3341</v>
      </c>
      <c r="O61" s="2" t="s">
        <v>83</v>
      </c>
      <c r="P61" s="2" t="s">
        <v>73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 t="s">
        <v>4429</v>
      </c>
      <c r="AF61" s="2"/>
      <c r="AG61" s="2" t="s">
        <v>4383</v>
      </c>
      <c r="AH61" s="2" t="s">
        <v>3514</v>
      </c>
      <c r="AI61" s="2" t="s">
        <v>3515</v>
      </c>
      <c r="AJ61" s="2"/>
      <c r="AK61" s="2"/>
      <c r="AL61" s="2" t="s">
        <v>4430</v>
      </c>
      <c r="AM61" s="2" t="s">
        <v>78</v>
      </c>
      <c r="AN61" s="2" t="s">
        <v>4431</v>
      </c>
      <c r="AO61" s="2" t="s">
        <v>4432</v>
      </c>
      <c r="AP61" s="2">
        <v>5200000</v>
      </c>
      <c r="AQ61" s="2"/>
      <c r="AR61" s="4" t="s">
        <v>4433</v>
      </c>
      <c r="AS61" s="2" t="s">
        <v>4434</v>
      </c>
      <c r="AT61" s="2" t="s">
        <v>4435</v>
      </c>
      <c r="AU61" s="2" t="s">
        <v>3341</v>
      </c>
      <c r="AV61" s="2" t="s">
        <v>152</v>
      </c>
      <c r="AW61" s="2">
        <v>641006</v>
      </c>
      <c r="AX61" s="2" t="s">
        <v>4436</v>
      </c>
      <c r="AY61" s="2" t="s">
        <v>4437</v>
      </c>
      <c r="AZ61" s="2">
        <v>8861041084</v>
      </c>
      <c r="BA61" s="2">
        <v>6590110966</v>
      </c>
      <c r="BB61" s="2">
        <v>6588699429</v>
      </c>
      <c r="BC61" s="3" t="s">
        <v>4441</v>
      </c>
      <c r="BD61" s="3" t="s">
        <v>4438</v>
      </c>
      <c r="BE61" s="2" t="s">
        <v>4439</v>
      </c>
      <c r="BF61" s="2" t="s">
        <v>4440</v>
      </c>
      <c r="BG61" s="2"/>
      <c r="BH61" s="2"/>
    </row>
  </sheetData>
  <mergeCells count="56">
    <mergeCell ref="BE1:BE2"/>
    <mergeCell ref="BF1:BF2"/>
    <mergeCell ref="AY1:AY2"/>
    <mergeCell ref="AZ1:AZ2"/>
    <mergeCell ref="BA1:BA2"/>
    <mergeCell ref="BB1:BB2"/>
    <mergeCell ref="BC1:BC2"/>
    <mergeCell ref="BD1:BD2"/>
    <mergeCell ref="AX1:AX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L1:AL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Z1:Z2"/>
    <mergeCell ref="N1:N2"/>
    <mergeCell ref="O1:O2"/>
    <mergeCell ref="P1:P2"/>
    <mergeCell ref="Q1:Q2"/>
    <mergeCell ref="R1:R2"/>
    <mergeCell ref="S1:S2"/>
    <mergeCell ref="T1:T2"/>
    <mergeCell ref="U1:V1"/>
    <mergeCell ref="W1:W2"/>
    <mergeCell ref="X1:X2"/>
    <mergeCell ref="Y1:Y2"/>
    <mergeCell ref="M1:M2"/>
    <mergeCell ref="A1:A2"/>
    <mergeCell ref="B1:B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BE9:BF9">
    <cfRule type="duplicateValues" dxfId="5" priority="3"/>
  </conditionalFormatting>
  <conditionalFormatting sqref="BE48:BF48">
    <cfRule type="duplicateValues" dxfId="4" priority="2"/>
  </conditionalFormatting>
  <conditionalFormatting sqref="BE51:BF51">
    <cfRule type="duplicateValues" dxfId="3" priority="1"/>
  </conditionalFormatting>
  <hyperlinks>
    <hyperlink ref="BC3" r:id="rId1"/>
    <hyperlink ref="BD3" r:id="rId2"/>
    <hyperlink ref="BD5" r:id="rId3"/>
    <hyperlink ref="BD6" r:id="rId4"/>
    <hyperlink ref="BC7" r:id="rId5"/>
    <hyperlink ref="BD7" r:id="rId6"/>
    <hyperlink ref="BD8" r:id="rId7"/>
    <hyperlink ref="BD9" r:id="rId8"/>
    <hyperlink ref="BD10" r:id="rId9"/>
    <hyperlink ref="BD11" r:id="rId10"/>
    <hyperlink ref="BC12" r:id="rId11"/>
    <hyperlink ref="BD12" r:id="rId12"/>
    <hyperlink ref="BC13" r:id="rId13"/>
    <hyperlink ref="BD13" r:id="rId14"/>
    <hyperlink ref="BD14" r:id="rId15"/>
    <hyperlink ref="BD15" r:id="rId16"/>
    <hyperlink ref="BC16" r:id="rId17"/>
    <hyperlink ref="BD16" r:id="rId18"/>
    <hyperlink ref="BD17" r:id="rId19"/>
    <hyperlink ref="BD18" r:id="rId20"/>
    <hyperlink ref="BC19" r:id="rId21"/>
    <hyperlink ref="BD19" r:id="rId22"/>
    <hyperlink ref="BD20" r:id="rId23"/>
    <hyperlink ref="BC21" r:id="rId24"/>
    <hyperlink ref="BD21" r:id="rId25"/>
    <hyperlink ref="BD22" r:id="rId26"/>
    <hyperlink ref="BC23" r:id="rId27"/>
    <hyperlink ref="BD23" r:id="rId28"/>
    <hyperlink ref="BD24" r:id="rId29"/>
    <hyperlink ref="BD25" r:id="rId30"/>
    <hyperlink ref="BC26" r:id="rId31"/>
    <hyperlink ref="BD26" r:id="rId32"/>
    <hyperlink ref="BC27" r:id="rId33"/>
    <hyperlink ref="BD27" r:id="rId34"/>
    <hyperlink ref="BC28" r:id="rId35"/>
    <hyperlink ref="BD28" r:id="rId36"/>
    <hyperlink ref="BC29" r:id="rId37"/>
    <hyperlink ref="BD29" r:id="rId38"/>
    <hyperlink ref="BD30" r:id="rId39"/>
    <hyperlink ref="BD31" r:id="rId40"/>
    <hyperlink ref="BC32" r:id="rId41"/>
    <hyperlink ref="BD32" r:id="rId42"/>
    <hyperlink ref="BC33" r:id="rId43"/>
    <hyperlink ref="BD33" r:id="rId44"/>
    <hyperlink ref="BC34" r:id="rId45"/>
    <hyperlink ref="BD34" r:id="rId46"/>
    <hyperlink ref="BC35" r:id="rId47"/>
    <hyperlink ref="BD35" r:id="rId48"/>
    <hyperlink ref="BD36" r:id="rId49"/>
    <hyperlink ref="BC38" r:id="rId50"/>
    <hyperlink ref="BD38" r:id="rId51"/>
    <hyperlink ref="BD37" r:id="rId52"/>
    <hyperlink ref="BC39" r:id="rId53"/>
    <hyperlink ref="BD39" r:id="rId54"/>
    <hyperlink ref="BD40" r:id="rId55"/>
    <hyperlink ref="BC41" r:id="rId56"/>
    <hyperlink ref="BD41" r:id="rId57"/>
    <hyperlink ref="BC42" r:id="rId58"/>
    <hyperlink ref="BD42" r:id="rId59"/>
    <hyperlink ref="BC43" r:id="rId60"/>
    <hyperlink ref="BD43" r:id="rId61"/>
    <hyperlink ref="BC44" r:id="rId62"/>
    <hyperlink ref="BD44" r:id="rId63"/>
    <hyperlink ref="BC45" r:id="rId64"/>
    <hyperlink ref="BD45" r:id="rId65"/>
    <hyperlink ref="BC46" r:id="rId66"/>
    <hyperlink ref="BD46" r:id="rId67"/>
    <hyperlink ref="BC47" r:id="rId68"/>
    <hyperlink ref="BD47" r:id="rId69"/>
    <hyperlink ref="BC48" r:id="rId70"/>
    <hyperlink ref="BD48" r:id="rId71"/>
    <hyperlink ref="BC49" r:id="rId72"/>
    <hyperlink ref="BD49" r:id="rId73"/>
    <hyperlink ref="BC50" r:id="rId74"/>
    <hyperlink ref="BD50" r:id="rId75"/>
    <hyperlink ref="BC51" r:id="rId76"/>
    <hyperlink ref="BD51" r:id="rId77"/>
    <hyperlink ref="BD52" r:id="rId78"/>
    <hyperlink ref="BC54" r:id="rId79"/>
    <hyperlink ref="BD55" r:id="rId80"/>
    <hyperlink ref="BC56" r:id="rId81"/>
    <hyperlink ref="BD56" r:id="rId82"/>
    <hyperlink ref="BC57" r:id="rId83"/>
    <hyperlink ref="BD57" r:id="rId84"/>
    <hyperlink ref="BC58" r:id="rId85"/>
    <hyperlink ref="BD58" r:id="rId86"/>
    <hyperlink ref="BD59" r:id="rId87"/>
    <hyperlink ref="BD53" r:id="rId88"/>
    <hyperlink ref="BD60" r:id="rId89"/>
    <hyperlink ref="BC61" r:id="rId90"/>
    <hyperlink ref="BD61" r:id="rId9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BG54"/>
  <sheetViews>
    <sheetView topLeftCell="A51" workbookViewId="0">
      <selection activeCell="E1" sqref="E1:E2"/>
    </sheetView>
  </sheetViews>
  <sheetFormatPr defaultRowHeight="15" x14ac:dyDescent="0.25"/>
  <cols>
    <col min="1" max="1" width="6" customWidth="1"/>
    <col min="6" max="6" width="25.85546875" customWidth="1"/>
    <col min="13" max="14" width="12.85546875" customWidth="1"/>
    <col min="20" max="20" width="20.5703125" customWidth="1"/>
    <col min="21" max="21" width="14" customWidth="1"/>
    <col min="22" max="22" width="13.28515625" customWidth="1"/>
    <col min="31" max="51" width="23.42578125" customWidth="1"/>
    <col min="52" max="52" width="14.7109375" bestFit="1" customWidth="1"/>
    <col min="53" max="53" width="13.85546875" bestFit="1" customWidth="1"/>
    <col min="54" max="54" width="14.28515625" bestFit="1" customWidth="1"/>
    <col min="55" max="55" width="14.5703125" bestFit="1" customWidth="1"/>
    <col min="56" max="56" width="10" bestFit="1" customWidth="1"/>
    <col min="57" max="57" width="22.28515625" bestFit="1" customWidth="1"/>
    <col min="58" max="58" width="11.42578125" bestFit="1" customWidth="1"/>
  </cols>
  <sheetData>
    <row r="1" spans="1:59" s="1" customFormat="1" ht="30.75" customHeight="1" x14ac:dyDescent="0.25">
      <c r="A1" s="46" t="s">
        <v>34</v>
      </c>
      <c r="B1" s="48" t="s">
        <v>57</v>
      </c>
      <c r="C1" s="36"/>
      <c r="D1" s="49" t="s">
        <v>0</v>
      </c>
      <c r="E1" s="46" t="s">
        <v>28</v>
      </c>
      <c r="F1" s="46" t="s">
        <v>1</v>
      </c>
      <c r="G1" s="49" t="s">
        <v>2</v>
      </c>
      <c r="H1" s="49" t="s">
        <v>3</v>
      </c>
      <c r="I1" s="49" t="s">
        <v>4</v>
      </c>
      <c r="J1" s="49" t="s">
        <v>5</v>
      </c>
      <c r="K1" s="46" t="s">
        <v>6</v>
      </c>
      <c r="L1" s="49" t="s">
        <v>10</v>
      </c>
      <c r="M1" s="45" t="s">
        <v>7</v>
      </c>
      <c r="N1" s="50" t="s">
        <v>8</v>
      </c>
      <c r="O1" s="49" t="s">
        <v>9</v>
      </c>
      <c r="P1" s="46" t="s">
        <v>43</v>
      </c>
      <c r="Q1" s="49" t="s">
        <v>11</v>
      </c>
      <c r="R1" s="51" t="s">
        <v>31</v>
      </c>
      <c r="S1" s="52" t="s">
        <v>12</v>
      </c>
      <c r="T1" s="46" t="s">
        <v>13</v>
      </c>
      <c r="U1" s="53" t="s">
        <v>27</v>
      </c>
      <c r="V1" s="54"/>
      <c r="W1" s="46" t="s">
        <v>44</v>
      </c>
      <c r="X1" s="46" t="s">
        <v>52</v>
      </c>
      <c r="Y1" s="46" t="s">
        <v>32</v>
      </c>
      <c r="Z1" s="49" t="s">
        <v>40</v>
      </c>
      <c r="AA1" s="49" t="s">
        <v>39</v>
      </c>
      <c r="AB1" s="49" t="s">
        <v>14</v>
      </c>
      <c r="AC1" s="46" t="s">
        <v>66</v>
      </c>
      <c r="AD1" s="49" t="s">
        <v>33</v>
      </c>
      <c r="AE1" s="46" t="s">
        <v>42</v>
      </c>
      <c r="AF1" s="49" t="s">
        <v>41</v>
      </c>
      <c r="AG1" s="49" t="s">
        <v>15</v>
      </c>
      <c r="AH1" s="46" t="s">
        <v>55</v>
      </c>
      <c r="AI1" s="46" t="s">
        <v>29</v>
      </c>
      <c r="AJ1" s="46" t="s">
        <v>45</v>
      </c>
      <c r="AK1" s="46" t="s">
        <v>56</v>
      </c>
      <c r="AL1" s="49" t="s">
        <v>16</v>
      </c>
      <c r="AM1" s="46" t="s">
        <v>17</v>
      </c>
      <c r="AN1" s="49" t="s">
        <v>18</v>
      </c>
      <c r="AO1" s="49" t="s">
        <v>17</v>
      </c>
      <c r="AP1" s="49" t="s">
        <v>19</v>
      </c>
      <c r="AQ1" s="49" t="s">
        <v>47</v>
      </c>
      <c r="AR1" s="55" t="s">
        <v>48</v>
      </c>
      <c r="AS1" s="49" t="s">
        <v>46</v>
      </c>
      <c r="AT1" s="49" t="s">
        <v>25</v>
      </c>
      <c r="AU1" s="49" t="s">
        <v>30</v>
      </c>
      <c r="AV1" s="49" t="s">
        <v>27</v>
      </c>
      <c r="AW1" s="49" t="s">
        <v>20</v>
      </c>
      <c r="AX1" s="49" t="s">
        <v>26</v>
      </c>
      <c r="AY1" s="49" t="s">
        <v>21</v>
      </c>
      <c r="AZ1" s="46" t="s">
        <v>49</v>
      </c>
      <c r="BA1" s="46" t="s">
        <v>50</v>
      </c>
      <c r="BB1" s="49" t="s">
        <v>51</v>
      </c>
      <c r="BC1" s="49" t="s">
        <v>53</v>
      </c>
      <c r="BD1" s="49" t="s">
        <v>54</v>
      </c>
      <c r="BE1" s="46" t="s">
        <v>145</v>
      </c>
      <c r="BF1" s="46" t="s">
        <v>22</v>
      </c>
    </row>
    <row r="2" spans="1:59" s="1" customFormat="1" ht="25.5" x14ac:dyDescent="0.25">
      <c r="A2" s="47"/>
      <c r="B2" s="48"/>
      <c r="C2" s="36"/>
      <c r="D2" s="49"/>
      <c r="E2" s="47"/>
      <c r="F2" s="47"/>
      <c r="G2" s="49"/>
      <c r="H2" s="49"/>
      <c r="I2" s="49"/>
      <c r="J2" s="49"/>
      <c r="K2" s="47"/>
      <c r="L2" s="49"/>
      <c r="M2" s="45"/>
      <c r="N2" s="50"/>
      <c r="O2" s="49"/>
      <c r="P2" s="47"/>
      <c r="Q2" s="49"/>
      <c r="R2" s="51"/>
      <c r="S2" s="52"/>
      <c r="T2" s="47"/>
      <c r="U2" s="23" t="s">
        <v>23</v>
      </c>
      <c r="V2" s="23" t="s">
        <v>24</v>
      </c>
      <c r="W2" s="47"/>
      <c r="X2" s="47"/>
      <c r="Y2" s="47"/>
      <c r="Z2" s="49"/>
      <c r="AA2" s="49"/>
      <c r="AB2" s="49"/>
      <c r="AC2" s="47"/>
      <c r="AD2" s="49"/>
      <c r="AE2" s="47"/>
      <c r="AF2" s="49"/>
      <c r="AG2" s="49"/>
      <c r="AH2" s="47"/>
      <c r="AI2" s="47"/>
      <c r="AJ2" s="47"/>
      <c r="AK2" s="47"/>
      <c r="AL2" s="49"/>
      <c r="AM2" s="47"/>
      <c r="AN2" s="49"/>
      <c r="AO2" s="49"/>
      <c r="AP2" s="49"/>
      <c r="AQ2" s="49"/>
      <c r="AR2" s="56"/>
      <c r="AS2" s="49"/>
      <c r="AT2" s="49"/>
      <c r="AU2" s="49"/>
      <c r="AV2" s="49"/>
      <c r="AW2" s="49"/>
      <c r="AX2" s="49"/>
      <c r="AY2" s="49"/>
      <c r="AZ2" s="47"/>
      <c r="BA2" s="47"/>
      <c r="BB2" s="49"/>
      <c r="BC2" s="49"/>
      <c r="BD2" s="49"/>
      <c r="BE2" s="47"/>
      <c r="BF2" s="47"/>
    </row>
    <row r="3" spans="1:59" s="11" customFormat="1" ht="80.099999999999994" customHeight="1" x14ac:dyDescent="0.25">
      <c r="A3" s="2">
        <v>1</v>
      </c>
      <c r="B3" s="2">
        <v>21</v>
      </c>
      <c r="C3" s="2" t="s">
        <v>4444</v>
      </c>
      <c r="D3" s="2" t="s">
        <v>392</v>
      </c>
      <c r="E3" s="2"/>
      <c r="F3" s="7" t="s">
        <v>156</v>
      </c>
      <c r="G3" s="2" t="s">
        <v>38</v>
      </c>
      <c r="H3" s="2" t="s">
        <v>35</v>
      </c>
      <c r="I3" s="2" t="s">
        <v>68</v>
      </c>
      <c r="J3" s="2" t="s">
        <v>158</v>
      </c>
      <c r="K3" s="2" t="s">
        <v>159</v>
      </c>
      <c r="L3" s="2" t="s">
        <v>82</v>
      </c>
      <c r="M3" s="2" t="s">
        <v>160</v>
      </c>
      <c r="N3" s="2" t="s">
        <v>161</v>
      </c>
      <c r="O3" s="2" t="s">
        <v>162</v>
      </c>
      <c r="P3" s="2" t="s">
        <v>73</v>
      </c>
      <c r="Q3" s="2" t="s">
        <v>74</v>
      </c>
      <c r="R3" s="2">
        <v>1760212869</v>
      </c>
      <c r="S3" s="2">
        <v>2018</v>
      </c>
      <c r="T3" s="2" t="s">
        <v>75</v>
      </c>
      <c r="U3" s="2" t="s">
        <v>37</v>
      </c>
      <c r="V3" s="2" t="s">
        <v>76</v>
      </c>
      <c r="W3" s="2">
        <v>811</v>
      </c>
      <c r="X3" s="2">
        <f>W3/1000*100</f>
        <v>81.100000000000009</v>
      </c>
      <c r="Y3" s="2">
        <f>87+97+51+41+46+29+23+28</f>
        <v>402</v>
      </c>
      <c r="Z3" s="2">
        <v>530</v>
      </c>
      <c r="AA3" s="2">
        <f t="shared" ref="AA3:AA34" si="0">Y3/Z3*100</f>
        <v>75.84905660377359</v>
      </c>
      <c r="AB3" s="2">
        <f>67+56+54+49+51+41+46+29+23+28</f>
        <v>444</v>
      </c>
      <c r="AC3" s="2">
        <v>600</v>
      </c>
      <c r="AD3" s="2">
        <f t="shared" ref="AD3:AD34" si="1">AB3/AC3*100</f>
        <v>74</v>
      </c>
      <c r="AE3" s="2" t="s">
        <v>170</v>
      </c>
      <c r="AF3" s="2" t="s">
        <v>166</v>
      </c>
      <c r="AG3" s="2" t="s">
        <v>166</v>
      </c>
      <c r="AH3" s="2">
        <v>10000</v>
      </c>
      <c r="AI3" s="2">
        <v>215000</v>
      </c>
      <c r="AJ3" s="2">
        <v>27500</v>
      </c>
      <c r="AK3" s="2">
        <f t="shared" ref="AK3:AK34" si="2">AH3+AI3+AJ3</f>
        <v>252500</v>
      </c>
      <c r="AL3" s="2" t="s">
        <v>171</v>
      </c>
      <c r="AM3" s="2" t="s">
        <v>173</v>
      </c>
      <c r="AN3" s="2" t="s">
        <v>172</v>
      </c>
      <c r="AO3" s="2" t="s">
        <v>179</v>
      </c>
      <c r="AP3" s="2">
        <v>720000</v>
      </c>
      <c r="AQ3" s="2" t="s">
        <v>180</v>
      </c>
      <c r="AR3" s="4" t="s">
        <v>174</v>
      </c>
      <c r="AS3" s="2" t="s">
        <v>181</v>
      </c>
      <c r="AT3" s="2" t="s">
        <v>176</v>
      </c>
      <c r="AU3" s="2" t="s">
        <v>76</v>
      </c>
      <c r="AV3" s="2" t="s">
        <v>177</v>
      </c>
      <c r="AW3" s="2"/>
      <c r="AX3" s="2" t="s">
        <v>175</v>
      </c>
      <c r="AY3" s="2"/>
      <c r="AZ3" s="2">
        <v>6300965871</v>
      </c>
      <c r="BA3" s="2">
        <v>9491162467</v>
      </c>
      <c r="BB3" s="2">
        <v>9515205967</v>
      </c>
      <c r="BC3" s="3" t="s">
        <v>178</v>
      </c>
      <c r="BD3" s="3" t="s">
        <v>182</v>
      </c>
      <c r="BE3" s="2" t="s">
        <v>3383</v>
      </c>
      <c r="BF3" s="2" t="s">
        <v>3384</v>
      </c>
      <c r="BG3" s="2"/>
    </row>
    <row r="4" spans="1:59" s="11" customFormat="1" ht="80.099999999999994" customHeight="1" x14ac:dyDescent="0.25">
      <c r="A4" s="2">
        <v>2</v>
      </c>
      <c r="B4" s="2">
        <v>58</v>
      </c>
      <c r="C4" s="2" t="s">
        <v>4444</v>
      </c>
      <c r="D4" s="2" t="s">
        <v>392</v>
      </c>
      <c r="E4" s="2"/>
      <c r="F4" s="7" t="s">
        <v>393</v>
      </c>
      <c r="G4" s="2" t="s">
        <v>38</v>
      </c>
      <c r="H4" s="2" t="s">
        <v>92</v>
      </c>
      <c r="I4" s="2" t="s">
        <v>68</v>
      </c>
      <c r="J4" s="2" t="s">
        <v>36</v>
      </c>
      <c r="K4" s="2" t="s">
        <v>157</v>
      </c>
      <c r="L4" s="2" t="s">
        <v>82</v>
      </c>
      <c r="M4" s="2" t="s">
        <v>394</v>
      </c>
      <c r="N4" s="2" t="s">
        <v>95</v>
      </c>
      <c r="O4" s="2" t="s">
        <v>395</v>
      </c>
      <c r="P4" s="2" t="s">
        <v>62</v>
      </c>
      <c r="Q4" s="2" t="s">
        <v>63</v>
      </c>
      <c r="R4" s="2">
        <v>403878</v>
      </c>
      <c r="S4" s="2">
        <v>2018</v>
      </c>
      <c r="T4" s="2" t="s">
        <v>64</v>
      </c>
      <c r="U4" s="2" t="s">
        <v>65</v>
      </c>
      <c r="V4" s="2" t="s">
        <v>37</v>
      </c>
      <c r="W4" s="2" t="s">
        <v>37</v>
      </c>
      <c r="X4" s="2" t="s">
        <v>37</v>
      </c>
      <c r="Y4" s="2">
        <v>414</v>
      </c>
      <c r="Z4" s="2">
        <v>600</v>
      </c>
      <c r="AA4" s="2">
        <f t="shared" si="0"/>
        <v>69</v>
      </c>
      <c r="AB4" s="2">
        <f>63+59+74</f>
        <v>196</v>
      </c>
      <c r="AC4" s="2">
        <v>300</v>
      </c>
      <c r="AD4" s="2">
        <f t="shared" si="1"/>
        <v>65.333333333333329</v>
      </c>
      <c r="AE4" s="2" t="s">
        <v>396</v>
      </c>
      <c r="AF4" s="2" t="s">
        <v>166</v>
      </c>
      <c r="AG4" s="2" t="s">
        <v>397</v>
      </c>
      <c r="AH4" s="2">
        <v>10000</v>
      </c>
      <c r="AI4" s="2">
        <v>215000</v>
      </c>
      <c r="AJ4" s="2">
        <v>27500</v>
      </c>
      <c r="AK4" s="2">
        <f t="shared" si="2"/>
        <v>252500</v>
      </c>
      <c r="AL4" s="2" t="s">
        <v>398</v>
      </c>
      <c r="AM4" s="2" t="s">
        <v>78</v>
      </c>
      <c r="AN4" s="2" t="s">
        <v>399</v>
      </c>
      <c r="AO4" s="2" t="s">
        <v>187</v>
      </c>
      <c r="AP4" s="2">
        <v>2900000</v>
      </c>
      <c r="AQ4" s="2" t="s">
        <v>400</v>
      </c>
      <c r="AR4" s="4" t="s">
        <v>401</v>
      </c>
      <c r="AS4" s="2" t="s">
        <v>402</v>
      </c>
      <c r="AT4" s="2" t="s">
        <v>403</v>
      </c>
      <c r="AU4" s="2" t="s">
        <v>95</v>
      </c>
      <c r="AV4" s="2" t="s">
        <v>65</v>
      </c>
      <c r="AW4" s="2">
        <v>560078</v>
      </c>
      <c r="AX4" s="2" t="s">
        <v>402</v>
      </c>
      <c r="AY4" s="2" t="s">
        <v>404</v>
      </c>
      <c r="AZ4" s="2">
        <v>8105930126</v>
      </c>
      <c r="BA4" s="2">
        <v>9880524177</v>
      </c>
      <c r="BB4" s="2">
        <v>9945896911</v>
      </c>
      <c r="BC4" s="3" t="s">
        <v>405</v>
      </c>
      <c r="BD4" s="3" t="s">
        <v>406</v>
      </c>
      <c r="BE4" s="2" t="s">
        <v>1561</v>
      </c>
      <c r="BF4" s="2"/>
      <c r="BG4" s="2"/>
    </row>
    <row r="5" spans="1:59" s="6" customFormat="1" ht="80.099999999999994" customHeight="1" x14ac:dyDescent="0.25">
      <c r="A5" s="2">
        <v>3</v>
      </c>
      <c r="B5" s="6">
        <v>104</v>
      </c>
      <c r="C5" s="2" t="s">
        <v>4444</v>
      </c>
      <c r="D5" s="6" t="s">
        <v>392</v>
      </c>
      <c r="E5" s="2"/>
      <c r="F5" s="8" t="s">
        <v>597</v>
      </c>
      <c r="G5" s="6" t="s">
        <v>38</v>
      </c>
      <c r="H5" s="6" t="s">
        <v>35</v>
      </c>
      <c r="I5" s="2" t="s">
        <v>68</v>
      </c>
      <c r="J5" s="2" t="s">
        <v>36</v>
      </c>
      <c r="K5" s="2" t="s">
        <v>81</v>
      </c>
      <c r="L5" s="2" t="s">
        <v>82</v>
      </c>
      <c r="M5" s="2" t="s">
        <v>71</v>
      </c>
      <c r="N5" s="2" t="s">
        <v>169</v>
      </c>
      <c r="O5" s="2" t="s">
        <v>83</v>
      </c>
      <c r="P5" s="2" t="s">
        <v>85</v>
      </c>
      <c r="Q5" s="2" t="s">
        <v>185</v>
      </c>
      <c r="R5" s="2">
        <v>1810219358</v>
      </c>
      <c r="S5" s="2">
        <v>2018</v>
      </c>
      <c r="T5" s="2" t="s">
        <v>89</v>
      </c>
      <c r="U5" s="2" t="s">
        <v>37</v>
      </c>
      <c r="V5" s="2" t="s">
        <v>215</v>
      </c>
      <c r="W5" s="2">
        <v>726</v>
      </c>
      <c r="X5" s="2">
        <f>W5/1000*100</f>
        <v>72.599999999999994</v>
      </c>
      <c r="Y5" s="2">
        <f>61+62+62+57+37+47+30+27</f>
        <v>383</v>
      </c>
      <c r="Z5" s="2">
        <v>530</v>
      </c>
      <c r="AA5" s="2">
        <f t="shared" si="0"/>
        <v>72.264150943396217</v>
      </c>
      <c r="AB5" s="2">
        <f>57+66+45+42+62+57+37+47+30+27</f>
        <v>470</v>
      </c>
      <c r="AC5" s="2">
        <v>600</v>
      </c>
      <c r="AD5" s="2">
        <f t="shared" si="1"/>
        <v>78.333333333333329</v>
      </c>
      <c r="AE5" s="2" t="s">
        <v>642</v>
      </c>
      <c r="AF5" s="2" t="s">
        <v>576</v>
      </c>
      <c r="AG5" s="2" t="s">
        <v>576</v>
      </c>
      <c r="AH5" s="2">
        <v>10000</v>
      </c>
      <c r="AI5" s="2">
        <v>215000</v>
      </c>
      <c r="AJ5" s="2">
        <v>27500</v>
      </c>
      <c r="AK5" s="2">
        <f t="shared" si="2"/>
        <v>252500</v>
      </c>
      <c r="AL5" s="2" t="s">
        <v>643</v>
      </c>
      <c r="AM5" s="2" t="s">
        <v>78</v>
      </c>
      <c r="AN5" s="2" t="s">
        <v>644</v>
      </c>
      <c r="AO5" s="2" t="s">
        <v>139</v>
      </c>
      <c r="AP5" s="2">
        <v>200000</v>
      </c>
      <c r="AQ5" s="2" t="s">
        <v>645</v>
      </c>
      <c r="AR5" s="4" t="s">
        <v>648</v>
      </c>
      <c r="AS5" s="2" t="s">
        <v>646</v>
      </c>
      <c r="AT5" s="2" t="s">
        <v>647</v>
      </c>
      <c r="AU5" s="2" t="s">
        <v>169</v>
      </c>
      <c r="AV5" s="2" t="s">
        <v>215</v>
      </c>
      <c r="AW5" s="2">
        <v>518001</v>
      </c>
      <c r="AX5" s="2" t="s">
        <v>646</v>
      </c>
      <c r="AY5" s="2"/>
      <c r="AZ5" s="2">
        <v>9948041474</v>
      </c>
      <c r="BA5" s="2">
        <v>9704548548</v>
      </c>
      <c r="BB5" s="2"/>
      <c r="BC5" s="2"/>
      <c r="BD5" s="3" t="s">
        <v>649</v>
      </c>
      <c r="BE5" s="2" t="s">
        <v>3311</v>
      </c>
      <c r="BF5" s="2" t="s">
        <v>144</v>
      </c>
      <c r="BG5" s="2"/>
    </row>
    <row r="6" spans="1:59" s="26" customFormat="1" ht="80.099999999999994" customHeight="1" x14ac:dyDescent="0.25">
      <c r="A6" s="2">
        <v>4</v>
      </c>
      <c r="B6" s="6">
        <v>119</v>
      </c>
      <c r="C6" s="2" t="s">
        <v>4444</v>
      </c>
      <c r="D6" s="6" t="s">
        <v>392</v>
      </c>
      <c r="E6" s="2"/>
      <c r="F6" s="8" t="s">
        <v>680</v>
      </c>
      <c r="G6" s="6" t="s">
        <v>38</v>
      </c>
      <c r="H6" s="6" t="s">
        <v>35</v>
      </c>
      <c r="I6" s="2" t="s">
        <v>68</v>
      </c>
      <c r="J6" s="2" t="s">
        <v>36</v>
      </c>
      <c r="K6" s="2" t="s">
        <v>114</v>
      </c>
      <c r="L6" s="2" t="s">
        <v>82</v>
      </c>
      <c r="M6" s="2" t="s">
        <v>697</v>
      </c>
      <c r="N6" s="2" t="s">
        <v>482</v>
      </c>
      <c r="O6" s="2" t="s">
        <v>83</v>
      </c>
      <c r="P6" s="2" t="s">
        <v>85</v>
      </c>
      <c r="Q6" s="2" t="s">
        <v>185</v>
      </c>
      <c r="R6" s="2">
        <v>1805219552</v>
      </c>
      <c r="S6" s="2">
        <v>2018</v>
      </c>
      <c r="T6" s="2" t="s">
        <v>89</v>
      </c>
      <c r="U6" s="2" t="s">
        <v>37</v>
      </c>
      <c r="V6" s="2" t="s">
        <v>215</v>
      </c>
      <c r="W6" s="2">
        <v>946</v>
      </c>
      <c r="X6" s="2">
        <f>W6/1000*100</f>
        <v>94.6</v>
      </c>
      <c r="Y6" s="2">
        <f>92+97+73+72+56+55+29+30</f>
        <v>504</v>
      </c>
      <c r="Z6" s="2">
        <v>530</v>
      </c>
      <c r="AA6" s="2">
        <f t="shared" si="0"/>
        <v>95.094339622641513</v>
      </c>
      <c r="AB6" s="2">
        <f>67+74+58+57+73+72+56+55+29+30</f>
        <v>571</v>
      </c>
      <c r="AC6" s="2">
        <v>600</v>
      </c>
      <c r="AD6" s="2">
        <f t="shared" si="1"/>
        <v>95.166666666666671</v>
      </c>
      <c r="AE6" s="2" t="s">
        <v>676</v>
      </c>
      <c r="AF6" s="2" t="s">
        <v>678</v>
      </c>
      <c r="AG6" s="2" t="s">
        <v>678</v>
      </c>
      <c r="AH6" s="2">
        <v>10000</v>
      </c>
      <c r="AI6" s="2">
        <v>215000</v>
      </c>
      <c r="AJ6" s="2">
        <v>27500</v>
      </c>
      <c r="AK6" s="2">
        <f t="shared" si="2"/>
        <v>252500</v>
      </c>
      <c r="AL6" s="2" t="s">
        <v>698</v>
      </c>
      <c r="AM6" s="2" t="s">
        <v>78</v>
      </c>
      <c r="AN6" s="2" t="s">
        <v>699</v>
      </c>
      <c r="AO6" s="2" t="s">
        <v>139</v>
      </c>
      <c r="AP6" s="2" t="s">
        <v>700</v>
      </c>
      <c r="AQ6" s="2" t="s">
        <v>3380</v>
      </c>
      <c r="AR6" s="4" t="s">
        <v>701</v>
      </c>
      <c r="AS6" s="2" t="s">
        <v>702</v>
      </c>
      <c r="AT6" s="2" t="s">
        <v>482</v>
      </c>
      <c r="AU6" s="2" t="s">
        <v>169</v>
      </c>
      <c r="AV6" s="2" t="s">
        <v>215</v>
      </c>
      <c r="AW6" s="2">
        <v>518501</v>
      </c>
      <c r="AX6" s="2" t="s">
        <v>702</v>
      </c>
      <c r="AY6" s="2"/>
      <c r="AZ6" s="2">
        <v>9966564024</v>
      </c>
      <c r="BA6" s="2">
        <v>9866438338</v>
      </c>
      <c r="BB6" s="2"/>
      <c r="BC6" s="2"/>
      <c r="BD6" s="3" t="s">
        <v>703</v>
      </c>
      <c r="BE6" s="2" t="s">
        <v>3381</v>
      </c>
      <c r="BF6" s="2" t="s">
        <v>144</v>
      </c>
      <c r="BG6" s="2"/>
    </row>
    <row r="7" spans="1:59" s="6" customFormat="1" ht="80.099999999999994" customHeight="1" x14ac:dyDescent="0.25">
      <c r="A7" s="2">
        <v>5</v>
      </c>
      <c r="B7" s="9">
        <v>125</v>
      </c>
      <c r="C7" s="2" t="s">
        <v>4444</v>
      </c>
      <c r="D7" s="9" t="s">
        <v>392</v>
      </c>
      <c r="E7" s="2"/>
      <c r="F7" s="10" t="s">
        <v>719</v>
      </c>
      <c r="G7" s="9" t="s">
        <v>38</v>
      </c>
      <c r="H7" s="9" t="s">
        <v>35</v>
      </c>
      <c r="I7" s="2" t="s">
        <v>68</v>
      </c>
      <c r="J7" s="2" t="s">
        <v>36</v>
      </c>
      <c r="K7" s="2" t="s">
        <v>724</v>
      </c>
      <c r="L7" s="2" t="s">
        <v>136</v>
      </c>
      <c r="M7" s="2" t="s">
        <v>725</v>
      </c>
      <c r="N7" s="2" t="s">
        <v>95</v>
      </c>
      <c r="O7" s="2" t="s">
        <v>61</v>
      </c>
      <c r="P7" s="2" t="s">
        <v>85</v>
      </c>
      <c r="Q7" s="2" t="s">
        <v>63</v>
      </c>
      <c r="R7" s="2">
        <v>383053</v>
      </c>
      <c r="S7" s="2">
        <v>2018</v>
      </c>
      <c r="T7" s="2" t="s">
        <v>64</v>
      </c>
      <c r="U7" s="2" t="s">
        <v>65</v>
      </c>
      <c r="V7" s="2" t="s">
        <v>37</v>
      </c>
      <c r="W7" s="2" t="s">
        <v>37</v>
      </c>
      <c r="X7" s="2" t="s">
        <v>37</v>
      </c>
      <c r="Y7" s="2">
        <v>436</v>
      </c>
      <c r="Z7" s="2">
        <v>600</v>
      </c>
      <c r="AA7" s="2">
        <f t="shared" si="0"/>
        <v>72.666666666666671</v>
      </c>
      <c r="AB7" s="2">
        <f>73+74+50</f>
        <v>197</v>
      </c>
      <c r="AC7" s="2">
        <v>300</v>
      </c>
      <c r="AD7" s="2">
        <f t="shared" si="1"/>
        <v>65.666666666666657</v>
      </c>
      <c r="AE7" s="2" t="s">
        <v>726</v>
      </c>
      <c r="AF7" s="2" t="s">
        <v>495</v>
      </c>
      <c r="AG7" s="2" t="s">
        <v>718</v>
      </c>
      <c r="AH7" s="2">
        <v>10000</v>
      </c>
      <c r="AI7" s="2">
        <v>215000</v>
      </c>
      <c r="AJ7" s="2">
        <v>27500</v>
      </c>
      <c r="AK7" s="2">
        <f t="shared" si="2"/>
        <v>252500</v>
      </c>
      <c r="AL7" s="2" t="s">
        <v>727</v>
      </c>
      <c r="AM7" s="2" t="s">
        <v>87</v>
      </c>
      <c r="AN7" s="2" t="s">
        <v>728</v>
      </c>
      <c r="AO7" s="2" t="s">
        <v>139</v>
      </c>
      <c r="AP7" s="2">
        <v>630000</v>
      </c>
      <c r="AQ7" s="2" t="s">
        <v>729</v>
      </c>
      <c r="AR7" s="4" t="s">
        <v>730</v>
      </c>
      <c r="AS7" s="2" t="s">
        <v>731</v>
      </c>
      <c r="AT7" s="2" t="s">
        <v>732</v>
      </c>
      <c r="AU7" s="2" t="s">
        <v>95</v>
      </c>
      <c r="AV7" s="2" t="s">
        <v>65</v>
      </c>
      <c r="AW7" s="2">
        <v>560003</v>
      </c>
      <c r="AX7" s="2" t="s">
        <v>731</v>
      </c>
      <c r="AY7" s="2" t="s">
        <v>733</v>
      </c>
      <c r="AZ7" s="2">
        <v>6360795636</v>
      </c>
      <c r="BA7" s="2">
        <v>9844137695</v>
      </c>
      <c r="BB7" s="2">
        <v>9164009019</v>
      </c>
      <c r="BC7" s="2"/>
      <c r="BD7" s="3" t="s">
        <v>734</v>
      </c>
      <c r="BE7" s="2" t="s">
        <v>1939</v>
      </c>
      <c r="BF7" s="2"/>
      <c r="BG7" s="2"/>
    </row>
    <row r="8" spans="1:59" s="6" customFormat="1" ht="80.099999999999994" customHeight="1" x14ac:dyDescent="0.25">
      <c r="A8" s="2">
        <v>6</v>
      </c>
      <c r="B8" s="2">
        <v>167</v>
      </c>
      <c r="C8" s="2" t="s">
        <v>4444</v>
      </c>
      <c r="D8" s="2" t="s">
        <v>392</v>
      </c>
      <c r="E8" s="2"/>
      <c r="F8" s="7" t="s">
        <v>941</v>
      </c>
      <c r="G8" s="2" t="s">
        <v>38</v>
      </c>
      <c r="H8" s="2" t="s">
        <v>35</v>
      </c>
      <c r="I8" s="2" t="s">
        <v>68</v>
      </c>
      <c r="J8" s="2" t="s">
        <v>36</v>
      </c>
      <c r="K8" s="2" t="s">
        <v>207</v>
      </c>
      <c r="L8" s="2" t="s">
        <v>82</v>
      </c>
      <c r="M8" s="2" t="s">
        <v>958</v>
      </c>
      <c r="N8" s="2" t="s">
        <v>215</v>
      </c>
      <c r="O8" s="2" t="s">
        <v>83</v>
      </c>
      <c r="P8" s="2" t="s">
        <v>85</v>
      </c>
      <c r="Q8" s="2" t="s">
        <v>63</v>
      </c>
      <c r="R8" s="2">
        <v>425789</v>
      </c>
      <c r="S8" s="2">
        <v>2018</v>
      </c>
      <c r="T8" s="2" t="s">
        <v>64</v>
      </c>
      <c r="U8" s="2" t="s">
        <v>65</v>
      </c>
      <c r="V8" s="2" t="s">
        <v>37</v>
      </c>
      <c r="W8" s="2" t="s">
        <v>37</v>
      </c>
      <c r="X8" s="2" t="s">
        <v>37</v>
      </c>
      <c r="Y8" s="2">
        <v>422</v>
      </c>
      <c r="Z8" s="2">
        <v>600</v>
      </c>
      <c r="AA8" s="2">
        <f t="shared" si="0"/>
        <v>70.333333333333343</v>
      </c>
      <c r="AB8" s="2">
        <f>69+62+83</f>
        <v>214</v>
      </c>
      <c r="AC8" s="2">
        <v>300</v>
      </c>
      <c r="AD8" s="2">
        <f t="shared" si="1"/>
        <v>71.333333333333343</v>
      </c>
      <c r="AE8" s="2" t="s">
        <v>959</v>
      </c>
      <c r="AF8" s="2" t="s">
        <v>920</v>
      </c>
      <c r="AG8" s="2" t="s">
        <v>920</v>
      </c>
      <c r="AH8" s="2">
        <v>10000</v>
      </c>
      <c r="AI8" s="2">
        <v>215000</v>
      </c>
      <c r="AJ8" s="2">
        <v>27500</v>
      </c>
      <c r="AK8" s="2">
        <f t="shared" si="2"/>
        <v>252500</v>
      </c>
      <c r="AL8" s="2" t="s">
        <v>960</v>
      </c>
      <c r="AM8" s="2" t="s">
        <v>78</v>
      </c>
      <c r="AN8" s="2" t="s">
        <v>961</v>
      </c>
      <c r="AO8" s="2" t="s">
        <v>139</v>
      </c>
      <c r="AP8" s="2">
        <v>600000</v>
      </c>
      <c r="AQ8" s="2" t="s">
        <v>962</v>
      </c>
      <c r="AR8" s="4" t="s">
        <v>963</v>
      </c>
      <c r="AS8" s="2" t="s">
        <v>964</v>
      </c>
      <c r="AT8" s="2" t="s">
        <v>965</v>
      </c>
      <c r="AU8" s="2" t="s">
        <v>95</v>
      </c>
      <c r="AV8" s="2" t="s">
        <v>65</v>
      </c>
      <c r="AW8" s="2">
        <v>560037</v>
      </c>
      <c r="AX8" s="2" t="s">
        <v>964</v>
      </c>
      <c r="AY8" s="2"/>
      <c r="AZ8" s="2">
        <v>8971385550</v>
      </c>
      <c r="BA8" s="2">
        <v>8722773377</v>
      </c>
      <c r="BB8" s="2">
        <v>9620443739</v>
      </c>
      <c r="BC8" s="3" t="s">
        <v>966</v>
      </c>
      <c r="BD8" s="3" t="s">
        <v>967</v>
      </c>
      <c r="BE8" s="2" t="s">
        <v>2609</v>
      </c>
      <c r="BF8" s="2"/>
      <c r="BG8" s="2"/>
    </row>
    <row r="9" spans="1:59" s="6" customFormat="1" ht="80.099999999999994" customHeight="1" x14ac:dyDescent="0.25">
      <c r="A9" s="2">
        <v>7</v>
      </c>
      <c r="B9" s="6">
        <v>187</v>
      </c>
      <c r="C9" s="2" t="s">
        <v>4444</v>
      </c>
      <c r="D9" s="6" t="s">
        <v>392</v>
      </c>
      <c r="F9" s="8" t="s">
        <v>1044</v>
      </c>
      <c r="G9" s="6" t="s">
        <v>38</v>
      </c>
      <c r="H9" s="6" t="s">
        <v>35</v>
      </c>
      <c r="I9" s="6" t="s">
        <v>68</v>
      </c>
      <c r="J9" s="6" t="s">
        <v>36</v>
      </c>
      <c r="K9" s="6" t="s">
        <v>1046</v>
      </c>
      <c r="L9" s="6" t="s">
        <v>82</v>
      </c>
      <c r="M9" s="6" t="s">
        <v>249</v>
      </c>
      <c r="N9" s="6" t="s">
        <v>1026</v>
      </c>
      <c r="O9" s="6" t="s">
        <v>83</v>
      </c>
      <c r="P9" s="6" t="s">
        <v>73</v>
      </c>
      <c r="Q9" s="6" t="s">
        <v>185</v>
      </c>
      <c r="R9" s="6">
        <v>1805223754</v>
      </c>
      <c r="S9" s="11">
        <v>2018</v>
      </c>
      <c r="T9" s="6" t="s">
        <v>89</v>
      </c>
      <c r="U9" s="6" t="s">
        <v>37</v>
      </c>
      <c r="V9" s="2" t="s">
        <v>215</v>
      </c>
      <c r="W9" s="6">
        <v>856</v>
      </c>
      <c r="X9" s="6">
        <f>W9/1000*100</f>
        <v>85.6</v>
      </c>
      <c r="Y9" s="6">
        <f>82+83+40+46+59+48+28+28</f>
        <v>414</v>
      </c>
      <c r="Z9" s="6">
        <v>530</v>
      </c>
      <c r="AA9" s="6">
        <f t="shared" si="0"/>
        <v>78.113207547169822</v>
      </c>
      <c r="AB9" s="6">
        <f>72+75+56+56+40+46+59+48+28+28</f>
        <v>508</v>
      </c>
      <c r="AC9" s="6">
        <v>600</v>
      </c>
      <c r="AD9" s="6">
        <f t="shared" si="1"/>
        <v>84.666666666666671</v>
      </c>
      <c r="AE9" s="11" t="s">
        <v>1047</v>
      </c>
      <c r="AF9" s="6" t="s">
        <v>1023</v>
      </c>
      <c r="AG9" s="11" t="s">
        <v>1023</v>
      </c>
      <c r="AH9" s="2">
        <v>10000</v>
      </c>
      <c r="AI9" s="6">
        <v>215000</v>
      </c>
      <c r="AJ9" s="2">
        <v>27500</v>
      </c>
      <c r="AK9" s="2">
        <f t="shared" si="2"/>
        <v>252500</v>
      </c>
      <c r="AL9" s="6" t="s">
        <v>1048</v>
      </c>
      <c r="AM9" s="6" t="s">
        <v>78</v>
      </c>
      <c r="AN9" s="6" t="s">
        <v>1049</v>
      </c>
      <c r="AO9" s="6" t="s">
        <v>139</v>
      </c>
      <c r="AP9" s="6">
        <v>150000</v>
      </c>
      <c r="AQ9" s="6" t="s">
        <v>1055</v>
      </c>
      <c r="AR9" s="13" t="s">
        <v>1050</v>
      </c>
      <c r="AS9" s="6" t="s">
        <v>1052</v>
      </c>
      <c r="AT9" s="6" t="s">
        <v>1026</v>
      </c>
      <c r="AU9" s="6" t="s">
        <v>1051</v>
      </c>
      <c r="AV9" s="6" t="s">
        <v>215</v>
      </c>
      <c r="AW9" s="6">
        <v>515591</v>
      </c>
      <c r="AX9" s="6" t="s">
        <v>1052</v>
      </c>
      <c r="AZ9" s="6">
        <v>9290532535</v>
      </c>
      <c r="BA9" s="6">
        <v>8897536787</v>
      </c>
      <c r="BB9" s="6">
        <v>8500974401</v>
      </c>
      <c r="BC9" s="14" t="s">
        <v>1053</v>
      </c>
      <c r="BD9" s="14" t="s">
        <v>1054</v>
      </c>
      <c r="BE9" s="2" t="s">
        <v>3373</v>
      </c>
      <c r="BF9" s="2" t="s">
        <v>144</v>
      </c>
    </row>
    <row r="10" spans="1:59" s="6" customFormat="1" ht="80.099999999999994" customHeight="1" x14ac:dyDescent="0.25">
      <c r="A10" s="2">
        <v>8</v>
      </c>
      <c r="B10" s="6">
        <v>240</v>
      </c>
      <c r="C10" s="2" t="s">
        <v>4444</v>
      </c>
      <c r="D10" s="6" t="s">
        <v>392</v>
      </c>
      <c r="E10" s="2"/>
      <c r="F10" s="8" t="s">
        <v>1256</v>
      </c>
      <c r="G10" s="6" t="s">
        <v>38</v>
      </c>
      <c r="H10" s="6" t="s">
        <v>35</v>
      </c>
      <c r="I10" s="2" t="s">
        <v>68</v>
      </c>
      <c r="J10" s="2" t="s">
        <v>36</v>
      </c>
      <c r="K10" s="2" t="s">
        <v>148</v>
      </c>
      <c r="L10" s="2" t="s">
        <v>82</v>
      </c>
      <c r="M10" s="2" t="s">
        <v>1311</v>
      </c>
      <c r="N10" s="2" t="s">
        <v>95</v>
      </c>
      <c r="O10" s="2" t="s">
        <v>1312</v>
      </c>
      <c r="P10" s="2" t="s">
        <v>85</v>
      </c>
      <c r="Q10" s="2" t="s">
        <v>63</v>
      </c>
      <c r="R10" s="2">
        <v>867285</v>
      </c>
      <c r="S10" s="2">
        <v>2018</v>
      </c>
      <c r="T10" s="2" t="s">
        <v>64</v>
      </c>
      <c r="U10" s="2" t="s">
        <v>65</v>
      </c>
      <c r="V10" s="2" t="s">
        <v>37</v>
      </c>
      <c r="W10" s="2" t="s">
        <v>37</v>
      </c>
      <c r="X10" s="2" t="s">
        <v>37</v>
      </c>
      <c r="Y10" s="2">
        <v>470</v>
      </c>
      <c r="Z10" s="2">
        <v>600</v>
      </c>
      <c r="AA10" s="2">
        <f t="shared" si="0"/>
        <v>78.333333333333329</v>
      </c>
      <c r="AB10" s="2">
        <f>77+79+79</f>
        <v>235</v>
      </c>
      <c r="AC10" s="2">
        <v>300</v>
      </c>
      <c r="AD10" s="2">
        <f t="shared" si="1"/>
        <v>78.333333333333329</v>
      </c>
      <c r="AE10" s="2" t="s">
        <v>1313</v>
      </c>
      <c r="AF10" s="2" t="s">
        <v>193</v>
      </c>
      <c r="AG10" s="2" t="s">
        <v>1258</v>
      </c>
      <c r="AH10" s="2">
        <v>10000</v>
      </c>
      <c r="AI10" s="2">
        <v>215000</v>
      </c>
      <c r="AJ10" s="2">
        <v>27500</v>
      </c>
      <c r="AK10" s="2">
        <f t="shared" si="2"/>
        <v>252500</v>
      </c>
      <c r="AL10" s="2" t="s">
        <v>1315</v>
      </c>
      <c r="AM10" s="2" t="s">
        <v>1316</v>
      </c>
      <c r="AN10" s="2" t="s">
        <v>1314</v>
      </c>
      <c r="AO10" s="2" t="s">
        <v>1317</v>
      </c>
      <c r="AP10" s="2">
        <v>300000</v>
      </c>
      <c r="AQ10" s="2" t="s">
        <v>1318</v>
      </c>
      <c r="AR10" s="4" t="s">
        <v>1319</v>
      </c>
      <c r="AS10" s="2" t="s">
        <v>1320</v>
      </c>
      <c r="AT10" s="2" t="s">
        <v>118</v>
      </c>
      <c r="AU10" s="2" t="s">
        <v>95</v>
      </c>
      <c r="AV10" s="2" t="s">
        <v>65</v>
      </c>
      <c r="AW10" s="2">
        <v>560062</v>
      </c>
      <c r="AX10" s="2" t="s">
        <v>1320</v>
      </c>
      <c r="AY10" s="2"/>
      <c r="AZ10" s="2">
        <v>9845107525</v>
      </c>
      <c r="BA10" s="2">
        <v>9036092642</v>
      </c>
      <c r="BB10" s="2">
        <v>9845107525</v>
      </c>
      <c r="BC10" s="2"/>
      <c r="BD10" s="3" t="s">
        <v>1321</v>
      </c>
      <c r="BE10" s="2" t="s">
        <v>1322</v>
      </c>
      <c r="BF10" s="2" t="s">
        <v>37</v>
      </c>
      <c r="BG10" s="2"/>
    </row>
    <row r="11" spans="1:59" s="2" customFormat="1" ht="80.099999999999994" customHeight="1" x14ac:dyDescent="0.25">
      <c r="A11" s="2">
        <v>9</v>
      </c>
      <c r="B11" s="2">
        <v>302</v>
      </c>
      <c r="C11" s="2" t="s">
        <v>4444</v>
      </c>
      <c r="D11" s="2" t="s">
        <v>392</v>
      </c>
      <c r="F11" s="7" t="s">
        <v>1569</v>
      </c>
      <c r="G11" s="2" t="s">
        <v>38</v>
      </c>
      <c r="H11" s="2" t="s">
        <v>35</v>
      </c>
      <c r="I11" s="2" t="s">
        <v>68</v>
      </c>
      <c r="J11" s="2" t="s">
        <v>435</v>
      </c>
      <c r="K11" s="2" t="s">
        <v>1067</v>
      </c>
      <c r="L11" s="2" t="s">
        <v>82</v>
      </c>
      <c r="M11" s="2" t="s">
        <v>1598</v>
      </c>
      <c r="N11" s="2" t="s">
        <v>1599</v>
      </c>
      <c r="O11" s="2" t="s">
        <v>72</v>
      </c>
      <c r="P11" s="2" t="s">
        <v>85</v>
      </c>
      <c r="Q11" s="2" t="s">
        <v>63</v>
      </c>
      <c r="R11" s="2">
        <v>741807</v>
      </c>
      <c r="S11" s="2">
        <v>2018</v>
      </c>
      <c r="T11" s="2" t="s">
        <v>64</v>
      </c>
      <c r="U11" s="2" t="s">
        <v>65</v>
      </c>
      <c r="V11" s="2" t="s">
        <v>37</v>
      </c>
      <c r="W11" s="2" t="s">
        <v>37</v>
      </c>
      <c r="X11" s="2" t="s">
        <v>37</v>
      </c>
      <c r="Y11" s="2">
        <v>357</v>
      </c>
      <c r="Z11" s="2">
        <v>600</v>
      </c>
      <c r="AA11" s="2">
        <f t="shared" si="0"/>
        <v>59.5</v>
      </c>
      <c r="AB11" s="2">
        <f>66+48+30</f>
        <v>144</v>
      </c>
      <c r="AC11" s="2">
        <v>300</v>
      </c>
      <c r="AD11" s="2">
        <f t="shared" si="1"/>
        <v>48</v>
      </c>
      <c r="AE11" s="2" t="s">
        <v>1600</v>
      </c>
      <c r="AF11" s="2" t="s">
        <v>1560</v>
      </c>
      <c r="AG11" s="2" t="s">
        <v>1560</v>
      </c>
      <c r="AH11" s="2">
        <v>10000</v>
      </c>
      <c r="AI11" s="2">
        <v>215000</v>
      </c>
      <c r="AJ11" s="2">
        <v>27500</v>
      </c>
      <c r="AK11" s="2">
        <f t="shared" si="2"/>
        <v>252500</v>
      </c>
      <c r="AL11" s="2" t="s">
        <v>1601</v>
      </c>
      <c r="AM11" s="2" t="s">
        <v>78</v>
      </c>
      <c r="AN11" s="2" t="s">
        <v>1602</v>
      </c>
      <c r="AO11" s="2" t="s">
        <v>912</v>
      </c>
      <c r="AP11" s="2">
        <v>700000</v>
      </c>
      <c r="AQ11" s="2" t="s">
        <v>1603</v>
      </c>
      <c r="AR11" s="4" t="s">
        <v>1604</v>
      </c>
      <c r="AS11" s="2" t="s">
        <v>1605</v>
      </c>
      <c r="AT11" s="2" t="s">
        <v>1606</v>
      </c>
      <c r="AU11" s="2" t="s">
        <v>60</v>
      </c>
      <c r="AV11" s="2" t="s">
        <v>65</v>
      </c>
      <c r="AW11" s="2">
        <v>570007</v>
      </c>
      <c r="AX11" s="2" t="s">
        <v>1605</v>
      </c>
      <c r="AZ11" s="2">
        <v>8722197218</v>
      </c>
      <c r="BA11" s="2">
        <v>9964374516</v>
      </c>
      <c r="BB11" s="2">
        <v>9964374614</v>
      </c>
      <c r="BC11" s="3" t="s">
        <v>1607</v>
      </c>
      <c r="BD11" s="3" t="s">
        <v>1608</v>
      </c>
      <c r="BE11" s="2" t="s">
        <v>1609</v>
      </c>
    </row>
    <row r="12" spans="1:59" s="19" customFormat="1" ht="80.099999999999994" customHeight="1" x14ac:dyDescent="0.25">
      <c r="A12" s="19">
        <v>10</v>
      </c>
      <c r="B12" s="19">
        <v>324</v>
      </c>
      <c r="D12" s="19" t="s">
        <v>392</v>
      </c>
      <c r="F12" s="20" t="s">
        <v>1732</v>
      </c>
      <c r="G12" s="19" t="s">
        <v>38</v>
      </c>
      <c r="H12" s="19" t="s">
        <v>35</v>
      </c>
      <c r="I12" s="19" t="s">
        <v>68</v>
      </c>
      <c r="J12" s="19" t="s">
        <v>36</v>
      </c>
      <c r="K12" s="19" t="s">
        <v>1739</v>
      </c>
      <c r="L12" s="19" t="s">
        <v>82</v>
      </c>
      <c r="M12" s="19" t="s">
        <v>1740</v>
      </c>
      <c r="N12" s="19" t="s">
        <v>755</v>
      </c>
      <c r="O12" s="19" t="s">
        <v>83</v>
      </c>
      <c r="P12" s="19" t="s">
        <v>85</v>
      </c>
      <c r="Q12" s="19" t="s">
        <v>185</v>
      </c>
      <c r="R12" s="19">
        <v>1812214635</v>
      </c>
      <c r="S12" s="19">
        <v>2018</v>
      </c>
      <c r="T12" s="19" t="s">
        <v>89</v>
      </c>
      <c r="U12" s="19" t="s">
        <v>37</v>
      </c>
      <c r="V12" s="19" t="s">
        <v>215</v>
      </c>
      <c r="W12" s="19">
        <v>934</v>
      </c>
      <c r="X12" s="19">
        <f>W12/1000*100</f>
        <v>93.4</v>
      </c>
      <c r="Y12" s="19">
        <f>93+98+73+65+59+51+23+28</f>
        <v>490</v>
      </c>
      <c r="Z12" s="19">
        <v>530</v>
      </c>
      <c r="AA12" s="19">
        <f t="shared" si="0"/>
        <v>92.452830188679243</v>
      </c>
      <c r="AB12" s="19">
        <f>74+75+60+47+73+65+59+51+23+28</f>
        <v>555</v>
      </c>
      <c r="AC12" s="19">
        <v>600</v>
      </c>
      <c r="AD12" s="19">
        <f t="shared" si="1"/>
        <v>92.5</v>
      </c>
      <c r="AE12" s="19" t="s">
        <v>1195</v>
      </c>
      <c r="AF12" s="19" t="s">
        <v>1560</v>
      </c>
      <c r="AG12" s="19" t="s">
        <v>1722</v>
      </c>
      <c r="AH12" s="19">
        <v>10000</v>
      </c>
      <c r="AI12" s="19">
        <v>215000</v>
      </c>
      <c r="AJ12" s="19">
        <v>27500</v>
      </c>
      <c r="AK12" s="19">
        <f t="shared" si="2"/>
        <v>252500</v>
      </c>
      <c r="AL12" s="19" t="s">
        <v>1741</v>
      </c>
      <c r="AM12" s="19" t="s">
        <v>78</v>
      </c>
      <c r="AN12" s="19" t="s">
        <v>1742</v>
      </c>
      <c r="AO12" s="19" t="s">
        <v>139</v>
      </c>
      <c r="AP12" s="19">
        <v>200000</v>
      </c>
      <c r="AQ12" s="19" t="s">
        <v>1743</v>
      </c>
      <c r="AR12" s="21" t="s">
        <v>1744</v>
      </c>
      <c r="AS12" s="19" t="s">
        <v>1745</v>
      </c>
      <c r="AT12" s="19" t="s">
        <v>1746</v>
      </c>
      <c r="AU12" s="19" t="s">
        <v>755</v>
      </c>
      <c r="AV12" s="19" t="s">
        <v>215</v>
      </c>
      <c r="AW12" s="19">
        <v>516002</v>
      </c>
      <c r="AX12" s="19" t="s">
        <v>1747</v>
      </c>
      <c r="AZ12" s="19">
        <v>6302693476</v>
      </c>
      <c r="BA12" s="19">
        <v>9916020703</v>
      </c>
      <c r="BC12" s="22" t="s">
        <v>1748</v>
      </c>
      <c r="BD12" s="22" t="s">
        <v>1749</v>
      </c>
      <c r="BE12" s="19" t="s">
        <v>879</v>
      </c>
      <c r="BF12" s="19" t="s">
        <v>113</v>
      </c>
    </row>
    <row r="13" spans="1:59" s="2" customFormat="1" ht="80.099999999999994" customHeight="1" x14ac:dyDescent="0.25">
      <c r="A13" s="2">
        <v>11</v>
      </c>
      <c r="B13" s="6">
        <v>357</v>
      </c>
      <c r="C13" s="2" t="s">
        <v>4444</v>
      </c>
      <c r="D13" s="6" t="s">
        <v>392</v>
      </c>
      <c r="F13" s="8" t="s">
        <v>1925</v>
      </c>
      <c r="G13" s="6" t="s">
        <v>1505</v>
      </c>
      <c r="H13" s="6" t="s">
        <v>35</v>
      </c>
      <c r="I13" s="2" t="s">
        <v>68</v>
      </c>
      <c r="J13" s="2" t="s">
        <v>36</v>
      </c>
      <c r="K13" s="2" t="s">
        <v>157</v>
      </c>
      <c r="L13" s="2" t="s">
        <v>82</v>
      </c>
      <c r="M13" s="2" t="s">
        <v>1771</v>
      </c>
      <c r="N13" s="2" t="s">
        <v>95</v>
      </c>
      <c r="O13" s="2" t="s">
        <v>61</v>
      </c>
      <c r="P13" s="2" t="s">
        <v>73</v>
      </c>
      <c r="Q13" s="2" t="s">
        <v>63</v>
      </c>
      <c r="R13" s="2">
        <v>403715</v>
      </c>
      <c r="S13" s="2">
        <v>2018</v>
      </c>
      <c r="T13" s="2" t="s">
        <v>64</v>
      </c>
      <c r="U13" s="2" t="s">
        <v>65</v>
      </c>
      <c r="V13" s="2" t="s">
        <v>37</v>
      </c>
      <c r="W13" s="2" t="s">
        <v>37</v>
      </c>
      <c r="X13" s="2" t="s">
        <v>37</v>
      </c>
      <c r="Y13" s="2">
        <v>369</v>
      </c>
      <c r="Z13" s="2">
        <v>600</v>
      </c>
      <c r="AA13" s="2">
        <f t="shared" si="0"/>
        <v>61.5</v>
      </c>
      <c r="AB13" s="2">
        <f>66+49+63</f>
        <v>178</v>
      </c>
      <c r="AC13" s="2">
        <v>300</v>
      </c>
      <c r="AD13" s="2">
        <f t="shared" si="1"/>
        <v>59.333333333333336</v>
      </c>
      <c r="AE13" s="2" t="s">
        <v>1926</v>
      </c>
      <c r="AF13" s="2" t="s">
        <v>843</v>
      </c>
      <c r="AG13" s="2" t="s">
        <v>1918</v>
      </c>
      <c r="AH13" s="2">
        <v>10000</v>
      </c>
      <c r="AI13" s="2">
        <v>205000</v>
      </c>
      <c r="AJ13" s="2">
        <v>27500</v>
      </c>
      <c r="AK13" s="2">
        <f t="shared" si="2"/>
        <v>242500</v>
      </c>
      <c r="AL13" s="2" t="s">
        <v>1927</v>
      </c>
      <c r="AM13" s="2" t="s">
        <v>1929</v>
      </c>
      <c r="AN13" s="2" t="s">
        <v>1928</v>
      </c>
      <c r="AO13" s="2" t="s">
        <v>1930</v>
      </c>
      <c r="AP13" s="2">
        <v>2000000</v>
      </c>
      <c r="AQ13" s="2" t="s">
        <v>1931</v>
      </c>
      <c r="AR13" s="4" t="s">
        <v>1932</v>
      </c>
      <c r="AS13" s="2" t="s">
        <v>1933</v>
      </c>
      <c r="AT13" s="2" t="s">
        <v>1934</v>
      </c>
      <c r="AU13" s="2" t="s">
        <v>95</v>
      </c>
      <c r="AV13" s="2" t="s">
        <v>65</v>
      </c>
      <c r="AW13" s="2">
        <v>560109</v>
      </c>
      <c r="AX13" s="2" t="s">
        <v>1933</v>
      </c>
      <c r="AZ13" s="2">
        <v>8884060181</v>
      </c>
      <c r="BA13" s="2">
        <v>9845233279</v>
      </c>
      <c r="BB13" s="2">
        <v>9880311243</v>
      </c>
      <c r="BC13" s="3" t="s">
        <v>1935</v>
      </c>
      <c r="BD13" s="3" t="s">
        <v>1936</v>
      </c>
      <c r="BE13" s="2" t="s">
        <v>879</v>
      </c>
      <c r="BF13" s="2" t="s">
        <v>144</v>
      </c>
    </row>
    <row r="14" spans="1:59" s="2" customFormat="1" ht="80.099999999999994" customHeight="1" x14ac:dyDescent="0.25">
      <c r="A14" s="2">
        <v>12</v>
      </c>
      <c r="B14" s="2">
        <v>374</v>
      </c>
      <c r="C14" s="2" t="s">
        <v>4444</v>
      </c>
      <c r="D14" s="2" t="s">
        <v>392</v>
      </c>
      <c r="F14" s="7" t="s">
        <v>2016</v>
      </c>
      <c r="G14" s="2" t="s">
        <v>91</v>
      </c>
      <c r="H14" s="2" t="s">
        <v>35</v>
      </c>
      <c r="I14" s="2" t="s">
        <v>68</v>
      </c>
      <c r="J14" s="2" t="s">
        <v>36</v>
      </c>
      <c r="K14" s="2" t="s">
        <v>2017</v>
      </c>
      <c r="L14" s="2" t="s">
        <v>82</v>
      </c>
      <c r="M14" s="2" t="s">
        <v>2018</v>
      </c>
      <c r="N14" s="2" t="s">
        <v>2019</v>
      </c>
      <c r="O14" s="2" t="s">
        <v>72</v>
      </c>
      <c r="P14" s="2" t="s">
        <v>137</v>
      </c>
      <c r="Q14" s="2" t="s">
        <v>185</v>
      </c>
      <c r="R14" s="2">
        <v>1658855</v>
      </c>
      <c r="S14" s="2">
        <v>2018</v>
      </c>
      <c r="T14" s="2" t="s">
        <v>616</v>
      </c>
      <c r="U14" s="2" t="s">
        <v>37</v>
      </c>
      <c r="V14" s="2" t="s">
        <v>833</v>
      </c>
      <c r="W14" s="2" t="s">
        <v>37</v>
      </c>
      <c r="X14" s="2" t="s">
        <v>37</v>
      </c>
      <c r="Y14" s="2">
        <f>85+58+80+72+74</f>
        <v>369</v>
      </c>
      <c r="Z14" s="2">
        <v>500</v>
      </c>
      <c r="AA14" s="2">
        <f t="shared" si="0"/>
        <v>73.8</v>
      </c>
      <c r="AB14" s="2">
        <f>58+80+72</f>
        <v>210</v>
      </c>
      <c r="AC14" s="2">
        <v>300</v>
      </c>
      <c r="AD14" s="2">
        <f t="shared" si="1"/>
        <v>70</v>
      </c>
      <c r="AE14" s="2" t="s">
        <v>2027</v>
      </c>
      <c r="AF14" s="2" t="s">
        <v>1918</v>
      </c>
      <c r="AG14" s="2" t="s">
        <v>1918</v>
      </c>
      <c r="AH14" s="2">
        <v>10000</v>
      </c>
      <c r="AI14" s="2">
        <v>205000</v>
      </c>
      <c r="AJ14" s="2">
        <v>27500</v>
      </c>
      <c r="AK14" s="2">
        <f t="shared" si="2"/>
        <v>242500</v>
      </c>
      <c r="AL14" s="2" t="s">
        <v>2020</v>
      </c>
      <c r="AM14" s="2" t="s">
        <v>78</v>
      </c>
      <c r="AN14" s="2" t="s">
        <v>2021</v>
      </c>
      <c r="AO14" s="2" t="s">
        <v>912</v>
      </c>
      <c r="AP14" s="2">
        <v>800000</v>
      </c>
      <c r="AQ14" s="2" t="s">
        <v>2022</v>
      </c>
      <c r="AR14" s="4" t="s">
        <v>2028</v>
      </c>
      <c r="AS14" s="2" t="s">
        <v>2029</v>
      </c>
      <c r="AT14" s="2" t="s">
        <v>2023</v>
      </c>
      <c r="AU14" s="2" t="s">
        <v>2024</v>
      </c>
      <c r="AV14" s="2" t="s">
        <v>1829</v>
      </c>
      <c r="AW14" s="2">
        <v>781001</v>
      </c>
      <c r="AX14" s="2" t="s">
        <v>2029</v>
      </c>
      <c r="AZ14" s="2">
        <v>9678440920</v>
      </c>
      <c r="BA14" s="2">
        <v>8730994040</v>
      </c>
      <c r="BB14" s="2">
        <v>8724980524</v>
      </c>
      <c r="BC14" s="3" t="s">
        <v>2025</v>
      </c>
      <c r="BD14" s="3" t="s">
        <v>2026</v>
      </c>
      <c r="BE14" s="2" t="s">
        <v>1862</v>
      </c>
      <c r="BF14" s="2" t="s">
        <v>37</v>
      </c>
    </row>
    <row r="15" spans="1:59" s="2" customFormat="1" ht="80.099999999999994" customHeight="1" x14ac:dyDescent="0.25">
      <c r="A15" s="2">
        <v>13</v>
      </c>
      <c r="B15" s="6">
        <v>395</v>
      </c>
      <c r="C15" s="2" t="s">
        <v>4444</v>
      </c>
      <c r="D15" s="2" t="s">
        <v>392</v>
      </c>
      <c r="F15" s="7" t="s">
        <v>2076</v>
      </c>
      <c r="G15" s="2" t="s">
        <v>38</v>
      </c>
      <c r="H15" s="2" t="s">
        <v>35</v>
      </c>
      <c r="I15" s="2" t="s">
        <v>68</v>
      </c>
      <c r="J15" s="2" t="s">
        <v>158</v>
      </c>
      <c r="K15" s="2" t="s">
        <v>455</v>
      </c>
      <c r="L15" s="2" t="s">
        <v>286</v>
      </c>
      <c r="M15" s="2" t="s">
        <v>2078</v>
      </c>
      <c r="N15" s="2" t="s">
        <v>1111</v>
      </c>
      <c r="O15" s="2" t="s">
        <v>83</v>
      </c>
      <c r="P15" s="2" t="s">
        <v>85</v>
      </c>
      <c r="Q15" s="2" t="s">
        <v>185</v>
      </c>
      <c r="R15" s="2">
        <v>1805225676</v>
      </c>
      <c r="S15" s="2">
        <v>2018</v>
      </c>
      <c r="T15" s="2" t="s">
        <v>89</v>
      </c>
      <c r="U15" s="2" t="s">
        <v>37</v>
      </c>
      <c r="V15" s="2" t="s">
        <v>215</v>
      </c>
      <c r="W15" s="2">
        <v>856</v>
      </c>
      <c r="X15" s="2">
        <f>W15/1000*100</f>
        <v>85.6</v>
      </c>
      <c r="Y15" s="2">
        <f>93+92+70+43+53+46+28+30</f>
        <v>455</v>
      </c>
      <c r="Z15" s="2">
        <v>530</v>
      </c>
      <c r="AA15" s="2">
        <f t="shared" si="0"/>
        <v>85.84905660377359</v>
      </c>
      <c r="AB15" s="2">
        <f>63+72+52+45+70+43+53+46+28+30</f>
        <v>502</v>
      </c>
      <c r="AC15" s="2">
        <v>600</v>
      </c>
      <c r="AD15" s="2">
        <f t="shared" si="1"/>
        <v>83.666666666666671</v>
      </c>
      <c r="AE15" s="2" t="s">
        <v>1389</v>
      </c>
      <c r="AF15" s="2" t="s">
        <v>2073</v>
      </c>
      <c r="AG15" s="2" t="s">
        <v>2073</v>
      </c>
      <c r="AH15" s="2">
        <v>10000</v>
      </c>
      <c r="AI15" s="2">
        <v>215000</v>
      </c>
      <c r="AJ15" s="2">
        <v>27500</v>
      </c>
      <c r="AK15" s="2">
        <f t="shared" si="2"/>
        <v>252500</v>
      </c>
      <c r="AL15" s="2" t="s">
        <v>2079</v>
      </c>
      <c r="AM15" s="2" t="s">
        <v>78</v>
      </c>
      <c r="AN15" s="2" t="s">
        <v>2080</v>
      </c>
      <c r="AO15" s="2" t="s">
        <v>139</v>
      </c>
      <c r="AP15" s="2" t="s">
        <v>2081</v>
      </c>
      <c r="AQ15" s="2" t="s">
        <v>2086</v>
      </c>
      <c r="AR15" s="4" t="s">
        <v>2082</v>
      </c>
      <c r="AS15" s="2" t="s">
        <v>2083</v>
      </c>
      <c r="AT15" s="2" t="s">
        <v>2084</v>
      </c>
      <c r="AU15" s="2" t="s">
        <v>1965</v>
      </c>
      <c r="AV15" s="2" t="s">
        <v>215</v>
      </c>
      <c r="AW15" s="2">
        <v>523002</v>
      </c>
      <c r="AX15" s="2" t="s">
        <v>2083</v>
      </c>
      <c r="AY15" s="2" t="s">
        <v>37</v>
      </c>
      <c r="BA15" s="2">
        <v>9849439114</v>
      </c>
      <c r="BD15" s="3" t="s">
        <v>2085</v>
      </c>
      <c r="BE15" s="2" t="s">
        <v>879</v>
      </c>
      <c r="BF15" s="2" t="s">
        <v>113</v>
      </c>
    </row>
    <row r="16" spans="1:59" s="2" customFormat="1" ht="80.099999999999994" customHeight="1" x14ac:dyDescent="0.25">
      <c r="A16" s="2">
        <v>14</v>
      </c>
      <c r="B16" s="2">
        <v>432</v>
      </c>
      <c r="C16" s="2" t="s">
        <v>4444</v>
      </c>
      <c r="D16" s="2" t="s">
        <v>392</v>
      </c>
      <c r="F16" s="7" t="s">
        <v>2226</v>
      </c>
      <c r="G16" s="2" t="s">
        <v>38</v>
      </c>
      <c r="H16" s="2" t="s">
        <v>35</v>
      </c>
      <c r="I16" s="2" t="s">
        <v>68</v>
      </c>
      <c r="J16" s="2" t="s">
        <v>165</v>
      </c>
      <c r="K16" s="2" t="s">
        <v>723</v>
      </c>
      <c r="L16" s="2" t="s">
        <v>82</v>
      </c>
      <c r="M16" s="2" t="s">
        <v>2227</v>
      </c>
      <c r="N16" s="2" t="s">
        <v>1507</v>
      </c>
      <c r="O16" s="2" t="s">
        <v>795</v>
      </c>
      <c r="P16" s="2" t="s">
        <v>73</v>
      </c>
      <c r="Q16" s="2" t="s">
        <v>185</v>
      </c>
      <c r="R16" s="2">
        <v>4394670</v>
      </c>
      <c r="S16" s="2">
        <v>2018</v>
      </c>
      <c r="T16" s="2" t="s">
        <v>1361</v>
      </c>
      <c r="U16" s="2" t="s">
        <v>37</v>
      </c>
      <c r="V16" s="2" t="s">
        <v>794</v>
      </c>
      <c r="W16" s="2">
        <f>189+197+187+191+197+186</f>
        <v>1147</v>
      </c>
      <c r="X16" s="2">
        <f>W16/1200*100</f>
        <v>95.583333333333329</v>
      </c>
      <c r="Y16" s="2">
        <f>78+80+56+56+60+76</f>
        <v>406</v>
      </c>
      <c r="Z16" s="2">
        <v>600</v>
      </c>
      <c r="AA16" s="2">
        <f t="shared" si="0"/>
        <v>67.666666666666657</v>
      </c>
      <c r="AB16" s="2">
        <f>187+191+186</f>
        <v>564</v>
      </c>
      <c r="AC16" s="2">
        <v>600</v>
      </c>
      <c r="AD16" s="2">
        <f t="shared" si="1"/>
        <v>94</v>
      </c>
      <c r="AE16" s="2" t="s">
        <v>1410</v>
      </c>
      <c r="AF16" s="2" t="s">
        <v>2073</v>
      </c>
      <c r="AG16" s="2" t="s">
        <v>2214</v>
      </c>
      <c r="AH16" s="2">
        <v>10000</v>
      </c>
      <c r="AI16" s="2">
        <v>215000</v>
      </c>
      <c r="AJ16" s="2">
        <v>27500</v>
      </c>
      <c r="AK16" s="2">
        <f t="shared" si="2"/>
        <v>252500</v>
      </c>
      <c r="AL16" s="2" t="s">
        <v>2233</v>
      </c>
      <c r="AM16" s="2" t="s">
        <v>986</v>
      </c>
      <c r="AN16" s="2" t="s">
        <v>2228</v>
      </c>
      <c r="AO16" s="2" t="s">
        <v>2229</v>
      </c>
      <c r="AP16" s="2">
        <v>700000</v>
      </c>
      <c r="AQ16" s="2" t="s">
        <v>2230</v>
      </c>
      <c r="AR16" s="4" t="s">
        <v>2234</v>
      </c>
      <c r="AS16" s="2" t="s">
        <v>2231</v>
      </c>
      <c r="AT16" s="2" t="s">
        <v>2232</v>
      </c>
      <c r="AU16" s="2" t="s">
        <v>1988</v>
      </c>
      <c r="AV16" s="2" t="s">
        <v>794</v>
      </c>
      <c r="AW16" s="2">
        <v>670651</v>
      </c>
      <c r="AX16" s="2" t="s">
        <v>2231</v>
      </c>
      <c r="AZ16" s="2">
        <v>7012163308</v>
      </c>
      <c r="BA16" s="2">
        <v>9188797600</v>
      </c>
      <c r="BB16" s="2">
        <v>9446082486</v>
      </c>
      <c r="BD16" s="3" t="s">
        <v>2235</v>
      </c>
      <c r="BE16" s="2" t="s">
        <v>3926</v>
      </c>
    </row>
    <row r="17" spans="1:58" s="2" customFormat="1" ht="80.099999999999994" customHeight="1" x14ac:dyDescent="0.25">
      <c r="A17" s="2">
        <v>15</v>
      </c>
      <c r="B17" s="11">
        <v>441</v>
      </c>
      <c r="C17" s="2" t="s">
        <v>4444</v>
      </c>
      <c r="D17" s="11" t="s">
        <v>392</v>
      </c>
      <c r="F17" s="12" t="s">
        <v>2248</v>
      </c>
      <c r="G17" s="11" t="s">
        <v>38</v>
      </c>
      <c r="H17" s="11" t="s">
        <v>35</v>
      </c>
      <c r="I17" s="2" t="s">
        <v>68</v>
      </c>
      <c r="J17" s="2" t="s">
        <v>36</v>
      </c>
      <c r="K17" s="2" t="s">
        <v>2249</v>
      </c>
      <c r="L17" s="2">
        <v>1</v>
      </c>
      <c r="M17" s="2" t="s">
        <v>211</v>
      </c>
      <c r="N17" s="2" t="s">
        <v>95</v>
      </c>
      <c r="O17" s="2" t="s">
        <v>61</v>
      </c>
      <c r="P17" s="2" t="s">
        <v>85</v>
      </c>
      <c r="Q17" s="2" t="s">
        <v>63</v>
      </c>
      <c r="R17" s="2">
        <v>425894</v>
      </c>
      <c r="S17" s="2">
        <v>2018</v>
      </c>
      <c r="T17" s="2" t="s">
        <v>64</v>
      </c>
      <c r="U17" s="2" t="s">
        <v>65</v>
      </c>
      <c r="V17" s="2" t="s">
        <v>37</v>
      </c>
      <c r="W17" s="2" t="s">
        <v>37</v>
      </c>
      <c r="X17" s="2" t="s">
        <v>37</v>
      </c>
      <c r="Y17" s="2">
        <v>403</v>
      </c>
      <c r="Z17" s="2">
        <v>600</v>
      </c>
      <c r="AA17" s="2">
        <f t="shared" si="0"/>
        <v>67.166666666666657</v>
      </c>
      <c r="AB17" s="2">
        <f>58+66+88</f>
        <v>212</v>
      </c>
      <c r="AC17" s="2">
        <v>300</v>
      </c>
      <c r="AD17" s="2">
        <f t="shared" si="1"/>
        <v>70.666666666666671</v>
      </c>
      <c r="AE17" s="2" t="s">
        <v>2250</v>
      </c>
      <c r="AF17" s="2" t="s">
        <v>920</v>
      </c>
      <c r="AG17" s="2" t="s">
        <v>2214</v>
      </c>
      <c r="AH17" s="2">
        <v>10000</v>
      </c>
      <c r="AI17" s="2">
        <v>215000</v>
      </c>
      <c r="AJ17" s="2">
        <v>27500</v>
      </c>
      <c r="AK17" s="2">
        <f t="shared" si="2"/>
        <v>252500</v>
      </c>
      <c r="AL17" s="2" t="s">
        <v>2251</v>
      </c>
      <c r="AM17" s="2" t="s">
        <v>2253</v>
      </c>
      <c r="AN17" s="2" t="s">
        <v>2252</v>
      </c>
      <c r="AO17" s="2" t="s">
        <v>37</v>
      </c>
      <c r="AP17" s="2">
        <v>120000</v>
      </c>
      <c r="AQ17" s="2" t="s">
        <v>2254</v>
      </c>
      <c r="AR17" s="4" t="s">
        <v>2255</v>
      </c>
      <c r="AS17" s="2" t="s">
        <v>2256</v>
      </c>
      <c r="AT17" s="2" t="s">
        <v>2257</v>
      </c>
      <c r="AU17" s="2" t="s">
        <v>95</v>
      </c>
      <c r="AV17" s="2" t="s">
        <v>65</v>
      </c>
      <c r="AX17" s="2" t="s">
        <v>2256</v>
      </c>
      <c r="AZ17" s="2">
        <v>8884715879</v>
      </c>
      <c r="BA17" s="2">
        <v>9108834444</v>
      </c>
      <c r="BB17" s="2">
        <v>9535557092</v>
      </c>
      <c r="BD17" s="3" t="s">
        <v>2258</v>
      </c>
      <c r="BE17" s="2" t="s">
        <v>1609</v>
      </c>
      <c r="BF17" s="2" t="s">
        <v>37</v>
      </c>
    </row>
    <row r="18" spans="1:58" s="2" customFormat="1" ht="80.099999999999994" customHeight="1" x14ac:dyDescent="0.25">
      <c r="A18" s="2">
        <v>16</v>
      </c>
      <c r="B18" s="6">
        <v>454</v>
      </c>
      <c r="C18" s="2" t="s">
        <v>4444</v>
      </c>
      <c r="D18" s="6" t="s">
        <v>392</v>
      </c>
      <c r="F18" s="8" t="s">
        <v>2302</v>
      </c>
      <c r="G18" s="6" t="s">
        <v>1505</v>
      </c>
      <c r="H18" s="6" t="s">
        <v>35</v>
      </c>
      <c r="I18" s="2" t="s">
        <v>68</v>
      </c>
      <c r="J18" s="2" t="s">
        <v>159</v>
      </c>
      <c r="K18" s="2" t="s">
        <v>752</v>
      </c>
      <c r="L18" s="2" t="s">
        <v>82</v>
      </c>
      <c r="M18" s="2" t="s">
        <v>2314</v>
      </c>
      <c r="N18" s="2" t="s">
        <v>1026</v>
      </c>
      <c r="O18" s="2" t="s">
        <v>162</v>
      </c>
      <c r="P18" s="2" t="s">
        <v>37</v>
      </c>
      <c r="Q18" s="2" t="s">
        <v>185</v>
      </c>
      <c r="R18" s="2">
        <v>1812233260</v>
      </c>
      <c r="S18" s="2">
        <v>2018</v>
      </c>
      <c r="T18" s="2" t="s">
        <v>89</v>
      </c>
      <c r="U18" s="2" t="s">
        <v>37</v>
      </c>
      <c r="V18" s="2" t="s">
        <v>215</v>
      </c>
      <c r="W18" s="2">
        <v>744</v>
      </c>
      <c r="X18" s="2">
        <f>W18/1000*100</f>
        <v>74.400000000000006</v>
      </c>
      <c r="Y18" s="2">
        <f>91+89+61+44+50+36+30+25</f>
        <v>426</v>
      </c>
      <c r="Z18" s="2">
        <v>530</v>
      </c>
      <c r="AA18" s="2">
        <f t="shared" si="0"/>
        <v>80.377358490566039</v>
      </c>
      <c r="AB18" s="2">
        <f>46+46+46+40+61+44+50+36+30+25</f>
        <v>424</v>
      </c>
      <c r="AC18" s="2">
        <v>600</v>
      </c>
      <c r="AD18" s="2">
        <f t="shared" si="1"/>
        <v>70.666666666666671</v>
      </c>
      <c r="AE18" s="2" t="s">
        <v>2315</v>
      </c>
      <c r="AF18" s="2" t="s">
        <v>2275</v>
      </c>
      <c r="AG18" s="2" t="s">
        <v>2275</v>
      </c>
      <c r="AH18" s="2">
        <v>10000</v>
      </c>
      <c r="AI18" s="2">
        <v>205000</v>
      </c>
      <c r="AJ18" s="2">
        <v>27500</v>
      </c>
      <c r="AK18" s="2">
        <f t="shared" si="2"/>
        <v>242500</v>
      </c>
      <c r="AL18" s="2" t="s">
        <v>2316</v>
      </c>
      <c r="AM18" s="2" t="s">
        <v>78</v>
      </c>
      <c r="AN18" s="2" t="s">
        <v>2317</v>
      </c>
      <c r="AO18" s="2" t="s">
        <v>552</v>
      </c>
      <c r="AP18" s="2">
        <v>150000</v>
      </c>
      <c r="AQ18" s="2" t="s">
        <v>2318</v>
      </c>
      <c r="AR18" s="4" t="s">
        <v>2319</v>
      </c>
      <c r="AS18" s="2" t="s">
        <v>2320</v>
      </c>
      <c r="AT18" s="2" t="s">
        <v>2321</v>
      </c>
      <c r="AU18" s="2" t="s">
        <v>1025</v>
      </c>
      <c r="AV18" s="2" t="s">
        <v>215</v>
      </c>
      <c r="AW18" s="2">
        <v>516269</v>
      </c>
      <c r="AX18" s="2" t="s">
        <v>2320</v>
      </c>
      <c r="AY18" s="2" t="s">
        <v>37</v>
      </c>
      <c r="AZ18" s="2">
        <v>8500782446</v>
      </c>
      <c r="BA18" s="2">
        <v>7013038090</v>
      </c>
      <c r="BD18" s="3" t="s">
        <v>2322</v>
      </c>
      <c r="BE18" s="2" t="s">
        <v>3096</v>
      </c>
    </row>
    <row r="19" spans="1:58" s="2" customFormat="1" ht="80.099999999999994" customHeight="1" x14ac:dyDescent="0.25">
      <c r="A19" s="2">
        <v>17</v>
      </c>
      <c r="B19" s="2">
        <v>468</v>
      </c>
      <c r="C19" s="2" t="s">
        <v>4444</v>
      </c>
      <c r="D19" s="6" t="s">
        <v>392</v>
      </c>
      <c r="F19" s="8" t="s">
        <v>2365</v>
      </c>
      <c r="G19" s="6" t="s">
        <v>38</v>
      </c>
      <c r="H19" s="6" t="s">
        <v>35</v>
      </c>
      <c r="I19" s="2" t="s">
        <v>68</v>
      </c>
      <c r="J19" s="2" t="s">
        <v>36</v>
      </c>
      <c r="K19" s="2" t="s">
        <v>2387</v>
      </c>
      <c r="L19" s="2" t="s">
        <v>82</v>
      </c>
      <c r="M19" s="2" t="s">
        <v>2388</v>
      </c>
      <c r="N19" s="2" t="s">
        <v>155</v>
      </c>
      <c r="O19" s="2" t="s">
        <v>83</v>
      </c>
      <c r="P19" s="2" t="s">
        <v>85</v>
      </c>
      <c r="Q19" s="2" t="s">
        <v>185</v>
      </c>
      <c r="R19" s="2">
        <v>4608469</v>
      </c>
      <c r="S19" s="2">
        <v>2018</v>
      </c>
      <c r="T19" s="2" t="s">
        <v>616</v>
      </c>
      <c r="U19" s="2" t="s">
        <v>37</v>
      </c>
      <c r="V19" s="2" t="s">
        <v>152</v>
      </c>
      <c r="W19" s="2" t="s">
        <v>37</v>
      </c>
      <c r="X19" s="2" t="s">
        <v>37</v>
      </c>
      <c r="Y19" s="2">
        <f>91+47+85+64+53</f>
        <v>340</v>
      </c>
      <c r="Z19" s="2">
        <v>500</v>
      </c>
      <c r="AA19" s="2">
        <f t="shared" si="0"/>
        <v>68</v>
      </c>
      <c r="AB19" s="2">
        <f>47+85+64</f>
        <v>196</v>
      </c>
      <c r="AC19" s="2">
        <v>300</v>
      </c>
      <c r="AD19" s="2">
        <f t="shared" si="1"/>
        <v>65.333333333333329</v>
      </c>
      <c r="AE19" s="2" t="s">
        <v>2389</v>
      </c>
      <c r="AF19" s="2" t="s">
        <v>1118</v>
      </c>
      <c r="AG19" s="2" t="s">
        <v>2348</v>
      </c>
      <c r="AH19" s="2">
        <v>10000</v>
      </c>
      <c r="AI19" s="2">
        <v>215000</v>
      </c>
      <c r="AJ19" s="2">
        <v>27500</v>
      </c>
      <c r="AK19" s="2">
        <f t="shared" si="2"/>
        <v>252500</v>
      </c>
      <c r="AL19" s="2" t="s">
        <v>2390</v>
      </c>
      <c r="AM19" s="2" t="s">
        <v>2392</v>
      </c>
      <c r="AN19" s="2" t="s">
        <v>2391</v>
      </c>
      <c r="AO19" s="2" t="s">
        <v>2393</v>
      </c>
      <c r="AP19" s="2">
        <v>1000000</v>
      </c>
      <c r="AQ19" s="2" t="s">
        <v>2394</v>
      </c>
      <c r="AR19" s="4" t="s">
        <v>2395</v>
      </c>
      <c r="AS19" s="2" t="s">
        <v>2396</v>
      </c>
      <c r="AT19" s="2" t="s">
        <v>2397</v>
      </c>
      <c r="AU19" s="2" t="s">
        <v>95</v>
      </c>
      <c r="AV19" s="2" t="s">
        <v>65</v>
      </c>
      <c r="AW19" s="2">
        <v>560076</v>
      </c>
      <c r="AX19" s="2" t="s">
        <v>2396</v>
      </c>
      <c r="AY19" s="2" t="s">
        <v>37</v>
      </c>
      <c r="AZ19" s="2">
        <v>7904589528</v>
      </c>
      <c r="BA19" s="2">
        <v>8825420743</v>
      </c>
      <c r="BC19" s="3" t="s">
        <v>2398</v>
      </c>
      <c r="BD19" s="3" t="s">
        <v>2399</v>
      </c>
      <c r="BE19" s="2" t="s">
        <v>1939</v>
      </c>
      <c r="BF19" s="2" t="s">
        <v>230</v>
      </c>
    </row>
    <row r="20" spans="1:58" s="2" customFormat="1" ht="80.099999999999994" customHeight="1" x14ac:dyDescent="0.25">
      <c r="A20" s="2">
        <v>18</v>
      </c>
      <c r="B20" s="6">
        <v>481</v>
      </c>
      <c r="C20" s="2" t="s">
        <v>4444</v>
      </c>
      <c r="D20" s="6" t="s">
        <v>392</v>
      </c>
      <c r="F20" s="8" t="s">
        <v>2447</v>
      </c>
      <c r="G20" s="6" t="s">
        <v>38</v>
      </c>
      <c r="H20" s="6" t="s">
        <v>35</v>
      </c>
      <c r="I20" s="2" t="s">
        <v>68</v>
      </c>
      <c r="J20" s="2" t="s">
        <v>36</v>
      </c>
      <c r="K20" s="2" t="s">
        <v>1774</v>
      </c>
      <c r="L20" s="2" t="s">
        <v>82</v>
      </c>
      <c r="M20" s="2" t="s">
        <v>867</v>
      </c>
      <c r="N20" s="2" t="s">
        <v>2448</v>
      </c>
      <c r="O20" s="2" t="s">
        <v>83</v>
      </c>
      <c r="P20" s="2" t="s">
        <v>73</v>
      </c>
      <c r="Q20" s="2" t="s">
        <v>185</v>
      </c>
      <c r="R20" s="2">
        <v>1809224378</v>
      </c>
      <c r="S20" s="2">
        <v>2018</v>
      </c>
      <c r="T20" s="2" t="s">
        <v>89</v>
      </c>
      <c r="U20" s="2" t="s">
        <v>37</v>
      </c>
      <c r="V20" s="2" t="s">
        <v>215</v>
      </c>
      <c r="W20" s="2">
        <v>956</v>
      </c>
      <c r="X20" s="2">
        <f>W20/1000*100</f>
        <v>95.6</v>
      </c>
      <c r="Y20" s="2">
        <f>91+94+71+75+60+56+30+30</f>
        <v>507</v>
      </c>
      <c r="Z20" s="2">
        <v>530</v>
      </c>
      <c r="AA20" s="2">
        <f t="shared" si="0"/>
        <v>95.660377358490564</v>
      </c>
      <c r="AB20" s="2">
        <f>75+72+60+53+71+75+60+56+30+30</f>
        <v>582</v>
      </c>
      <c r="AC20" s="2">
        <v>600</v>
      </c>
      <c r="AD20" s="2">
        <f t="shared" si="1"/>
        <v>97</v>
      </c>
      <c r="AE20" s="2" t="s">
        <v>2449</v>
      </c>
      <c r="AF20" s="2" t="s">
        <v>2446</v>
      </c>
      <c r="AG20" s="2" t="s">
        <v>2446</v>
      </c>
      <c r="AH20" s="2">
        <v>10000</v>
      </c>
      <c r="AI20" s="2">
        <v>215000</v>
      </c>
      <c r="AJ20" s="2">
        <v>27500</v>
      </c>
      <c r="AK20" s="2">
        <f t="shared" si="2"/>
        <v>252500</v>
      </c>
      <c r="AL20" s="2" t="s">
        <v>2450</v>
      </c>
      <c r="AM20" s="2" t="s">
        <v>78</v>
      </c>
      <c r="AN20" s="2" t="s">
        <v>2451</v>
      </c>
      <c r="AO20" s="2" t="s">
        <v>139</v>
      </c>
      <c r="AP20" s="2">
        <v>100000</v>
      </c>
      <c r="AQ20" s="2" t="s">
        <v>2452</v>
      </c>
      <c r="AR20" s="4" t="s">
        <v>2453</v>
      </c>
      <c r="AS20" s="2" t="s">
        <v>2454</v>
      </c>
      <c r="AT20" s="2" t="s">
        <v>183</v>
      </c>
      <c r="AU20" s="2" t="s">
        <v>164</v>
      </c>
      <c r="AV20" s="2" t="s">
        <v>215</v>
      </c>
      <c r="AW20" s="2">
        <v>517424</v>
      </c>
      <c r="AX20" s="2" t="s">
        <v>2454</v>
      </c>
      <c r="AY20" s="2">
        <v>9052411871</v>
      </c>
      <c r="AZ20" s="2">
        <v>9391830383</v>
      </c>
      <c r="BA20" s="2">
        <v>9652738161</v>
      </c>
      <c r="BB20" s="2">
        <v>9652737715</v>
      </c>
      <c r="BC20" s="3" t="s">
        <v>2455</v>
      </c>
      <c r="BD20" s="3" t="s">
        <v>2456</v>
      </c>
      <c r="BE20" s="2" t="s">
        <v>879</v>
      </c>
      <c r="BF20" s="2" t="s">
        <v>113</v>
      </c>
    </row>
    <row r="21" spans="1:58" s="2" customFormat="1" ht="80.099999999999994" customHeight="1" x14ac:dyDescent="0.25">
      <c r="A21" s="2">
        <v>19</v>
      </c>
      <c r="B21" s="2">
        <v>492</v>
      </c>
      <c r="C21" s="2" t="s">
        <v>4444</v>
      </c>
      <c r="D21" s="2" t="s">
        <v>392</v>
      </c>
      <c r="F21" s="7" t="s">
        <v>2503</v>
      </c>
      <c r="G21" s="2" t="s">
        <v>38</v>
      </c>
      <c r="H21" s="2" t="s">
        <v>35</v>
      </c>
      <c r="I21" s="2" t="s">
        <v>68</v>
      </c>
      <c r="J21" s="2" t="s">
        <v>159</v>
      </c>
      <c r="K21" s="2" t="s">
        <v>752</v>
      </c>
      <c r="L21" s="2" t="s">
        <v>1386</v>
      </c>
      <c r="M21" s="2" t="s">
        <v>896</v>
      </c>
      <c r="N21" s="2" t="s">
        <v>2504</v>
      </c>
      <c r="O21" s="2" t="s">
        <v>72</v>
      </c>
      <c r="P21" s="2" t="s">
        <v>137</v>
      </c>
      <c r="Q21" s="2" t="s">
        <v>63</v>
      </c>
      <c r="R21" s="2">
        <v>573131</v>
      </c>
      <c r="S21" s="2">
        <v>2018</v>
      </c>
      <c r="T21" s="2" t="s">
        <v>64</v>
      </c>
      <c r="U21" s="2" t="s">
        <v>65</v>
      </c>
      <c r="V21" s="2" t="s">
        <v>37</v>
      </c>
      <c r="W21" s="2" t="s">
        <v>37</v>
      </c>
      <c r="X21" s="2" t="s">
        <v>37</v>
      </c>
      <c r="Y21" s="2">
        <v>391</v>
      </c>
      <c r="Z21" s="2">
        <v>600</v>
      </c>
      <c r="AA21" s="2">
        <f t="shared" si="0"/>
        <v>65.166666666666657</v>
      </c>
      <c r="AB21" s="2">
        <f>74+64+45</f>
        <v>183</v>
      </c>
      <c r="AC21" s="2">
        <v>300</v>
      </c>
      <c r="AD21" s="2">
        <f t="shared" si="1"/>
        <v>61</v>
      </c>
      <c r="AE21" s="2" t="s">
        <v>2505</v>
      </c>
      <c r="AF21" s="2" t="s">
        <v>2493</v>
      </c>
      <c r="AG21" s="2" t="s">
        <v>2493</v>
      </c>
      <c r="AH21" s="2">
        <v>10000</v>
      </c>
      <c r="AI21" s="2">
        <v>215000</v>
      </c>
      <c r="AJ21" s="2">
        <v>27500</v>
      </c>
      <c r="AK21" s="2">
        <f t="shared" si="2"/>
        <v>252500</v>
      </c>
      <c r="AL21" s="2" t="s">
        <v>2506</v>
      </c>
      <c r="AM21" s="2" t="s">
        <v>78</v>
      </c>
      <c r="AN21" s="2" t="s">
        <v>2507</v>
      </c>
      <c r="AO21" s="2" t="s">
        <v>139</v>
      </c>
      <c r="AP21" s="2">
        <v>25000</v>
      </c>
      <c r="AQ21" s="2" t="s">
        <v>3819</v>
      </c>
      <c r="AR21" s="4" t="s">
        <v>2508</v>
      </c>
      <c r="AS21" s="2" t="s">
        <v>2509</v>
      </c>
      <c r="AT21" s="2" t="s">
        <v>2510</v>
      </c>
      <c r="AU21" s="2" t="s">
        <v>2511</v>
      </c>
      <c r="AV21" s="2" t="s">
        <v>65</v>
      </c>
      <c r="AW21" s="2">
        <v>581115</v>
      </c>
      <c r="AX21" s="2" t="s">
        <v>2509</v>
      </c>
      <c r="AY21" s="2" t="s">
        <v>37</v>
      </c>
      <c r="AZ21" s="2">
        <v>7892959885</v>
      </c>
      <c r="BA21" s="2">
        <v>9972328059</v>
      </c>
      <c r="BB21" s="2">
        <v>9738815534</v>
      </c>
      <c r="BD21" s="3" t="s">
        <v>2512</v>
      </c>
      <c r="BE21" s="2" t="s">
        <v>3820</v>
      </c>
    </row>
    <row r="22" spans="1:58" s="2" customFormat="1" ht="80.099999999999994" customHeight="1" x14ac:dyDescent="0.25">
      <c r="A22" s="2">
        <v>20</v>
      </c>
      <c r="B22" s="2">
        <v>537</v>
      </c>
      <c r="C22" s="2" t="s">
        <v>4444</v>
      </c>
      <c r="D22" s="2" t="s">
        <v>392</v>
      </c>
      <c r="F22" s="7" t="s">
        <v>2714</v>
      </c>
      <c r="G22" s="2" t="s">
        <v>38</v>
      </c>
      <c r="H22" s="2" t="s">
        <v>35</v>
      </c>
      <c r="I22" s="2" t="s">
        <v>68</v>
      </c>
      <c r="J22" s="2" t="s">
        <v>158</v>
      </c>
      <c r="K22" s="2" t="s">
        <v>2716</v>
      </c>
      <c r="L22" s="2" t="s">
        <v>286</v>
      </c>
      <c r="M22" s="2" t="s">
        <v>2717</v>
      </c>
      <c r="N22" s="2" t="s">
        <v>155</v>
      </c>
      <c r="O22" s="2" t="s">
        <v>162</v>
      </c>
      <c r="P22" s="2" t="s">
        <v>85</v>
      </c>
      <c r="Q22" s="2" t="s">
        <v>185</v>
      </c>
      <c r="R22" s="2">
        <v>4613156</v>
      </c>
      <c r="S22" s="2">
        <v>2018</v>
      </c>
      <c r="T22" s="2" t="s">
        <v>616</v>
      </c>
      <c r="U22" s="2" t="s">
        <v>37</v>
      </c>
      <c r="V22" s="2" t="s">
        <v>152</v>
      </c>
      <c r="W22" s="2" t="s">
        <v>37</v>
      </c>
      <c r="X22" s="2" t="s">
        <v>37</v>
      </c>
      <c r="Y22" s="2">
        <f>80+76+70+85+79</f>
        <v>390</v>
      </c>
      <c r="Z22" s="2">
        <v>500</v>
      </c>
      <c r="AA22" s="2">
        <f t="shared" si="0"/>
        <v>78</v>
      </c>
      <c r="AB22" s="2">
        <f>76+70+85</f>
        <v>231</v>
      </c>
      <c r="AC22" s="2">
        <v>300</v>
      </c>
      <c r="AD22" s="2">
        <f t="shared" si="1"/>
        <v>77</v>
      </c>
      <c r="AE22" s="2" t="s">
        <v>2718</v>
      </c>
      <c r="AF22" s="2" t="s">
        <v>2275</v>
      </c>
      <c r="AG22" s="2" t="s">
        <v>2715</v>
      </c>
      <c r="AH22" s="2">
        <v>10000</v>
      </c>
      <c r="AI22" s="2">
        <v>215000</v>
      </c>
      <c r="AJ22" s="2">
        <v>27500</v>
      </c>
      <c r="AK22" s="2">
        <f t="shared" si="2"/>
        <v>252500</v>
      </c>
      <c r="AL22" s="2" t="s">
        <v>2719</v>
      </c>
      <c r="AM22" s="2" t="s">
        <v>78</v>
      </c>
      <c r="AN22" s="2" t="s">
        <v>2720</v>
      </c>
      <c r="AO22" s="2" t="s">
        <v>139</v>
      </c>
      <c r="AP22" s="2">
        <v>600000</v>
      </c>
      <c r="AQ22" s="2" t="s">
        <v>2721</v>
      </c>
      <c r="AR22" s="4" t="s">
        <v>2722</v>
      </c>
      <c r="AS22" s="2" t="s">
        <v>2723</v>
      </c>
      <c r="AT22" s="2" t="s">
        <v>2724</v>
      </c>
      <c r="AU22" s="2" t="s">
        <v>923</v>
      </c>
      <c r="AV22" s="2" t="s">
        <v>152</v>
      </c>
      <c r="AW22" s="2">
        <v>635802</v>
      </c>
      <c r="AX22" s="2" t="s">
        <v>2723</v>
      </c>
      <c r="AZ22" s="2">
        <v>9566703953</v>
      </c>
      <c r="BA22" s="2">
        <v>9442242553</v>
      </c>
      <c r="BB22" s="2">
        <v>9940923953</v>
      </c>
      <c r="BD22" s="3" t="s">
        <v>2725</v>
      </c>
      <c r="BE22" s="2" t="s">
        <v>1862</v>
      </c>
      <c r="BF22" s="2" t="s">
        <v>37</v>
      </c>
    </row>
    <row r="23" spans="1:58" s="2" customFormat="1" ht="80.099999999999994" customHeight="1" x14ac:dyDescent="0.25">
      <c r="A23" s="2">
        <v>21</v>
      </c>
      <c r="B23" s="2">
        <v>543</v>
      </c>
      <c r="C23" s="2" t="s">
        <v>4444</v>
      </c>
      <c r="D23" s="2" t="s">
        <v>392</v>
      </c>
      <c r="F23" s="7" t="s">
        <v>2745</v>
      </c>
      <c r="G23" s="2" t="s">
        <v>38</v>
      </c>
      <c r="H23" s="2" t="s">
        <v>35</v>
      </c>
      <c r="I23" s="2" t="s">
        <v>68</v>
      </c>
      <c r="J23" s="2" t="s">
        <v>36</v>
      </c>
      <c r="K23" s="2" t="s">
        <v>69</v>
      </c>
      <c r="L23" s="2">
        <v>1</v>
      </c>
      <c r="M23" s="2" t="s">
        <v>2746</v>
      </c>
      <c r="N23" s="2" t="s">
        <v>1551</v>
      </c>
      <c r="O23" s="2" t="s">
        <v>561</v>
      </c>
      <c r="P23" s="2" t="s">
        <v>62</v>
      </c>
      <c r="Q23" s="2" t="s">
        <v>185</v>
      </c>
      <c r="R23" s="2">
        <v>1858225978</v>
      </c>
      <c r="S23" s="2">
        <v>2018</v>
      </c>
      <c r="T23" s="2" t="s">
        <v>75</v>
      </c>
      <c r="U23" s="2" t="s">
        <v>37</v>
      </c>
      <c r="V23" s="2" t="s">
        <v>76</v>
      </c>
      <c r="W23" s="2">
        <v>887</v>
      </c>
      <c r="X23" s="2">
        <f>W23/1000*100</f>
        <v>88.7</v>
      </c>
      <c r="Y23" s="2">
        <f>80+96+73+64+56+39+30+29</f>
        <v>467</v>
      </c>
      <c r="Z23" s="2">
        <v>530</v>
      </c>
      <c r="AA23" s="2">
        <f t="shared" si="0"/>
        <v>88.113207547169807</v>
      </c>
      <c r="AB23" s="2">
        <f>73+65+55+43+73+64+56+39+30+29</f>
        <v>527</v>
      </c>
      <c r="AC23" s="2">
        <v>600</v>
      </c>
      <c r="AD23" s="2">
        <f t="shared" si="1"/>
        <v>87.833333333333329</v>
      </c>
      <c r="AE23" s="2" t="s">
        <v>2747</v>
      </c>
      <c r="AF23" s="2" t="s">
        <v>2715</v>
      </c>
      <c r="AG23" s="2" t="s">
        <v>2715</v>
      </c>
      <c r="AH23" s="2">
        <v>10000</v>
      </c>
      <c r="AI23" s="2">
        <v>215000</v>
      </c>
      <c r="AJ23" s="2">
        <v>27500</v>
      </c>
      <c r="AK23" s="2">
        <f t="shared" si="2"/>
        <v>252500</v>
      </c>
      <c r="AL23" s="2" t="s">
        <v>2748</v>
      </c>
      <c r="AM23" s="2" t="s">
        <v>2750</v>
      </c>
      <c r="AN23" s="2" t="s">
        <v>2749</v>
      </c>
      <c r="AO23" s="2" t="s">
        <v>2750</v>
      </c>
      <c r="AP23" s="2">
        <v>700000</v>
      </c>
      <c r="AQ23" s="2" t="s">
        <v>2751</v>
      </c>
      <c r="AR23" s="4" t="s">
        <v>2752</v>
      </c>
      <c r="AS23" s="2" t="s">
        <v>2757</v>
      </c>
      <c r="AT23" s="2" t="s">
        <v>2753</v>
      </c>
      <c r="AU23" s="2" t="s">
        <v>1551</v>
      </c>
      <c r="AV23" s="2" t="s">
        <v>1101</v>
      </c>
      <c r="AW23" s="2">
        <v>440023</v>
      </c>
      <c r="AX23" s="2" t="s">
        <v>2757</v>
      </c>
      <c r="AY23" s="2" t="s">
        <v>37</v>
      </c>
      <c r="AZ23" s="2">
        <v>9561712143</v>
      </c>
      <c r="BA23" s="2">
        <v>9860533897</v>
      </c>
      <c r="BB23" s="2">
        <v>9921441447</v>
      </c>
      <c r="BC23" s="3" t="s">
        <v>2754</v>
      </c>
      <c r="BD23" s="3" t="s">
        <v>2755</v>
      </c>
      <c r="BE23" s="2" t="s">
        <v>2756</v>
      </c>
      <c r="BF23" s="2" t="s">
        <v>343</v>
      </c>
    </row>
    <row r="24" spans="1:58" s="2" customFormat="1" ht="80.099999999999994" customHeight="1" x14ac:dyDescent="0.25">
      <c r="A24" s="2">
        <v>22</v>
      </c>
      <c r="B24" s="2">
        <v>552</v>
      </c>
      <c r="C24" s="2" t="s">
        <v>4444</v>
      </c>
      <c r="D24" s="2" t="s">
        <v>392</v>
      </c>
      <c r="F24" s="7" t="s">
        <v>2775</v>
      </c>
      <c r="G24" s="2" t="s">
        <v>1505</v>
      </c>
      <c r="H24" s="2" t="s">
        <v>35</v>
      </c>
      <c r="I24" s="2" t="s">
        <v>68</v>
      </c>
      <c r="J24" s="2" t="s">
        <v>36</v>
      </c>
      <c r="K24" s="2" t="s">
        <v>140</v>
      </c>
      <c r="L24" s="2" t="s">
        <v>82</v>
      </c>
      <c r="M24" s="2" t="s">
        <v>2776</v>
      </c>
      <c r="N24" s="2" t="s">
        <v>1568</v>
      </c>
      <c r="O24" s="2" t="s">
        <v>83</v>
      </c>
      <c r="P24" s="2" t="s">
        <v>62</v>
      </c>
      <c r="Q24" s="2" t="s">
        <v>185</v>
      </c>
      <c r="R24" s="2">
        <v>1808212032</v>
      </c>
      <c r="S24" s="2">
        <v>2018</v>
      </c>
      <c r="T24" s="2" t="s">
        <v>89</v>
      </c>
      <c r="U24" s="2" t="s">
        <v>37</v>
      </c>
      <c r="V24" s="2" t="s">
        <v>215</v>
      </c>
      <c r="W24" s="2">
        <v>703</v>
      </c>
      <c r="X24" s="2">
        <f>W24/1000*100</f>
        <v>70.3</v>
      </c>
      <c r="Y24" s="2">
        <f>75+52+44+65+44+23+27+15</f>
        <v>345</v>
      </c>
      <c r="Z24" s="2">
        <v>530</v>
      </c>
      <c r="AA24" s="2">
        <f t="shared" si="0"/>
        <v>65.094339622641513</v>
      </c>
      <c r="AB24" s="2">
        <f>60+71+53+50+44+65+44+23+27+15</f>
        <v>452</v>
      </c>
      <c r="AC24" s="2">
        <v>600</v>
      </c>
      <c r="AD24" s="2">
        <f t="shared" si="1"/>
        <v>75.333333333333329</v>
      </c>
      <c r="AE24" s="2" t="s">
        <v>2777</v>
      </c>
      <c r="AF24" s="2" t="s">
        <v>2214</v>
      </c>
      <c r="AG24" s="2" t="s">
        <v>2771</v>
      </c>
      <c r="AH24" s="2">
        <v>10000</v>
      </c>
      <c r="AI24" s="2">
        <v>205000</v>
      </c>
      <c r="AJ24" s="2">
        <v>27500</v>
      </c>
      <c r="AK24" s="2">
        <f t="shared" si="2"/>
        <v>242500</v>
      </c>
      <c r="AL24" s="2" t="s">
        <v>2778</v>
      </c>
      <c r="AM24" s="2" t="s">
        <v>78</v>
      </c>
      <c r="AN24" s="2" t="s">
        <v>2779</v>
      </c>
      <c r="AO24" s="2" t="s">
        <v>139</v>
      </c>
      <c r="AP24" s="2">
        <v>500000</v>
      </c>
      <c r="AQ24" s="2" t="s">
        <v>2780</v>
      </c>
      <c r="AR24" s="4" t="s">
        <v>2781</v>
      </c>
      <c r="AS24" s="2" t="s">
        <v>2782</v>
      </c>
      <c r="AT24" s="2" t="s">
        <v>2786</v>
      </c>
      <c r="AU24" s="2" t="s">
        <v>1568</v>
      </c>
      <c r="AV24" s="2" t="s">
        <v>215</v>
      </c>
      <c r="AW24" s="2">
        <v>524001</v>
      </c>
      <c r="AX24" s="2" t="s">
        <v>2782</v>
      </c>
      <c r="AY24" s="2" t="s">
        <v>2783</v>
      </c>
      <c r="AZ24" s="2">
        <v>9701932978</v>
      </c>
      <c r="BA24" s="2">
        <v>9246431336</v>
      </c>
      <c r="BB24" s="2">
        <v>9030979133</v>
      </c>
      <c r="BC24" s="3" t="s">
        <v>2784</v>
      </c>
      <c r="BD24" s="3" t="s">
        <v>2785</v>
      </c>
      <c r="BE24" s="2" t="s">
        <v>2773</v>
      </c>
      <c r="BF24" s="2" t="s">
        <v>144</v>
      </c>
    </row>
    <row r="25" spans="1:58" s="2" customFormat="1" ht="80.099999999999994" customHeight="1" x14ac:dyDescent="0.25">
      <c r="A25" s="2">
        <v>23</v>
      </c>
      <c r="B25" s="6">
        <v>561</v>
      </c>
      <c r="C25" s="2" t="s">
        <v>4444</v>
      </c>
      <c r="D25" s="6" t="s">
        <v>392</v>
      </c>
      <c r="F25" s="8" t="s">
        <v>2789</v>
      </c>
      <c r="G25" s="6" t="s">
        <v>38</v>
      </c>
      <c r="H25" s="6" t="s">
        <v>35</v>
      </c>
      <c r="I25" s="2" t="s">
        <v>68</v>
      </c>
      <c r="J25" s="2" t="s">
        <v>435</v>
      </c>
      <c r="K25" s="2" t="s">
        <v>2138</v>
      </c>
      <c r="L25" s="2" t="s">
        <v>59</v>
      </c>
      <c r="M25" s="2" t="s">
        <v>2817</v>
      </c>
      <c r="N25" s="2" t="s">
        <v>95</v>
      </c>
      <c r="O25" s="2" t="s">
        <v>61</v>
      </c>
      <c r="P25" s="2" t="s">
        <v>85</v>
      </c>
      <c r="Q25" s="2" t="s">
        <v>63</v>
      </c>
      <c r="R25" s="2">
        <v>399280</v>
      </c>
      <c r="S25" s="2">
        <v>2018</v>
      </c>
      <c r="T25" s="2" t="s">
        <v>64</v>
      </c>
      <c r="U25" s="2" t="s">
        <v>65</v>
      </c>
      <c r="V25" s="2" t="s">
        <v>37</v>
      </c>
      <c r="W25" s="2" t="s">
        <v>37</v>
      </c>
      <c r="X25" s="2" t="s">
        <v>37</v>
      </c>
      <c r="Y25" s="2">
        <v>387</v>
      </c>
      <c r="Z25" s="2">
        <v>600</v>
      </c>
      <c r="AA25" s="2">
        <f t="shared" si="0"/>
        <v>64.5</v>
      </c>
      <c r="AB25" s="2">
        <f>60+71+51</f>
        <v>182</v>
      </c>
      <c r="AC25" s="2">
        <v>300</v>
      </c>
      <c r="AD25" s="2">
        <f t="shared" si="1"/>
        <v>60.666666666666671</v>
      </c>
      <c r="AE25" s="2" t="s">
        <v>2818</v>
      </c>
      <c r="AF25" s="2" t="s">
        <v>2793</v>
      </c>
      <c r="AG25" s="2" t="s">
        <v>2793</v>
      </c>
      <c r="AH25" s="2">
        <v>10000</v>
      </c>
      <c r="AI25" s="2">
        <v>215000</v>
      </c>
      <c r="AJ25" s="2">
        <v>27500</v>
      </c>
      <c r="AK25" s="2">
        <f t="shared" si="2"/>
        <v>252500</v>
      </c>
      <c r="AL25" s="2" t="s">
        <v>2819</v>
      </c>
      <c r="AM25" s="2" t="s">
        <v>78</v>
      </c>
      <c r="AN25" s="2" t="s">
        <v>2820</v>
      </c>
      <c r="AO25" s="2" t="s">
        <v>897</v>
      </c>
      <c r="AP25" s="2">
        <v>441348</v>
      </c>
      <c r="AQ25" s="2" t="s">
        <v>2821</v>
      </c>
      <c r="AR25" s="4" t="s">
        <v>2822</v>
      </c>
      <c r="AS25" s="2" t="s">
        <v>2823</v>
      </c>
      <c r="AT25" s="2" t="s">
        <v>2824</v>
      </c>
      <c r="AU25" s="2" t="s">
        <v>95</v>
      </c>
      <c r="AV25" s="2" t="s">
        <v>65</v>
      </c>
      <c r="AW25" s="2">
        <v>560017</v>
      </c>
      <c r="AX25" s="2" t="s">
        <v>2823</v>
      </c>
      <c r="AY25" s="2" t="s">
        <v>2825</v>
      </c>
      <c r="AZ25" s="2">
        <v>9741987391</v>
      </c>
      <c r="BA25" s="2">
        <v>8971343485</v>
      </c>
      <c r="BB25" s="2">
        <v>8861231606</v>
      </c>
      <c r="BD25" s="3" t="s">
        <v>2826</v>
      </c>
      <c r="BE25" s="2" t="s">
        <v>1609</v>
      </c>
      <c r="BF25" s="2" t="s">
        <v>37</v>
      </c>
    </row>
    <row r="26" spans="1:58" s="2" customFormat="1" ht="80.099999999999994" customHeight="1" x14ac:dyDescent="0.25">
      <c r="A26" s="2">
        <v>24</v>
      </c>
      <c r="B26" s="2">
        <v>570</v>
      </c>
      <c r="C26" s="2" t="s">
        <v>4444</v>
      </c>
      <c r="D26" s="2" t="s">
        <v>392</v>
      </c>
      <c r="F26" s="7" t="s">
        <v>2862</v>
      </c>
      <c r="G26" s="2" t="s">
        <v>38</v>
      </c>
      <c r="H26" s="2" t="s">
        <v>35</v>
      </c>
      <c r="I26" s="2" t="s">
        <v>68</v>
      </c>
      <c r="J26" s="2" t="s">
        <v>36</v>
      </c>
      <c r="K26" s="2" t="s">
        <v>2863</v>
      </c>
      <c r="L26" s="2" t="s">
        <v>82</v>
      </c>
      <c r="M26" s="2" t="s">
        <v>1686</v>
      </c>
      <c r="N26" s="2" t="s">
        <v>2864</v>
      </c>
      <c r="O26" s="2" t="s">
        <v>449</v>
      </c>
      <c r="P26" s="2" t="s">
        <v>73</v>
      </c>
      <c r="Q26" s="2" t="s">
        <v>185</v>
      </c>
      <c r="R26" s="2">
        <v>3624554</v>
      </c>
      <c r="S26" s="2">
        <v>2018</v>
      </c>
      <c r="T26" s="2" t="s">
        <v>616</v>
      </c>
      <c r="U26" s="2" t="s">
        <v>37</v>
      </c>
      <c r="V26" s="2" t="s">
        <v>1829</v>
      </c>
      <c r="W26" s="2" t="s">
        <v>37</v>
      </c>
      <c r="X26" s="2" t="s">
        <v>37</v>
      </c>
      <c r="Y26" s="2">
        <f>83+50+60+61+75+56</f>
        <v>385</v>
      </c>
      <c r="Z26" s="2">
        <v>600</v>
      </c>
      <c r="AA26" s="2">
        <f t="shared" si="0"/>
        <v>64.166666666666671</v>
      </c>
      <c r="AB26" s="2">
        <f>50+60+61</f>
        <v>171</v>
      </c>
      <c r="AC26" s="2">
        <v>300</v>
      </c>
      <c r="AD26" s="2">
        <f t="shared" si="1"/>
        <v>56.999999999999993</v>
      </c>
      <c r="AE26" s="2" t="s">
        <v>2865</v>
      </c>
      <c r="AF26" s="2" t="s">
        <v>2348</v>
      </c>
      <c r="AG26" s="2" t="s">
        <v>2836</v>
      </c>
      <c r="AH26" s="2">
        <v>10000</v>
      </c>
      <c r="AI26" s="2">
        <v>215000</v>
      </c>
      <c r="AJ26" s="2">
        <v>27500</v>
      </c>
      <c r="AK26" s="2">
        <f t="shared" si="2"/>
        <v>252500</v>
      </c>
      <c r="AL26" s="2" t="s">
        <v>2866</v>
      </c>
      <c r="AM26" s="2" t="s">
        <v>78</v>
      </c>
      <c r="AN26" s="2" t="s">
        <v>2867</v>
      </c>
      <c r="AO26" s="2" t="s">
        <v>912</v>
      </c>
      <c r="AP26" s="2">
        <v>1200000</v>
      </c>
      <c r="AQ26" s="2" t="s">
        <v>2868</v>
      </c>
      <c r="AR26" s="4" t="s">
        <v>2869</v>
      </c>
      <c r="AS26" s="2" t="s">
        <v>2870</v>
      </c>
      <c r="AT26" s="2" t="s">
        <v>2871</v>
      </c>
      <c r="AU26" s="2" t="s">
        <v>2872</v>
      </c>
      <c r="AV26" s="2" t="s">
        <v>1829</v>
      </c>
      <c r="AX26" s="2" t="s">
        <v>2873</v>
      </c>
      <c r="AY26" s="2" t="s">
        <v>37</v>
      </c>
      <c r="AZ26" s="2">
        <v>8752901454</v>
      </c>
      <c r="BA26" s="2">
        <v>9859397501</v>
      </c>
      <c r="BB26" s="2">
        <v>9854497287</v>
      </c>
      <c r="BC26" s="3" t="s">
        <v>2874</v>
      </c>
      <c r="BD26" s="3" t="s">
        <v>2875</v>
      </c>
      <c r="BE26" s="2" t="s">
        <v>2913</v>
      </c>
    </row>
    <row r="27" spans="1:58" s="2" customFormat="1" ht="80.099999999999994" customHeight="1" x14ac:dyDescent="0.25">
      <c r="A27" s="2">
        <v>25</v>
      </c>
      <c r="B27" s="2">
        <v>597</v>
      </c>
      <c r="C27" s="2" t="s">
        <v>4444</v>
      </c>
      <c r="D27" s="2" t="s">
        <v>392</v>
      </c>
      <c r="F27" s="7" t="s">
        <v>2945</v>
      </c>
      <c r="G27" s="2" t="s">
        <v>38</v>
      </c>
      <c r="H27" s="2" t="s">
        <v>35</v>
      </c>
      <c r="I27" s="2" t="s">
        <v>68</v>
      </c>
      <c r="J27" s="2" t="s">
        <v>435</v>
      </c>
      <c r="K27" s="2" t="s">
        <v>2961</v>
      </c>
      <c r="L27" s="2" t="s">
        <v>82</v>
      </c>
      <c r="M27" s="2" t="s">
        <v>2569</v>
      </c>
      <c r="N27" s="2" t="s">
        <v>2962</v>
      </c>
      <c r="O27" s="2" t="s">
        <v>72</v>
      </c>
      <c r="P27" s="2" t="s">
        <v>62</v>
      </c>
      <c r="Q27" s="2" t="s">
        <v>185</v>
      </c>
      <c r="R27" s="2">
        <v>6246570</v>
      </c>
      <c r="S27" s="2">
        <v>2018</v>
      </c>
      <c r="T27" s="2" t="s">
        <v>184</v>
      </c>
      <c r="U27" s="2" t="s">
        <v>37</v>
      </c>
      <c r="V27" s="2" t="s">
        <v>80</v>
      </c>
      <c r="W27" s="2" t="s">
        <v>37</v>
      </c>
      <c r="X27" s="2" t="s">
        <v>37</v>
      </c>
      <c r="Y27" s="2">
        <f>80+49+67+78+97</f>
        <v>371</v>
      </c>
      <c r="Z27" s="2">
        <v>500</v>
      </c>
      <c r="AA27" s="2">
        <f t="shared" si="0"/>
        <v>74.2</v>
      </c>
      <c r="AB27" s="2">
        <f>49+67+78</f>
        <v>194</v>
      </c>
      <c r="AC27" s="2">
        <v>300</v>
      </c>
      <c r="AD27" s="2">
        <f t="shared" si="1"/>
        <v>64.666666666666657</v>
      </c>
      <c r="AE27" s="2" t="s">
        <v>2963</v>
      </c>
      <c r="AF27" s="2" t="s">
        <v>2949</v>
      </c>
      <c r="AG27" s="2" t="s">
        <v>2949</v>
      </c>
      <c r="AH27" s="2">
        <v>10000</v>
      </c>
      <c r="AI27" s="2">
        <v>215000</v>
      </c>
      <c r="AJ27" s="2">
        <v>27500</v>
      </c>
      <c r="AK27" s="2">
        <f t="shared" si="2"/>
        <v>252500</v>
      </c>
      <c r="AL27" s="2" t="s">
        <v>2964</v>
      </c>
      <c r="AM27" s="2" t="s">
        <v>78</v>
      </c>
      <c r="AN27" s="2" t="s">
        <v>2965</v>
      </c>
      <c r="AO27" s="2" t="s">
        <v>912</v>
      </c>
      <c r="AP27" s="2">
        <v>300000</v>
      </c>
      <c r="AQ27" s="2" t="s">
        <v>2970</v>
      </c>
      <c r="AR27" s="4" t="s">
        <v>2966</v>
      </c>
      <c r="AS27" s="2" t="s">
        <v>2967</v>
      </c>
      <c r="AT27" s="2" t="s">
        <v>2968</v>
      </c>
      <c r="AU27" s="2" t="s">
        <v>2962</v>
      </c>
      <c r="AV27" s="2" t="s">
        <v>80</v>
      </c>
      <c r="AW27" s="2">
        <v>284002</v>
      </c>
      <c r="AX27" s="2" t="s">
        <v>2967</v>
      </c>
      <c r="AZ27" s="2">
        <v>8726149440</v>
      </c>
      <c r="BA27" s="2">
        <v>9454504247</v>
      </c>
      <c r="BB27" s="2">
        <v>8423058050</v>
      </c>
      <c r="BD27" s="3" t="s">
        <v>2969</v>
      </c>
      <c r="BE27" s="2" t="s">
        <v>1862</v>
      </c>
      <c r="BF27" s="2" t="s">
        <v>37</v>
      </c>
    </row>
    <row r="28" spans="1:58" s="2" customFormat="1" ht="80.099999999999994" customHeight="1" x14ac:dyDescent="0.25">
      <c r="A28" s="2">
        <v>26</v>
      </c>
      <c r="B28" s="6">
        <v>670</v>
      </c>
      <c r="C28" s="2" t="s">
        <v>4444</v>
      </c>
      <c r="D28" s="6" t="s">
        <v>392</v>
      </c>
      <c r="F28" s="8" t="s">
        <v>3179</v>
      </c>
      <c r="G28" s="6" t="s">
        <v>38</v>
      </c>
      <c r="H28" s="6" t="s">
        <v>35</v>
      </c>
      <c r="I28" s="2" t="s">
        <v>68</v>
      </c>
      <c r="J28" s="2" t="s">
        <v>36</v>
      </c>
      <c r="K28" s="2" t="s">
        <v>207</v>
      </c>
      <c r="L28" s="2" t="s">
        <v>82</v>
      </c>
      <c r="M28" s="2" t="s">
        <v>3236</v>
      </c>
      <c r="N28" s="2" t="s">
        <v>3237</v>
      </c>
      <c r="O28" s="2" t="s">
        <v>83</v>
      </c>
      <c r="P28" s="2" t="s">
        <v>85</v>
      </c>
      <c r="Q28" s="2" t="s">
        <v>185</v>
      </c>
      <c r="R28" s="2">
        <v>1825210435</v>
      </c>
      <c r="S28" s="2">
        <v>2018</v>
      </c>
      <c r="T28" s="2" t="s">
        <v>89</v>
      </c>
      <c r="U28" s="2" t="s">
        <v>37</v>
      </c>
      <c r="V28" s="2" t="s">
        <v>215</v>
      </c>
      <c r="W28" s="2">
        <v>752</v>
      </c>
      <c r="X28" s="2">
        <f>W28/1000*100</f>
        <v>75.2</v>
      </c>
      <c r="Y28" s="2">
        <f>90+82+27+32+50+24+25+21</f>
        <v>351</v>
      </c>
      <c r="Z28" s="2">
        <v>530</v>
      </c>
      <c r="AA28" s="2">
        <f t="shared" si="0"/>
        <v>66.226415094339615</v>
      </c>
      <c r="AB28" s="2">
        <f>71+57+54+41+27+32+50+25+24+21</f>
        <v>402</v>
      </c>
      <c r="AC28" s="2">
        <v>600</v>
      </c>
      <c r="AD28" s="2">
        <f t="shared" si="1"/>
        <v>67</v>
      </c>
      <c r="AE28" s="2" t="s">
        <v>3238</v>
      </c>
      <c r="AF28" s="2" t="s">
        <v>2030</v>
      </c>
      <c r="AG28" s="2" t="s">
        <v>3163</v>
      </c>
      <c r="AH28" s="2">
        <v>10000</v>
      </c>
      <c r="AI28" s="2">
        <v>215000</v>
      </c>
      <c r="AJ28" s="2">
        <v>27500</v>
      </c>
      <c r="AK28" s="2">
        <f t="shared" si="2"/>
        <v>252500</v>
      </c>
      <c r="AL28" s="2" t="s">
        <v>3239</v>
      </c>
      <c r="AM28" s="2" t="s">
        <v>78</v>
      </c>
      <c r="AN28" s="2" t="s">
        <v>3240</v>
      </c>
      <c r="AO28" s="2" t="s">
        <v>67</v>
      </c>
      <c r="AP28" s="2">
        <v>350000</v>
      </c>
      <c r="AQ28" s="2" t="s">
        <v>3241</v>
      </c>
      <c r="AR28" s="4" t="s">
        <v>3242</v>
      </c>
      <c r="AS28" s="2" t="s">
        <v>3243</v>
      </c>
      <c r="AT28" s="2" t="s">
        <v>3237</v>
      </c>
      <c r="AU28" s="2" t="s">
        <v>169</v>
      </c>
      <c r="AV28" s="2" t="s">
        <v>215</v>
      </c>
      <c r="AW28" s="2">
        <v>518523</v>
      </c>
      <c r="AX28" s="2" t="s">
        <v>3243</v>
      </c>
      <c r="AY28" s="2" t="s">
        <v>37</v>
      </c>
      <c r="AZ28" s="2">
        <v>7330730588</v>
      </c>
      <c r="BA28" s="2">
        <v>9949613188</v>
      </c>
      <c r="BB28" s="2">
        <v>9000410388</v>
      </c>
      <c r="BD28" s="3" t="s">
        <v>3244</v>
      </c>
      <c r="BE28" s="2" t="s">
        <v>879</v>
      </c>
      <c r="BF28" s="2" t="s">
        <v>113</v>
      </c>
    </row>
    <row r="29" spans="1:58" s="2" customFormat="1" ht="80.099999999999994" customHeight="1" x14ac:dyDescent="0.25">
      <c r="A29" s="2">
        <v>27</v>
      </c>
      <c r="B29" s="6">
        <v>674</v>
      </c>
      <c r="C29" s="2" t="s">
        <v>4444</v>
      </c>
      <c r="D29" s="6" t="s">
        <v>392</v>
      </c>
      <c r="F29" s="8" t="s">
        <v>3256</v>
      </c>
      <c r="G29" s="6" t="s">
        <v>38</v>
      </c>
      <c r="H29" s="6" t="s">
        <v>35</v>
      </c>
      <c r="I29" s="2" t="s">
        <v>68</v>
      </c>
      <c r="J29" s="2" t="s">
        <v>36</v>
      </c>
      <c r="K29" s="2" t="s">
        <v>3260</v>
      </c>
      <c r="L29" s="2" t="s">
        <v>82</v>
      </c>
      <c r="M29" s="2" t="s">
        <v>3261</v>
      </c>
      <c r="N29" s="2" t="s">
        <v>3262</v>
      </c>
      <c r="O29" s="2" t="s">
        <v>72</v>
      </c>
      <c r="P29" s="2" t="s">
        <v>85</v>
      </c>
      <c r="Q29" s="2" t="s">
        <v>185</v>
      </c>
      <c r="R29" s="2">
        <v>5866817</v>
      </c>
      <c r="S29" s="2">
        <v>2017</v>
      </c>
      <c r="T29" s="2" t="s">
        <v>616</v>
      </c>
      <c r="U29" s="2" t="s">
        <v>37</v>
      </c>
      <c r="V29" s="2" t="s">
        <v>80</v>
      </c>
      <c r="W29" s="2" t="s">
        <v>37</v>
      </c>
      <c r="X29" s="2" t="s">
        <v>37</v>
      </c>
      <c r="Y29" s="2">
        <f>95+44+74+75+82+86</f>
        <v>456</v>
      </c>
      <c r="Z29" s="2">
        <v>600</v>
      </c>
      <c r="AA29" s="2">
        <f t="shared" si="0"/>
        <v>76</v>
      </c>
      <c r="AB29" s="2">
        <f>44+74+75</f>
        <v>193</v>
      </c>
      <c r="AC29" s="2">
        <v>300</v>
      </c>
      <c r="AD29" s="2">
        <f t="shared" si="1"/>
        <v>64.333333333333329</v>
      </c>
      <c r="AE29" s="2" t="s">
        <v>2205</v>
      </c>
      <c r="AF29" s="2" t="s">
        <v>1512</v>
      </c>
      <c r="AG29" s="2" t="s">
        <v>3163</v>
      </c>
      <c r="AH29" s="2">
        <v>10000</v>
      </c>
      <c r="AI29" s="2">
        <v>215000</v>
      </c>
      <c r="AJ29" s="2">
        <v>27500</v>
      </c>
      <c r="AK29" s="2">
        <f t="shared" si="2"/>
        <v>252500</v>
      </c>
      <c r="AL29" s="2" t="s">
        <v>3263</v>
      </c>
      <c r="AM29" s="2" t="s">
        <v>78</v>
      </c>
      <c r="AN29" s="2" t="s">
        <v>3264</v>
      </c>
      <c r="AO29" s="2" t="s">
        <v>187</v>
      </c>
      <c r="AP29" s="2">
        <v>636000</v>
      </c>
      <c r="AQ29" s="2" t="s">
        <v>3265</v>
      </c>
      <c r="AR29" s="4" t="s">
        <v>3266</v>
      </c>
      <c r="AS29" s="2" t="s">
        <v>3267</v>
      </c>
      <c r="AT29" s="2" t="s">
        <v>3268</v>
      </c>
      <c r="AU29" s="2" t="s">
        <v>3199</v>
      </c>
      <c r="AV29" s="2" t="s">
        <v>80</v>
      </c>
      <c r="AW29" s="2">
        <v>201017</v>
      </c>
      <c r="AX29" s="2" t="s">
        <v>3267</v>
      </c>
      <c r="AY29" s="2" t="s">
        <v>37</v>
      </c>
      <c r="AZ29" s="2">
        <v>8745882241</v>
      </c>
      <c r="BA29" s="2">
        <v>9716450742</v>
      </c>
      <c r="BB29" s="2">
        <v>8130535809</v>
      </c>
      <c r="BC29" s="3" t="s">
        <v>3269</v>
      </c>
      <c r="BD29" s="3" t="s">
        <v>3270</v>
      </c>
      <c r="BE29" s="2" t="s">
        <v>1862</v>
      </c>
      <c r="BF29" s="2" t="s">
        <v>37</v>
      </c>
    </row>
    <row r="30" spans="1:58" s="2" customFormat="1" ht="80.099999999999994" customHeight="1" x14ac:dyDescent="0.25">
      <c r="A30" s="2">
        <v>28</v>
      </c>
      <c r="B30" s="6">
        <v>676</v>
      </c>
      <c r="C30" s="2" t="s">
        <v>4444</v>
      </c>
      <c r="D30" s="6" t="s">
        <v>392</v>
      </c>
      <c r="F30" s="8" t="s">
        <v>3257</v>
      </c>
      <c r="G30" s="6" t="s">
        <v>38</v>
      </c>
      <c r="H30" s="6" t="s">
        <v>35</v>
      </c>
      <c r="I30" s="2" t="s">
        <v>68</v>
      </c>
      <c r="J30" s="2" t="s">
        <v>159</v>
      </c>
      <c r="K30" s="2" t="s">
        <v>3272</v>
      </c>
      <c r="L30" s="2" t="s">
        <v>82</v>
      </c>
      <c r="M30" s="2" t="s">
        <v>3273</v>
      </c>
      <c r="N30" s="2" t="s">
        <v>755</v>
      </c>
      <c r="O30" s="2" t="s">
        <v>162</v>
      </c>
      <c r="P30" s="2" t="s">
        <v>73</v>
      </c>
      <c r="Q30" s="2" t="s">
        <v>185</v>
      </c>
      <c r="R30" s="2">
        <v>1812214994</v>
      </c>
      <c r="S30" s="2">
        <v>2018</v>
      </c>
      <c r="T30" s="2" t="s">
        <v>89</v>
      </c>
      <c r="U30" s="2" t="s">
        <v>37</v>
      </c>
      <c r="V30" s="2" t="s">
        <v>215</v>
      </c>
      <c r="W30" s="2">
        <v>630</v>
      </c>
      <c r="X30" s="2">
        <f>W30/1000*100</f>
        <v>63</v>
      </c>
      <c r="Y30" s="2">
        <f>63+76+27+31+21+27+25+27</f>
        <v>297</v>
      </c>
      <c r="Z30" s="2">
        <v>530</v>
      </c>
      <c r="AA30" s="2">
        <f t="shared" si="0"/>
        <v>56.037735849056602</v>
      </c>
      <c r="AB30" s="2">
        <f>49+32+45+41+27+31+21+27+25+27</f>
        <v>325</v>
      </c>
      <c r="AC30" s="2">
        <v>600</v>
      </c>
      <c r="AD30" s="2">
        <f t="shared" si="1"/>
        <v>54.166666666666664</v>
      </c>
      <c r="AE30" s="2" t="s">
        <v>3274</v>
      </c>
      <c r="AF30" s="2" t="s">
        <v>3163</v>
      </c>
      <c r="AG30" s="2" t="s">
        <v>3163</v>
      </c>
      <c r="AH30" s="2">
        <v>10000</v>
      </c>
      <c r="AI30" s="2">
        <v>215000</v>
      </c>
      <c r="AJ30" s="2">
        <v>27500</v>
      </c>
      <c r="AK30" s="2">
        <f t="shared" si="2"/>
        <v>252500</v>
      </c>
      <c r="AL30" s="2" t="s">
        <v>3275</v>
      </c>
      <c r="AM30" s="2" t="s">
        <v>78</v>
      </c>
      <c r="AN30" s="2" t="s">
        <v>3276</v>
      </c>
      <c r="AO30" s="2" t="s">
        <v>139</v>
      </c>
      <c r="AP30" s="2">
        <v>200000</v>
      </c>
      <c r="AR30" s="4" t="s">
        <v>3277</v>
      </c>
      <c r="AS30" s="2" t="s">
        <v>3279</v>
      </c>
      <c r="AT30" s="2" t="s">
        <v>3278</v>
      </c>
      <c r="AU30" s="2" t="s">
        <v>755</v>
      </c>
      <c r="AV30" s="2" t="s">
        <v>215</v>
      </c>
      <c r="AW30" s="2">
        <v>516001</v>
      </c>
      <c r="AX30" s="2" t="s">
        <v>3279</v>
      </c>
      <c r="AY30" s="2" t="s">
        <v>37</v>
      </c>
      <c r="AZ30" s="2">
        <v>9110389385</v>
      </c>
      <c r="BA30" s="2">
        <v>9866384392</v>
      </c>
      <c r="BD30" s="3" t="s">
        <v>3280</v>
      </c>
      <c r="BE30" s="2" t="s">
        <v>3766</v>
      </c>
      <c r="BF30" s="2" t="s">
        <v>3765</v>
      </c>
    </row>
    <row r="31" spans="1:58" s="2" customFormat="1" ht="80.099999999999994" customHeight="1" x14ac:dyDescent="0.25">
      <c r="A31" s="2">
        <v>29</v>
      </c>
      <c r="B31" s="6">
        <v>677</v>
      </c>
      <c r="C31" s="2" t="s">
        <v>4444</v>
      </c>
      <c r="D31" s="6" t="s">
        <v>392</v>
      </c>
      <c r="F31" s="8" t="s">
        <v>3258</v>
      </c>
      <c r="G31" s="6" t="s">
        <v>38</v>
      </c>
      <c r="H31" s="6" t="s">
        <v>35</v>
      </c>
      <c r="I31" s="2" t="s">
        <v>68</v>
      </c>
      <c r="J31" s="2" t="s">
        <v>36</v>
      </c>
      <c r="K31" s="2" t="s">
        <v>1759</v>
      </c>
      <c r="L31" s="2" t="s">
        <v>82</v>
      </c>
      <c r="M31" s="2" t="s">
        <v>907</v>
      </c>
      <c r="N31" s="2" t="s">
        <v>1852</v>
      </c>
      <c r="O31" s="2" t="s">
        <v>72</v>
      </c>
      <c r="P31" s="2" t="s">
        <v>37</v>
      </c>
      <c r="Q31" s="2" t="s">
        <v>185</v>
      </c>
      <c r="R31" s="2">
        <v>6126288</v>
      </c>
      <c r="S31" s="2">
        <v>2018</v>
      </c>
      <c r="T31" s="2" t="s">
        <v>184</v>
      </c>
      <c r="U31" s="2" t="s">
        <v>37</v>
      </c>
      <c r="V31" s="2" t="s">
        <v>186</v>
      </c>
      <c r="W31" s="2" t="s">
        <v>37</v>
      </c>
      <c r="X31" s="2" t="s">
        <v>37</v>
      </c>
      <c r="Y31" s="2">
        <f>83+37+47+49+84</f>
        <v>300</v>
      </c>
      <c r="Z31" s="2">
        <v>500</v>
      </c>
      <c r="AA31" s="2">
        <f t="shared" si="0"/>
        <v>60</v>
      </c>
      <c r="AB31" s="2">
        <f>37+47+49</f>
        <v>133</v>
      </c>
      <c r="AC31" s="2">
        <v>300</v>
      </c>
      <c r="AD31" s="2">
        <f t="shared" si="1"/>
        <v>44.333333333333336</v>
      </c>
      <c r="AE31" s="2" t="s">
        <v>3282</v>
      </c>
      <c r="AF31" s="2" t="s">
        <v>3163</v>
      </c>
      <c r="AG31" s="2" t="s">
        <v>3163</v>
      </c>
      <c r="AH31" s="2">
        <v>10000</v>
      </c>
      <c r="AI31" s="2">
        <v>215000</v>
      </c>
      <c r="AJ31" s="2">
        <v>27500</v>
      </c>
      <c r="AK31" s="2">
        <f t="shared" si="2"/>
        <v>252500</v>
      </c>
      <c r="AL31" s="2" t="s">
        <v>3283</v>
      </c>
      <c r="AM31" s="2" t="s">
        <v>78</v>
      </c>
      <c r="AN31" s="2" t="s">
        <v>3284</v>
      </c>
      <c r="AO31" s="2" t="s">
        <v>3067</v>
      </c>
      <c r="AP31" s="2">
        <v>700000</v>
      </c>
      <c r="AQ31" s="2" t="s">
        <v>3285</v>
      </c>
      <c r="AR31" s="4" t="s">
        <v>3286</v>
      </c>
      <c r="AS31" s="2" t="s">
        <v>3287</v>
      </c>
      <c r="AT31" s="2" t="s">
        <v>3288</v>
      </c>
      <c r="AU31" s="2" t="s">
        <v>1852</v>
      </c>
      <c r="AV31" s="2" t="s">
        <v>80</v>
      </c>
      <c r="AW31" s="2">
        <v>226011</v>
      </c>
      <c r="AX31" s="2" t="s">
        <v>3287</v>
      </c>
      <c r="AY31" s="2" t="s">
        <v>37</v>
      </c>
      <c r="AZ31" s="2">
        <v>7972004375</v>
      </c>
      <c r="BA31" s="2">
        <v>9598670506</v>
      </c>
      <c r="BB31" s="2">
        <v>9005680517</v>
      </c>
      <c r="BC31" s="3" t="s">
        <v>3290</v>
      </c>
      <c r="BD31" s="3" t="s">
        <v>3289</v>
      </c>
      <c r="BE31" s="2" t="s">
        <v>1862</v>
      </c>
      <c r="BF31" s="2" t="s">
        <v>37</v>
      </c>
    </row>
    <row r="32" spans="1:58" s="2" customFormat="1" ht="80.099999999999994" customHeight="1" x14ac:dyDescent="0.25">
      <c r="A32" s="2">
        <v>30</v>
      </c>
      <c r="B32" s="6">
        <v>694</v>
      </c>
      <c r="C32" s="2" t="s">
        <v>4444</v>
      </c>
      <c r="D32" s="6" t="s">
        <v>392</v>
      </c>
      <c r="F32" s="8" t="s">
        <v>3352</v>
      </c>
      <c r="G32" s="6" t="s">
        <v>38</v>
      </c>
      <c r="H32" s="6" t="s">
        <v>35</v>
      </c>
      <c r="I32" s="2" t="s">
        <v>68</v>
      </c>
      <c r="J32" s="2" t="s">
        <v>36</v>
      </c>
      <c r="K32" s="2" t="s">
        <v>1046</v>
      </c>
      <c r="L32" s="2" t="s">
        <v>82</v>
      </c>
      <c r="M32" s="2" t="s">
        <v>3360</v>
      </c>
      <c r="N32" s="2" t="s">
        <v>1695</v>
      </c>
      <c r="O32" s="2" t="s">
        <v>83</v>
      </c>
      <c r="P32" s="2" t="s">
        <v>85</v>
      </c>
      <c r="Q32" s="2" t="s">
        <v>185</v>
      </c>
      <c r="R32" s="2">
        <v>1805218895</v>
      </c>
      <c r="S32" s="2">
        <v>2018</v>
      </c>
      <c r="T32" s="2" t="s">
        <v>89</v>
      </c>
      <c r="U32" s="2" t="s">
        <v>37</v>
      </c>
      <c r="V32" s="2" t="s">
        <v>215</v>
      </c>
      <c r="W32" s="2">
        <v>942</v>
      </c>
      <c r="X32" s="2">
        <f>W32/1000*100</f>
        <v>94.199999999999989</v>
      </c>
      <c r="Y32" s="2">
        <f>92+98+75+71+55+57+29+19</f>
        <v>496</v>
      </c>
      <c r="Z32" s="2">
        <v>530</v>
      </c>
      <c r="AA32" s="2">
        <f t="shared" si="0"/>
        <v>93.584905660377359</v>
      </c>
      <c r="AB32" s="2">
        <f>75+75+58+48+75+71+55+57+29+19</f>
        <v>562</v>
      </c>
      <c r="AC32" s="2">
        <v>600</v>
      </c>
      <c r="AD32" s="2">
        <f t="shared" si="1"/>
        <v>93.666666666666671</v>
      </c>
      <c r="AE32" s="2" t="s">
        <v>2389</v>
      </c>
      <c r="AF32" s="2" t="s">
        <v>1560</v>
      </c>
      <c r="AG32" s="2" t="s">
        <v>3319</v>
      </c>
      <c r="AH32" s="2">
        <v>10000</v>
      </c>
      <c r="AI32" s="2">
        <v>215000</v>
      </c>
      <c r="AJ32" s="2">
        <v>27500</v>
      </c>
      <c r="AK32" s="2">
        <f t="shared" si="2"/>
        <v>252500</v>
      </c>
      <c r="AL32" s="2" t="s">
        <v>3367</v>
      </c>
      <c r="AM32" s="2" t="s">
        <v>87</v>
      </c>
      <c r="AN32" s="2" t="s">
        <v>3361</v>
      </c>
      <c r="AO32" s="2" t="s">
        <v>139</v>
      </c>
      <c r="AP32" s="2">
        <v>200000</v>
      </c>
      <c r="AQ32" s="2" t="s">
        <v>3362</v>
      </c>
      <c r="AR32" s="4" t="s">
        <v>3363</v>
      </c>
      <c r="AS32" s="2" t="s">
        <v>3364</v>
      </c>
      <c r="AT32" s="2" t="s">
        <v>1695</v>
      </c>
      <c r="AU32" s="2" t="s">
        <v>256</v>
      </c>
      <c r="AV32" s="2" t="s">
        <v>215</v>
      </c>
      <c r="AW32" s="2">
        <v>522413</v>
      </c>
      <c r="AX32" s="2" t="s">
        <v>3364</v>
      </c>
      <c r="AZ32" s="2">
        <v>9440661710</v>
      </c>
      <c r="BA32" s="2">
        <v>9440541610</v>
      </c>
      <c r="BB32" s="2">
        <v>8639180337</v>
      </c>
      <c r="BC32" s="3" t="s">
        <v>3365</v>
      </c>
      <c r="BD32" s="3" t="s">
        <v>3366</v>
      </c>
      <c r="BE32" s="2" t="s">
        <v>2150</v>
      </c>
      <c r="BF32" s="2" t="s">
        <v>144</v>
      </c>
    </row>
    <row r="33" spans="1:59" s="2" customFormat="1" ht="80.099999999999994" customHeight="1" x14ac:dyDescent="0.25">
      <c r="A33" s="2">
        <v>31</v>
      </c>
      <c r="B33" s="6">
        <v>728</v>
      </c>
      <c r="C33" s="2" t="s">
        <v>4444</v>
      </c>
      <c r="D33" s="6" t="s">
        <v>392</v>
      </c>
      <c r="F33" s="8" t="s">
        <v>3459</v>
      </c>
      <c r="G33" s="6" t="s">
        <v>38</v>
      </c>
      <c r="H33" s="6" t="s">
        <v>35</v>
      </c>
      <c r="I33" s="2" t="s">
        <v>68</v>
      </c>
      <c r="J33" s="2" t="s">
        <v>36</v>
      </c>
      <c r="K33" s="2" t="s">
        <v>1046</v>
      </c>
      <c r="L33" s="2" t="s">
        <v>82</v>
      </c>
      <c r="M33" s="2" t="s">
        <v>3537</v>
      </c>
      <c r="N33" s="2" t="s">
        <v>3538</v>
      </c>
      <c r="O33" s="2" t="s">
        <v>83</v>
      </c>
      <c r="P33" s="2" t="s">
        <v>85</v>
      </c>
      <c r="Q33" s="2" t="s">
        <v>185</v>
      </c>
      <c r="R33" s="2">
        <v>1805226145</v>
      </c>
      <c r="S33" s="2">
        <v>2018</v>
      </c>
      <c r="T33" s="2" t="s">
        <v>89</v>
      </c>
      <c r="U33" s="2" t="s">
        <v>37</v>
      </c>
      <c r="V33" s="2" t="s">
        <v>215</v>
      </c>
      <c r="W33" s="2">
        <v>944</v>
      </c>
      <c r="X33" s="2">
        <f>W33/1000*100</f>
        <v>94.399999999999991</v>
      </c>
      <c r="Y33" s="2">
        <f>91+99+66+72+60+56+29+30</f>
        <v>503</v>
      </c>
      <c r="Z33" s="2">
        <v>530</v>
      </c>
      <c r="AA33" s="2">
        <f t="shared" si="0"/>
        <v>94.905660377358487</v>
      </c>
      <c r="AB33" s="2">
        <f>74+75+59+52+66+72+60+56+29+30</f>
        <v>573</v>
      </c>
      <c r="AC33" s="2">
        <v>600</v>
      </c>
      <c r="AD33" s="2">
        <f t="shared" si="1"/>
        <v>95.5</v>
      </c>
      <c r="AE33" s="2" t="s">
        <v>1117</v>
      </c>
      <c r="AF33" s="2" t="s">
        <v>1560</v>
      </c>
      <c r="AG33" s="2" t="s">
        <v>3497</v>
      </c>
      <c r="AH33" s="2">
        <v>10000</v>
      </c>
      <c r="AI33" s="2">
        <v>215000</v>
      </c>
      <c r="AJ33" s="2">
        <v>27500</v>
      </c>
      <c r="AK33" s="2">
        <f t="shared" si="2"/>
        <v>252500</v>
      </c>
      <c r="AL33" s="2" t="s">
        <v>3539</v>
      </c>
      <c r="AM33" s="2" t="s">
        <v>78</v>
      </c>
      <c r="AN33" s="2" t="s">
        <v>3540</v>
      </c>
      <c r="AO33" s="2" t="s">
        <v>139</v>
      </c>
      <c r="AP33" s="2">
        <v>500000</v>
      </c>
      <c r="AQ33" s="2" t="s">
        <v>3541</v>
      </c>
      <c r="AR33" s="4" t="s">
        <v>3542</v>
      </c>
      <c r="AS33" s="2" t="s">
        <v>3543</v>
      </c>
      <c r="AT33" s="2" t="s">
        <v>3544</v>
      </c>
      <c r="AU33" s="2" t="s">
        <v>3545</v>
      </c>
      <c r="AV33" s="2" t="s">
        <v>215</v>
      </c>
      <c r="AX33" s="2" t="s">
        <v>3543</v>
      </c>
      <c r="AZ33" s="2">
        <v>7997234844</v>
      </c>
      <c r="BA33" s="2">
        <v>9848262550</v>
      </c>
      <c r="BC33" s="3" t="s">
        <v>3548</v>
      </c>
      <c r="BD33" s="3" t="s">
        <v>3546</v>
      </c>
      <c r="BE33" s="2" t="s">
        <v>3547</v>
      </c>
      <c r="BF33" s="2" t="s">
        <v>1066</v>
      </c>
    </row>
    <row r="34" spans="1:59" s="2" customFormat="1" ht="80.099999999999994" customHeight="1" x14ac:dyDescent="0.25">
      <c r="A34" s="2">
        <v>32</v>
      </c>
      <c r="B34" s="6">
        <v>737</v>
      </c>
      <c r="C34" s="2" t="s">
        <v>4444</v>
      </c>
      <c r="D34" s="6" t="s">
        <v>392</v>
      </c>
      <c r="F34" s="8" t="s">
        <v>3461</v>
      </c>
      <c r="G34" s="6" t="s">
        <v>38</v>
      </c>
      <c r="H34" s="6" t="s">
        <v>35</v>
      </c>
      <c r="I34" s="2" t="s">
        <v>68</v>
      </c>
      <c r="J34" s="2" t="s">
        <v>36</v>
      </c>
      <c r="K34" s="2" t="s">
        <v>135</v>
      </c>
      <c r="L34" s="2" t="s">
        <v>82</v>
      </c>
      <c r="M34" s="2" t="s">
        <v>630</v>
      </c>
      <c r="N34" s="2" t="s">
        <v>3557</v>
      </c>
      <c r="O34" s="2" t="s">
        <v>123</v>
      </c>
      <c r="P34" s="2" t="s">
        <v>73</v>
      </c>
      <c r="Q34" s="2" t="s">
        <v>185</v>
      </c>
      <c r="R34" s="2">
        <v>1811241431</v>
      </c>
      <c r="S34" s="2">
        <v>2018</v>
      </c>
      <c r="T34" s="2" t="s">
        <v>366</v>
      </c>
      <c r="U34" s="2" t="s">
        <v>37</v>
      </c>
      <c r="V34" s="2" t="s">
        <v>152</v>
      </c>
      <c r="W34" s="2" t="s">
        <v>37</v>
      </c>
      <c r="X34" s="2" t="s">
        <v>37</v>
      </c>
      <c r="Y34" s="2">
        <v>1103</v>
      </c>
      <c r="Z34" s="2">
        <v>1200</v>
      </c>
      <c r="AA34" s="2">
        <f t="shared" si="0"/>
        <v>91.916666666666671</v>
      </c>
      <c r="AB34" s="2">
        <f>185+175+192</f>
        <v>552</v>
      </c>
      <c r="AC34" s="2">
        <v>600</v>
      </c>
      <c r="AD34" s="2">
        <f t="shared" si="1"/>
        <v>92</v>
      </c>
      <c r="AE34" s="2" t="s">
        <v>3558</v>
      </c>
      <c r="AF34" s="2" t="s">
        <v>2715</v>
      </c>
      <c r="AG34" s="2" t="s">
        <v>3497</v>
      </c>
      <c r="AH34" s="2">
        <v>10000</v>
      </c>
      <c r="AI34" s="2">
        <v>215000</v>
      </c>
      <c r="AJ34" s="2">
        <v>27500</v>
      </c>
      <c r="AK34" s="2">
        <f t="shared" si="2"/>
        <v>252500</v>
      </c>
      <c r="AL34" s="2" t="s">
        <v>3559</v>
      </c>
      <c r="AM34" s="2" t="s">
        <v>78</v>
      </c>
      <c r="AN34" s="2" t="s">
        <v>3560</v>
      </c>
      <c r="AO34" s="2" t="s">
        <v>1724</v>
      </c>
      <c r="AP34" s="2">
        <v>75000</v>
      </c>
      <c r="AQ34" s="2" t="s">
        <v>3564</v>
      </c>
      <c r="AR34" s="4" t="s">
        <v>3561</v>
      </c>
      <c r="AS34" s="2" t="s">
        <v>3562</v>
      </c>
      <c r="AT34" s="2" t="s">
        <v>3557</v>
      </c>
      <c r="AU34" s="2" t="s">
        <v>1457</v>
      </c>
      <c r="AV34" s="2" t="s">
        <v>152</v>
      </c>
      <c r="AW34" s="2">
        <v>638701</v>
      </c>
      <c r="AX34" s="2" t="s">
        <v>3562</v>
      </c>
      <c r="AZ34" s="2">
        <v>9799147150</v>
      </c>
      <c r="BA34" s="2">
        <v>9791928322</v>
      </c>
      <c r="BB34" s="2">
        <v>9600370212</v>
      </c>
      <c r="BD34" s="3" t="s">
        <v>3563</v>
      </c>
      <c r="BE34" s="2" t="s">
        <v>1609</v>
      </c>
      <c r="BF34" s="2" t="s">
        <v>230</v>
      </c>
    </row>
    <row r="35" spans="1:59" s="2" customFormat="1" ht="80.099999999999994" customHeight="1" x14ac:dyDescent="0.25">
      <c r="A35" s="2">
        <v>33</v>
      </c>
      <c r="B35" s="6">
        <v>741</v>
      </c>
      <c r="C35" s="2" t="s">
        <v>4444</v>
      </c>
      <c r="D35" s="6" t="s">
        <v>392</v>
      </c>
      <c r="F35" s="8" t="s">
        <v>3462</v>
      </c>
      <c r="G35" s="6" t="s">
        <v>38</v>
      </c>
      <c r="H35" s="6" t="s">
        <v>35</v>
      </c>
      <c r="I35" s="2" t="s">
        <v>68</v>
      </c>
      <c r="J35" s="2" t="s">
        <v>36</v>
      </c>
      <c r="K35" s="2" t="s">
        <v>157</v>
      </c>
      <c r="L35" s="2" t="s">
        <v>82</v>
      </c>
      <c r="M35" s="2" t="s">
        <v>1506</v>
      </c>
      <c r="N35" s="2" t="s">
        <v>3566</v>
      </c>
      <c r="O35" s="2" t="s">
        <v>72</v>
      </c>
      <c r="P35" s="2" t="s">
        <v>62</v>
      </c>
      <c r="Q35" s="2" t="s">
        <v>185</v>
      </c>
      <c r="R35" s="2">
        <v>1723872</v>
      </c>
      <c r="S35" s="2">
        <v>2018</v>
      </c>
      <c r="T35" s="2" t="s">
        <v>616</v>
      </c>
      <c r="U35" s="2" t="s">
        <v>37</v>
      </c>
      <c r="V35" s="2" t="s">
        <v>245</v>
      </c>
      <c r="W35" s="2" t="s">
        <v>37</v>
      </c>
      <c r="X35" s="2" t="s">
        <v>37</v>
      </c>
      <c r="Y35" s="2">
        <f>77+95+75+94+91</f>
        <v>432</v>
      </c>
      <c r="Z35" s="2">
        <v>500</v>
      </c>
      <c r="AA35" s="2">
        <f t="shared" ref="AA35:AA54" si="3">Y35/Z35*100</f>
        <v>86.4</v>
      </c>
      <c r="AB35" s="2">
        <f>95+75+94</f>
        <v>264</v>
      </c>
      <c r="AC35" s="2">
        <v>300</v>
      </c>
      <c r="AD35" s="2">
        <f t="shared" ref="AD35:AD54" si="4">AB35/AC35*100</f>
        <v>88</v>
      </c>
      <c r="AE35" s="2" t="s">
        <v>3567</v>
      </c>
      <c r="AF35" s="2" t="s">
        <v>3497</v>
      </c>
      <c r="AG35" s="2" t="s">
        <v>3497</v>
      </c>
      <c r="AH35" s="2">
        <v>10000</v>
      </c>
      <c r="AI35" s="2">
        <v>215000</v>
      </c>
      <c r="AJ35" s="2">
        <v>27500</v>
      </c>
      <c r="AK35" s="2">
        <f t="shared" ref="AK35:AK54" si="5">AH35+AI35+AJ35</f>
        <v>252500</v>
      </c>
      <c r="AL35" s="2" t="s">
        <v>3568</v>
      </c>
      <c r="AM35" s="2" t="s">
        <v>78</v>
      </c>
      <c r="AN35" s="2" t="s">
        <v>3569</v>
      </c>
      <c r="AO35" s="2" t="s">
        <v>139</v>
      </c>
      <c r="AP35" s="2" t="s">
        <v>3511</v>
      </c>
      <c r="AQ35" s="2" t="s">
        <v>3570</v>
      </c>
      <c r="AR35" s="4" t="s">
        <v>3571</v>
      </c>
      <c r="AS35" s="2" t="s">
        <v>3572</v>
      </c>
      <c r="AT35" s="2" t="s">
        <v>3573</v>
      </c>
      <c r="AU35" s="2" t="s">
        <v>3566</v>
      </c>
      <c r="AV35" s="2" t="s">
        <v>245</v>
      </c>
      <c r="AW35" s="2">
        <v>460001</v>
      </c>
      <c r="AX35" s="2" t="s">
        <v>3572</v>
      </c>
      <c r="AZ35" s="2">
        <v>7000527464</v>
      </c>
      <c r="BA35" s="2">
        <v>9425002521</v>
      </c>
      <c r="BB35" s="2">
        <v>9424460490</v>
      </c>
      <c r="BC35" s="3" t="s">
        <v>3575</v>
      </c>
      <c r="BD35" s="3" t="s">
        <v>3574</v>
      </c>
      <c r="BE35" s="2" t="s">
        <v>1862</v>
      </c>
      <c r="BF35" s="2" t="s">
        <v>37</v>
      </c>
    </row>
    <row r="36" spans="1:59" s="2" customFormat="1" ht="80.099999999999994" customHeight="1" x14ac:dyDescent="0.25">
      <c r="A36" s="2">
        <v>34</v>
      </c>
      <c r="B36" s="6">
        <v>758</v>
      </c>
      <c r="C36" s="2" t="s">
        <v>4444</v>
      </c>
      <c r="D36" s="6" t="s">
        <v>392</v>
      </c>
      <c r="F36" s="8" t="s">
        <v>3464</v>
      </c>
      <c r="G36" s="6" t="s">
        <v>38</v>
      </c>
      <c r="H36" s="6" t="s">
        <v>35</v>
      </c>
      <c r="I36" s="2" t="s">
        <v>68</v>
      </c>
      <c r="J36" s="2" t="s">
        <v>36</v>
      </c>
      <c r="K36" s="2" t="s">
        <v>520</v>
      </c>
      <c r="L36" s="2" t="s">
        <v>82</v>
      </c>
      <c r="M36" s="2" t="s">
        <v>3585</v>
      </c>
      <c r="N36" s="2" t="s">
        <v>84</v>
      </c>
      <c r="O36" s="2" t="s">
        <v>83</v>
      </c>
      <c r="P36" s="2" t="s">
        <v>85</v>
      </c>
      <c r="Q36" s="2" t="s">
        <v>185</v>
      </c>
      <c r="R36" s="2">
        <v>1811218264</v>
      </c>
      <c r="S36" s="2">
        <v>2018</v>
      </c>
      <c r="T36" s="2" t="s">
        <v>89</v>
      </c>
      <c r="U36" s="2" t="s">
        <v>37</v>
      </c>
      <c r="V36" s="2" t="s">
        <v>215</v>
      </c>
      <c r="W36" s="2">
        <v>741</v>
      </c>
      <c r="X36" s="2">
        <f>W36/1000*100</f>
        <v>74.099999999999994</v>
      </c>
      <c r="Y36" s="2">
        <f>70+78+66+66+25+41+29+28</f>
        <v>403</v>
      </c>
      <c r="Z36" s="2">
        <v>530</v>
      </c>
      <c r="AA36" s="2">
        <f t="shared" si="3"/>
        <v>76.037735849056602</v>
      </c>
      <c r="AB36" s="2">
        <f>56+48+54+43+66+66+25+29+41+28</f>
        <v>456</v>
      </c>
      <c r="AC36" s="2">
        <v>600</v>
      </c>
      <c r="AD36" s="2">
        <f t="shared" si="4"/>
        <v>76</v>
      </c>
      <c r="AE36" s="2" t="s">
        <v>3586</v>
      </c>
      <c r="AF36" s="2" t="s">
        <v>204</v>
      </c>
      <c r="AG36" s="2" t="s">
        <v>3497</v>
      </c>
      <c r="AH36" s="2">
        <v>10000</v>
      </c>
      <c r="AI36" s="2">
        <v>215000</v>
      </c>
      <c r="AJ36" s="2">
        <v>27500</v>
      </c>
      <c r="AK36" s="2">
        <f t="shared" si="5"/>
        <v>252500</v>
      </c>
      <c r="AL36" s="2" t="s">
        <v>3587</v>
      </c>
      <c r="AM36" s="2" t="s">
        <v>78</v>
      </c>
      <c r="AN36" s="2" t="s">
        <v>3588</v>
      </c>
      <c r="AO36" s="2" t="s">
        <v>139</v>
      </c>
      <c r="AP36" s="2">
        <v>500000</v>
      </c>
      <c r="AQ36" s="2" t="s">
        <v>3589</v>
      </c>
      <c r="AR36" s="4" t="s">
        <v>3590</v>
      </c>
      <c r="AS36" s="2" t="s">
        <v>3591</v>
      </c>
      <c r="AT36" s="2" t="s">
        <v>3592</v>
      </c>
      <c r="AU36" s="2" t="s">
        <v>84</v>
      </c>
      <c r="AV36" s="2" t="s">
        <v>215</v>
      </c>
      <c r="AW36" s="2">
        <v>515001</v>
      </c>
      <c r="AX36" s="2" t="s">
        <v>3591</v>
      </c>
      <c r="AZ36" s="2">
        <v>7989395294</v>
      </c>
      <c r="BA36" s="2">
        <v>9701789750</v>
      </c>
      <c r="BB36" s="2">
        <v>8790261158</v>
      </c>
      <c r="BD36" s="3" t="s">
        <v>3593</v>
      </c>
      <c r="BE36" s="2" t="s">
        <v>3452</v>
      </c>
      <c r="BF36" s="2" t="s">
        <v>144</v>
      </c>
    </row>
    <row r="37" spans="1:59" s="2" customFormat="1" ht="80.099999999999994" customHeight="1" x14ac:dyDescent="0.25">
      <c r="A37" s="2">
        <v>35</v>
      </c>
      <c r="B37" s="6">
        <v>764</v>
      </c>
      <c r="C37" s="2" t="s">
        <v>4444</v>
      </c>
      <c r="D37" s="6" t="s">
        <v>392</v>
      </c>
      <c r="F37" s="8" t="s">
        <v>3466</v>
      </c>
      <c r="G37" s="6" t="s">
        <v>38</v>
      </c>
      <c r="H37" s="6" t="s">
        <v>35</v>
      </c>
      <c r="I37" s="2" t="s">
        <v>68</v>
      </c>
      <c r="J37" s="2" t="s">
        <v>36</v>
      </c>
      <c r="K37" s="2" t="s">
        <v>3616</v>
      </c>
      <c r="L37" s="2" t="s">
        <v>82</v>
      </c>
      <c r="M37" s="2" t="s">
        <v>288</v>
      </c>
      <c r="N37" s="2" t="s">
        <v>3605</v>
      </c>
      <c r="O37" s="2" t="s">
        <v>72</v>
      </c>
      <c r="P37" s="2" t="s">
        <v>85</v>
      </c>
      <c r="Q37" s="2" t="s">
        <v>185</v>
      </c>
      <c r="R37" s="2">
        <v>1841574118</v>
      </c>
      <c r="S37" s="2">
        <v>2018</v>
      </c>
      <c r="T37" s="2" t="s">
        <v>3084</v>
      </c>
      <c r="U37" s="2" t="s">
        <v>37</v>
      </c>
      <c r="V37" s="2" t="s">
        <v>3052</v>
      </c>
      <c r="W37" s="2" t="s">
        <v>37</v>
      </c>
      <c r="X37" s="2" t="s">
        <v>37</v>
      </c>
      <c r="Y37" s="2">
        <f>87+81+85+44+74</f>
        <v>371</v>
      </c>
      <c r="Z37" s="2">
        <v>500</v>
      </c>
      <c r="AA37" s="2">
        <f t="shared" si="3"/>
        <v>74.2</v>
      </c>
      <c r="AB37" s="2">
        <f>81+85+44</f>
        <v>210</v>
      </c>
      <c r="AC37" s="2">
        <v>300</v>
      </c>
      <c r="AD37" s="2">
        <f t="shared" si="4"/>
        <v>70</v>
      </c>
      <c r="AE37" s="2" t="s">
        <v>3606</v>
      </c>
      <c r="AF37" s="2" t="s">
        <v>3497</v>
      </c>
      <c r="AG37" s="2" t="s">
        <v>3497</v>
      </c>
      <c r="AH37" s="2">
        <v>10000</v>
      </c>
      <c r="AI37" s="2">
        <v>215000</v>
      </c>
      <c r="AJ37" s="2">
        <v>27500</v>
      </c>
      <c r="AK37" s="2">
        <f t="shared" si="5"/>
        <v>252500</v>
      </c>
      <c r="AL37" s="2" t="s">
        <v>3607</v>
      </c>
      <c r="AM37" s="2" t="s">
        <v>78</v>
      </c>
      <c r="AN37" s="2" t="s">
        <v>3608</v>
      </c>
      <c r="AO37" s="2" t="s">
        <v>187</v>
      </c>
      <c r="AP37" s="2" t="s">
        <v>3609</v>
      </c>
      <c r="AQ37" s="2" t="s">
        <v>3617</v>
      </c>
      <c r="AR37" s="4" t="s">
        <v>3610</v>
      </c>
      <c r="AS37" s="2" t="s">
        <v>3611</v>
      </c>
      <c r="AT37" s="2" t="s">
        <v>3612</v>
      </c>
      <c r="AU37" s="2" t="s">
        <v>3613</v>
      </c>
      <c r="AV37" s="2" t="s">
        <v>3614</v>
      </c>
      <c r="AW37" s="2">
        <v>177033</v>
      </c>
      <c r="AX37" s="2" t="s">
        <v>3611</v>
      </c>
      <c r="AZ37" s="2">
        <v>8626868550</v>
      </c>
      <c r="BA37" s="2">
        <v>9805006228</v>
      </c>
      <c r="BD37" s="3" t="s">
        <v>3615</v>
      </c>
      <c r="BE37" s="2" t="s">
        <v>3148</v>
      </c>
      <c r="BF37" s="2" t="s">
        <v>1469</v>
      </c>
    </row>
    <row r="38" spans="1:59" s="2" customFormat="1" ht="80.099999999999994" customHeight="1" x14ac:dyDescent="0.25">
      <c r="A38" s="2">
        <v>36</v>
      </c>
      <c r="B38" s="6">
        <v>777</v>
      </c>
      <c r="C38" s="2" t="s">
        <v>4444</v>
      </c>
      <c r="D38" s="6" t="s">
        <v>392</v>
      </c>
      <c r="F38" s="8" t="s">
        <v>3469</v>
      </c>
      <c r="G38" s="6" t="s">
        <v>38</v>
      </c>
      <c r="H38" s="6" t="s">
        <v>35</v>
      </c>
      <c r="I38" s="2" t="s">
        <v>68</v>
      </c>
      <c r="J38" s="2" t="s">
        <v>36</v>
      </c>
      <c r="K38" s="2" t="s">
        <v>3640</v>
      </c>
      <c r="L38" s="2" t="s">
        <v>82</v>
      </c>
      <c r="M38" s="2" t="s">
        <v>3641</v>
      </c>
      <c r="N38" s="2" t="s">
        <v>1563</v>
      </c>
      <c r="O38" s="2" t="s">
        <v>72</v>
      </c>
      <c r="P38" s="2" t="s">
        <v>62</v>
      </c>
      <c r="Q38" s="2" t="s">
        <v>185</v>
      </c>
      <c r="R38" s="2">
        <v>5829335</v>
      </c>
      <c r="S38" s="2">
        <v>2018</v>
      </c>
      <c r="T38" s="2" t="s">
        <v>616</v>
      </c>
      <c r="U38" s="2" t="s">
        <v>37</v>
      </c>
      <c r="V38" s="2" t="s">
        <v>1563</v>
      </c>
      <c r="W38" s="2" t="s">
        <v>37</v>
      </c>
      <c r="X38" s="2" t="s">
        <v>37</v>
      </c>
      <c r="Y38" s="2">
        <f>70+81+57+65+61+74</f>
        <v>408</v>
      </c>
      <c r="Z38" s="2">
        <v>600</v>
      </c>
      <c r="AA38" s="2">
        <f t="shared" si="3"/>
        <v>68</v>
      </c>
      <c r="AB38" s="2">
        <f>57+65+61</f>
        <v>183</v>
      </c>
      <c r="AC38" s="2">
        <v>300</v>
      </c>
      <c r="AD38" s="2">
        <f t="shared" si="4"/>
        <v>61</v>
      </c>
      <c r="AE38" s="2" t="s">
        <v>3642</v>
      </c>
      <c r="AF38" s="2" t="s">
        <v>3497</v>
      </c>
      <c r="AG38" s="2" t="s">
        <v>3497</v>
      </c>
      <c r="AH38" s="2">
        <v>10000</v>
      </c>
      <c r="AI38" s="2">
        <v>215000</v>
      </c>
      <c r="AJ38" s="2">
        <v>27500</v>
      </c>
      <c r="AK38" s="2">
        <f t="shared" si="5"/>
        <v>252500</v>
      </c>
      <c r="AL38" s="2" t="s">
        <v>3643</v>
      </c>
      <c r="AM38" s="2" t="s">
        <v>78</v>
      </c>
      <c r="AN38" s="2" t="s">
        <v>3644</v>
      </c>
      <c r="AO38" s="2" t="s">
        <v>3333</v>
      </c>
      <c r="AQ38" s="2" t="s">
        <v>3645</v>
      </c>
      <c r="AR38" s="4" t="s">
        <v>3646</v>
      </c>
      <c r="AS38" s="2" t="s">
        <v>3647</v>
      </c>
      <c r="AT38" s="2" t="s">
        <v>3648</v>
      </c>
      <c r="AU38" s="2" t="s">
        <v>3649</v>
      </c>
      <c r="AV38" s="2" t="s">
        <v>1562</v>
      </c>
      <c r="AW38" s="2">
        <v>262551</v>
      </c>
      <c r="AX38" s="2" t="s">
        <v>3647</v>
      </c>
      <c r="AZ38" s="2">
        <v>8958282891</v>
      </c>
      <c r="BA38" s="2">
        <v>84493173333</v>
      </c>
      <c r="BB38" s="2">
        <v>9411524319</v>
      </c>
      <c r="BD38" s="3" t="s">
        <v>3650</v>
      </c>
      <c r="BE38" s="2" t="s">
        <v>1862</v>
      </c>
      <c r="BF38" s="2" t="s">
        <v>37</v>
      </c>
    </row>
    <row r="39" spans="1:59" s="2" customFormat="1" ht="80.099999999999994" customHeight="1" x14ac:dyDescent="0.25">
      <c r="A39" s="2">
        <v>37</v>
      </c>
      <c r="B39" s="6">
        <v>780</v>
      </c>
      <c r="C39" s="2" t="s">
        <v>4444</v>
      </c>
      <c r="D39" s="6" t="s">
        <v>392</v>
      </c>
      <c r="F39" s="8" t="s">
        <v>3471</v>
      </c>
      <c r="G39" s="6" t="s">
        <v>38</v>
      </c>
      <c r="H39" s="6" t="s">
        <v>35</v>
      </c>
      <c r="I39" s="2" t="s">
        <v>68</v>
      </c>
      <c r="J39" s="2" t="s">
        <v>36</v>
      </c>
      <c r="K39" s="2" t="s">
        <v>157</v>
      </c>
      <c r="L39" s="2" t="s">
        <v>82</v>
      </c>
      <c r="M39" s="2" t="s">
        <v>1598</v>
      </c>
      <c r="N39" s="2" t="s">
        <v>111</v>
      </c>
      <c r="O39" s="2" t="s">
        <v>83</v>
      </c>
      <c r="P39" s="2" t="s">
        <v>85</v>
      </c>
      <c r="Q39" s="2" t="s">
        <v>185</v>
      </c>
      <c r="R39" s="2">
        <v>1802212692</v>
      </c>
      <c r="S39" s="2">
        <v>2018</v>
      </c>
      <c r="T39" s="2" t="s">
        <v>89</v>
      </c>
      <c r="U39" s="2" t="s">
        <v>37</v>
      </c>
      <c r="V39" s="2" t="s">
        <v>215</v>
      </c>
      <c r="W39" s="2">
        <v>597</v>
      </c>
      <c r="X39" s="2">
        <f t="shared" ref="X39:X51" si="6">W39/1000*100</f>
        <v>59.699999999999996</v>
      </c>
      <c r="Y39" s="2">
        <f>70+70+30+37+36+21+24+26</f>
        <v>314</v>
      </c>
      <c r="Z39" s="2">
        <v>530</v>
      </c>
      <c r="AA39" s="2">
        <f t="shared" si="3"/>
        <v>59.245283018867923</v>
      </c>
      <c r="AB39" s="2">
        <f>50+49+33+38+30+37+36+21+24+26</f>
        <v>344</v>
      </c>
      <c r="AC39" s="2">
        <v>600</v>
      </c>
      <c r="AD39" s="2">
        <f t="shared" si="4"/>
        <v>57.333333333333336</v>
      </c>
      <c r="AE39" s="2" t="s">
        <v>3659</v>
      </c>
      <c r="AF39" s="2" t="s">
        <v>3497</v>
      </c>
      <c r="AG39" s="2" t="s">
        <v>3497</v>
      </c>
      <c r="AH39" s="2">
        <v>10000</v>
      </c>
      <c r="AI39" s="2">
        <v>215000</v>
      </c>
      <c r="AJ39" s="2">
        <v>27500</v>
      </c>
      <c r="AK39" s="2">
        <f t="shared" si="5"/>
        <v>252500</v>
      </c>
      <c r="AL39" s="2" t="s">
        <v>3660</v>
      </c>
      <c r="AM39" s="2" t="s">
        <v>78</v>
      </c>
      <c r="AN39" s="2" t="s">
        <v>3661</v>
      </c>
      <c r="AO39" s="2" t="s">
        <v>99</v>
      </c>
      <c r="AP39" s="2">
        <v>600000</v>
      </c>
      <c r="AQ39" s="2" t="s">
        <v>3662</v>
      </c>
      <c r="AR39" s="4" t="s">
        <v>3663</v>
      </c>
      <c r="AS39" s="2" t="s">
        <v>3664</v>
      </c>
      <c r="AT39" s="2" t="s">
        <v>3665</v>
      </c>
      <c r="AU39" s="2" t="s">
        <v>111</v>
      </c>
      <c r="AV39" s="2" t="s">
        <v>215</v>
      </c>
      <c r="AW39" s="2">
        <v>530017</v>
      </c>
      <c r="AX39" s="2" t="s">
        <v>3664</v>
      </c>
      <c r="AZ39" s="2">
        <v>7075493929</v>
      </c>
      <c r="BA39" s="2">
        <v>8522825622</v>
      </c>
      <c r="BB39" s="2">
        <v>6300623553</v>
      </c>
      <c r="BC39" s="3" t="s">
        <v>3666</v>
      </c>
      <c r="BD39" s="3" t="s">
        <v>3667</v>
      </c>
      <c r="BE39" s="2" t="s">
        <v>879</v>
      </c>
      <c r="BF39" s="2" t="s">
        <v>113</v>
      </c>
    </row>
    <row r="40" spans="1:59" s="2" customFormat="1" ht="80.099999999999994" customHeight="1" x14ac:dyDescent="0.25">
      <c r="A40" s="2">
        <v>38</v>
      </c>
      <c r="B40" s="6">
        <v>796</v>
      </c>
      <c r="C40" s="2" t="s">
        <v>4444</v>
      </c>
      <c r="D40" s="6" t="s">
        <v>392</v>
      </c>
      <c r="F40" s="8" t="s">
        <v>3477</v>
      </c>
      <c r="G40" s="6" t="s">
        <v>38</v>
      </c>
      <c r="H40" s="6" t="s">
        <v>35</v>
      </c>
      <c r="I40" s="2" t="s">
        <v>68</v>
      </c>
      <c r="J40" s="2" t="s">
        <v>36</v>
      </c>
      <c r="K40" s="2" t="s">
        <v>2972</v>
      </c>
      <c r="L40" s="2" t="s">
        <v>82</v>
      </c>
      <c r="M40" s="2" t="s">
        <v>2279</v>
      </c>
      <c r="N40" s="2" t="s">
        <v>1965</v>
      </c>
      <c r="O40" s="2" t="s">
        <v>83</v>
      </c>
      <c r="P40" s="2" t="s">
        <v>62</v>
      </c>
      <c r="Q40" s="2" t="s">
        <v>185</v>
      </c>
      <c r="R40" s="2">
        <v>1805234333</v>
      </c>
      <c r="S40" s="2">
        <v>2018</v>
      </c>
      <c r="T40" s="2" t="s">
        <v>89</v>
      </c>
      <c r="U40" s="2" t="s">
        <v>37</v>
      </c>
      <c r="V40" s="2" t="s">
        <v>215</v>
      </c>
      <c r="W40" s="2">
        <v>926</v>
      </c>
      <c r="X40" s="2">
        <f t="shared" si="6"/>
        <v>92.600000000000009</v>
      </c>
      <c r="Y40" s="2">
        <f>91+93+69+63+60+50+30+30</f>
        <v>486</v>
      </c>
      <c r="Z40" s="2">
        <v>530</v>
      </c>
      <c r="AA40" s="2">
        <f t="shared" si="3"/>
        <v>91.698113207547166</v>
      </c>
      <c r="AB40" s="2">
        <f>67+74+60+52+69+63+60+50+30+30</f>
        <v>555</v>
      </c>
      <c r="AC40" s="2">
        <v>600</v>
      </c>
      <c r="AD40" s="2">
        <f t="shared" si="4"/>
        <v>92.5</v>
      </c>
      <c r="AE40" s="2" t="s">
        <v>3719</v>
      </c>
      <c r="AF40" s="2" t="s">
        <v>2914</v>
      </c>
      <c r="AG40" s="2" t="s">
        <v>3681</v>
      </c>
      <c r="AH40" s="2">
        <v>10000</v>
      </c>
      <c r="AI40" s="2">
        <v>215000</v>
      </c>
      <c r="AJ40" s="2">
        <v>27500</v>
      </c>
      <c r="AK40" s="2">
        <f t="shared" si="5"/>
        <v>252500</v>
      </c>
      <c r="AL40" s="2" t="s">
        <v>3720</v>
      </c>
      <c r="AM40" s="2" t="s">
        <v>78</v>
      </c>
      <c r="AN40" s="2" t="s">
        <v>3721</v>
      </c>
      <c r="AO40" s="2" t="s">
        <v>3722</v>
      </c>
      <c r="AP40" s="2">
        <v>18000</v>
      </c>
      <c r="AQ40" s="2" t="s">
        <v>3723</v>
      </c>
      <c r="AR40" s="4" t="s">
        <v>3724</v>
      </c>
      <c r="AS40" s="2" t="s">
        <v>3725</v>
      </c>
      <c r="AT40" s="2" t="s">
        <v>3726</v>
      </c>
      <c r="AU40" s="2" t="s">
        <v>1568</v>
      </c>
      <c r="AV40" s="2" t="s">
        <v>215</v>
      </c>
      <c r="AW40" s="2">
        <v>524201</v>
      </c>
      <c r="AX40" s="2" t="s">
        <v>3729</v>
      </c>
      <c r="AZ40" s="2">
        <v>7674934093</v>
      </c>
      <c r="BA40" s="2">
        <v>9290823430</v>
      </c>
      <c r="BB40" s="2">
        <v>9063829574</v>
      </c>
      <c r="BC40" s="3" t="s">
        <v>3727</v>
      </c>
      <c r="BD40" s="3" t="s">
        <v>3728</v>
      </c>
      <c r="BE40" s="2" t="s">
        <v>879</v>
      </c>
      <c r="BF40" s="2" t="s">
        <v>113</v>
      </c>
    </row>
    <row r="41" spans="1:59" s="2" customFormat="1" ht="80.099999999999994" customHeight="1" x14ac:dyDescent="0.25">
      <c r="A41" s="2">
        <v>39</v>
      </c>
      <c r="B41" s="6">
        <v>800</v>
      </c>
      <c r="C41" s="2" t="s">
        <v>4444</v>
      </c>
      <c r="D41" s="6" t="s">
        <v>392</v>
      </c>
      <c r="F41" s="8" t="s">
        <v>3480</v>
      </c>
      <c r="G41" s="6" t="s">
        <v>38</v>
      </c>
      <c r="H41" s="6" t="s">
        <v>35</v>
      </c>
      <c r="I41" s="2" t="s">
        <v>68</v>
      </c>
      <c r="J41" s="2" t="s">
        <v>36</v>
      </c>
      <c r="K41" s="2" t="s">
        <v>407</v>
      </c>
      <c r="L41" s="2" t="s">
        <v>82</v>
      </c>
      <c r="M41" s="2" t="s">
        <v>3753</v>
      </c>
      <c r="N41" s="2" t="s">
        <v>755</v>
      </c>
      <c r="O41" s="2" t="s">
        <v>83</v>
      </c>
      <c r="P41" s="2" t="s">
        <v>85</v>
      </c>
      <c r="Q41" s="2" t="s">
        <v>185</v>
      </c>
      <c r="R41" s="2">
        <v>1812210822</v>
      </c>
      <c r="S41" s="2">
        <v>2018</v>
      </c>
      <c r="T41" s="2" t="s">
        <v>89</v>
      </c>
      <c r="U41" s="2" t="s">
        <v>37</v>
      </c>
      <c r="V41" s="2" t="s">
        <v>215</v>
      </c>
      <c r="W41" s="2">
        <v>893</v>
      </c>
      <c r="X41" s="2">
        <f t="shared" si="6"/>
        <v>89.3</v>
      </c>
      <c r="Y41" s="2">
        <f>81+96+73+70+44+56+29+30</f>
        <v>479</v>
      </c>
      <c r="Z41" s="2">
        <v>530</v>
      </c>
      <c r="AA41" s="2">
        <f t="shared" si="3"/>
        <v>90.377358490566039</v>
      </c>
      <c r="AB41" s="2">
        <f>57+73+57+48+73+70+44+56+29+30</f>
        <v>537</v>
      </c>
      <c r="AC41" s="2">
        <v>600</v>
      </c>
      <c r="AD41" s="2">
        <f t="shared" si="4"/>
        <v>89.5</v>
      </c>
      <c r="AE41" s="2" t="s">
        <v>1172</v>
      </c>
      <c r="AF41" s="2" t="s">
        <v>1560</v>
      </c>
      <c r="AG41" s="2" t="s">
        <v>3681</v>
      </c>
      <c r="AH41" s="2">
        <v>10000</v>
      </c>
      <c r="AI41" s="2">
        <v>215000</v>
      </c>
      <c r="AJ41" s="2">
        <v>27500</v>
      </c>
      <c r="AK41" s="2">
        <f t="shared" si="5"/>
        <v>252500</v>
      </c>
      <c r="AL41" s="2" t="s">
        <v>3754</v>
      </c>
      <c r="AM41" s="2" t="s">
        <v>78</v>
      </c>
      <c r="AN41" s="2" t="s">
        <v>3755</v>
      </c>
      <c r="AO41" s="2" t="s">
        <v>139</v>
      </c>
      <c r="AP41" s="2" t="s">
        <v>2081</v>
      </c>
      <c r="AQ41" s="2" t="s">
        <v>3756</v>
      </c>
      <c r="AR41" s="4" t="s">
        <v>3757</v>
      </c>
      <c r="AS41" s="2" t="s">
        <v>3758</v>
      </c>
      <c r="AT41" s="2" t="s">
        <v>1899</v>
      </c>
      <c r="AU41" s="2" t="s">
        <v>755</v>
      </c>
      <c r="AV41" s="2" t="s">
        <v>215</v>
      </c>
      <c r="AW41" s="2">
        <v>516213</v>
      </c>
      <c r="AX41" s="2" t="s">
        <v>3759</v>
      </c>
      <c r="AZ41" s="2">
        <v>7095127718</v>
      </c>
      <c r="BA41" s="2">
        <v>9490163648</v>
      </c>
      <c r="BB41" s="2">
        <v>7095127718</v>
      </c>
      <c r="BD41" s="3" t="s">
        <v>3760</v>
      </c>
      <c r="BE41" s="2" t="s">
        <v>3452</v>
      </c>
      <c r="BF41" s="2" t="s">
        <v>144</v>
      </c>
    </row>
    <row r="42" spans="1:59" s="2" customFormat="1" ht="80.099999999999994" customHeight="1" x14ac:dyDescent="0.25">
      <c r="A42" s="2">
        <v>40</v>
      </c>
      <c r="B42" s="6">
        <v>811</v>
      </c>
      <c r="C42" s="2" t="s">
        <v>4444</v>
      </c>
      <c r="D42" s="6" t="s">
        <v>392</v>
      </c>
      <c r="F42" s="8" t="s">
        <v>3485</v>
      </c>
      <c r="G42" s="6" t="s">
        <v>38</v>
      </c>
      <c r="H42" s="6" t="s">
        <v>35</v>
      </c>
      <c r="I42" s="2" t="s">
        <v>68</v>
      </c>
      <c r="J42" s="2" t="s">
        <v>36</v>
      </c>
      <c r="K42" s="2" t="s">
        <v>81</v>
      </c>
      <c r="L42" s="2" t="s">
        <v>82</v>
      </c>
      <c r="M42" s="2" t="s">
        <v>1657</v>
      </c>
      <c r="N42" s="2" t="s">
        <v>567</v>
      </c>
      <c r="O42" s="2" t="s">
        <v>83</v>
      </c>
      <c r="Q42" s="2" t="s">
        <v>185</v>
      </c>
      <c r="R42" s="2">
        <v>1825231134</v>
      </c>
      <c r="S42" s="2">
        <v>2018</v>
      </c>
      <c r="T42" s="2" t="s">
        <v>89</v>
      </c>
      <c r="U42" s="2" t="s">
        <v>37</v>
      </c>
      <c r="V42" s="2" t="s">
        <v>215</v>
      </c>
      <c r="W42" s="2">
        <v>650</v>
      </c>
      <c r="X42" s="2">
        <f t="shared" si="6"/>
        <v>65</v>
      </c>
      <c r="Y42" s="2">
        <f>65+55+37+33+30+42+27+26</f>
        <v>315</v>
      </c>
      <c r="Z42" s="2">
        <v>530</v>
      </c>
      <c r="AA42" s="2">
        <f t="shared" si="3"/>
        <v>59.433962264150942</v>
      </c>
      <c r="AB42" s="2">
        <f>58+65+41+34+37+33+30+42+27+26</f>
        <v>393</v>
      </c>
      <c r="AC42" s="2">
        <v>600</v>
      </c>
      <c r="AD42" s="2">
        <f t="shared" si="4"/>
        <v>65.5</v>
      </c>
      <c r="AE42" s="2" t="s">
        <v>2047</v>
      </c>
      <c r="AF42" s="2" t="s">
        <v>843</v>
      </c>
      <c r="AG42" s="2" t="s">
        <v>3681</v>
      </c>
      <c r="AH42" s="2">
        <v>10000</v>
      </c>
      <c r="AI42" s="2">
        <v>215000</v>
      </c>
      <c r="AJ42" s="2">
        <v>27500</v>
      </c>
      <c r="AK42" s="2">
        <f t="shared" si="5"/>
        <v>252500</v>
      </c>
      <c r="AL42" s="2" t="s">
        <v>3803</v>
      </c>
      <c r="AM42" s="2" t="s">
        <v>87</v>
      </c>
      <c r="AN42" s="2" t="s">
        <v>3804</v>
      </c>
      <c r="AO42" s="2" t="s">
        <v>67</v>
      </c>
      <c r="AP42" s="2">
        <v>80000</v>
      </c>
      <c r="AR42" s="4" t="s">
        <v>3805</v>
      </c>
      <c r="AS42" s="2" t="s">
        <v>3809</v>
      </c>
      <c r="AT42" s="2" t="s">
        <v>3807</v>
      </c>
      <c r="AU42" s="2" t="s">
        <v>256</v>
      </c>
      <c r="AV42" s="2" t="s">
        <v>215</v>
      </c>
      <c r="AW42" s="2">
        <v>522301</v>
      </c>
      <c r="AX42" s="2" t="s">
        <v>3806</v>
      </c>
      <c r="AZ42" s="2">
        <v>9849055965</v>
      </c>
      <c r="BA42" s="2">
        <v>9490573394</v>
      </c>
      <c r="BD42" s="3" t="s">
        <v>3808</v>
      </c>
      <c r="BE42" s="2" t="s">
        <v>1069</v>
      </c>
      <c r="BF42" s="2" t="s">
        <v>1382</v>
      </c>
    </row>
    <row r="43" spans="1:59" s="19" customFormat="1" ht="80.099999999999994" customHeight="1" x14ac:dyDescent="0.25">
      <c r="A43" s="2">
        <v>41</v>
      </c>
      <c r="B43" s="6">
        <v>813</v>
      </c>
      <c r="C43" s="2" t="s">
        <v>4444</v>
      </c>
      <c r="D43" s="6" t="s">
        <v>392</v>
      </c>
      <c r="E43" s="2"/>
      <c r="F43" s="8" t="s">
        <v>3486</v>
      </c>
      <c r="G43" s="6" t="s">
        <v>38</v>
      </c>
      <c r="H43" s="6" t="s">
        <v>35</v>
      </c>
      <c r="I43" s="2" t="s">
        <v>68</v>
      </c>
      <c r="J43" s="2" t="s">
        <v>36</v>
      </c>
      <c r="K43" s="2" t="s">
        <v>1572</v>
      </c>
      <c r="L43" s="2" t="s">
        <v>82</v>
      </c>
      <c r="M43" s="2" t="s">
        <v>3810</v>
      </c>
      <c r="N43" s="2" t="s">
        <v>567</v>
      </c>
      <c r="O43" s="2" t="s">
        <v>83</v>
      </c>
      <c r="P43" s="2" t="s">
        <v>73</v>
      </c>
      <c r="Q43" s="2" t="s">
        <v>185</v>
      </c>
      <c r="R43" s="2">
        <v>186216748</v>
      </c>
      <c r="S43" s="2">
        <v>2018</v>
      </c>
      <c r="T43" s="2" t="s">
        <v>89</v>
      </c>
      <c r="U43" s="2" t="s">
        <v>37</v>
      </c>
      <c r="V43" s="2" t="s">
        <v>215</v>
      </c>
      <c r="W43" s="2">
        <v>672</v>
      </c>
      <c r="X43" s="2">
        <f t="shared" si="6"/>
        <v>67.2</v>
      </c>
      <c r="Y43" s="2">
        <f>74+57+41+54+22+23+29+30</f>
        <v>330</v>
      </c>
      <c r="Z43" s="2">
        <v>530</v>
      </c>
      <c r="AA43" s="2">
        <f t="shared" si="3"/>
        <v>62.264150943396224</v>
      </c>
      <c r="AB43" s="2">
        <f>53+63+49+33+41+54+22+23+29+30</f>
        <v>397</v>
      </c>
      <c r="AC43" s="2">
        <v>600</v>
      </c>
      <c r="AD43" s="2">
        <f t="shared" si="4"/>
        <v>66.166666666666657</v>
      </c>
      <c r="AE43" s="2" t="s">
        <v>3811</v>
      </c>
      <c r="AF43" s="2" t="s">
        <v>3681</v>
      </c>
      <c r="AG43" s="2" t="s">
        <v>3681</v>
      </c>
      <c r="AH43" s="2">
        <v>10000</v>
      </c>
      <c r="AI43" s="2">
        <v>215000</v>
      </c>
      <c r="AJ43" s="2">
        <v>27500</v>
      </c>
      <c r="AK43" s="2">
        <f t="shared" si="5"/>
        <v>252500</v>
      </c>
      <c r="AL43" s="2" t="s">
        <v>3812</v>
      </c>
      <c r="AM43" s="2" t="s">
        <v>87</v>
      </c>
      <c r="AN43" s="2" t="s">
        <v>3813</v>
      </c>
      <c r="AO43" s="2" t="s">
        <v>139</v>
      </c>
      <c r="AP43" s="2">
        <v>600000</v>
      </c>
      <c r="AQ43" s="2"/>
      <c r="AR43" s="4" t="s">
        <v>3814</v>
      </c>
      <c r="AS43" s="2" t="s">
        <v>3815</v>
      </c>
      <c r="AT43" s="2" t="s">
        <v>567</v>
      </c>
      <c r="AU43" s="2" t="s">
        <v>256</v>
      </c>
      <c r="AV43" s="2" t="s">
        <v>215</v>
      </c>
      <c r="AW43" s="2">
        <v>522201</v>
      </c>
      <c r="AX43" s="2" t="s">
        <v>3816</v>
      </c>
      <c r="AY43" s="2"/>
      <c r="AZ43" s="2">
        <v>9490537256</v>
      </c>
      <c r="BA43" s="2">
        <v>9885089455</v>
      </c>
      <c r="BB43" s="2">
        <v>9731759189</v>
      </c>
      <c r="BC43" s="3" t="s">
        <v>3817</v>
      </c>
      <c r="BD43" s="3" t="s">
        <v>3818</v>
      </c>
      <c r="BE43" s="2" t="s">
        <v>3452</v>
      </c>
      <c r="BF43" s="2" t="s">
        <v>144</v>
      </c>
      <c r="BG43" s="2"/>
    </row>
    <row r="44" spans="1:59" s="19" customFormat="1" ht="80.099999999999994" customHeight="1" x14ac:dyDescent="0.25">
      <c r="A44" s="2">
        <v>42</v>
      </c>
      <c r="B44" s="2">
        <v>812</v>
      </c>
      <c r="C44" s="2" t="s">
        <v>4444</v>
      </c>
      <c r="D44" s="2" t="s">
        <v>392</v>
      </c>
      <c r="E44" s="2"/>
      <c r="F44" s="7" t="s">
        <v>3489</v>
      </c>
      <c r="G44" s="2" t="s">
        <v>38</v>
      </c>
      <c r="H44" s="2" t="s">
        <v>35</v>
      </c>
      <c r="I44" s="2" t="s">
        <v>68</v>
      </c>
      <c r="J44" s="2" t="s">
        <v>36</v>
      </c>
      <c r="K44" s="2" t="s">
        <v>81</v>
      </c>
      <c r="L44" s="2" t="s">
        <v>82</v>
      </c>
      <c r="M44" s="2" t="s">
        <v>586</v>
      </c>
      <c r="N44" s="2" t="s">
        <v>567</v>
      </c>
      <c r="O44" s="2" t="s">
        <v>83</v>
      </c>
      <c r="P44" s="2"/>
      <c r="Q44" s="2" t="s">
        <v>185</v>
      </c>
      <c r="R44" s="2">
        <v>1825218872</v>
      </c>
      <c r="S44" s="2">
        <v>2018</v>
      </c>
      <c r="T44" s="2" t="s">
        <v>89</v>
      </c>
      <c r="U44" s="2" t="s">
        <v>37</v>
      </c>
      <c r="V44" s="2" t="s">
        <v>215</v>
      </c>
      <c r="W44" s="2">
        <v>792</v>
      </c>
      <c r="X44" s="2">
        <f t="shared" si="6"/>
        <v>79.2</v>
      </c>
      <c r="Y44" s="2">
        <f>70+87+64+63+56+52+29+28</f>
        <v>449</v>
      </c>
      <c r="Z44" s="2">
        <v>530</v>
      </c>
      <c r="AA44" s="2">
        <f t="shared" si="3"/>
        <v>84.716981132075475</v>
      </c>
      <c r="AB44" s="2">
        <f>65+64+48+34+64+63+56+52+29+28</f>
        <v>503</v>
      </c>
      <c r="AC44" s="2">
        <v>600</v>
      </c>
      <c r="AD44" s="2">
        <f t="shared" si="4"/>
        <v>83.833333333333343</v>
      </c>
      <c r="AE44" s="2" t="s">
        <v>3839</v>
      </c>
      <c r="AF44" s="2" t="s">
        <v>843</v>
      </c>
      <c r="AG44" s="2" t="s">
        <v>3840</v>
      </c>
      <c r="AH44" s="2">
        <v>10000</v>
      </c>
      <c r="AI44" s="2">
        <v>215000</v>
      </c>
      <c r="AJ44" s="2">
        <v>27500</v>
      </c>
      <c r="AK44" s="2">
        <f t="shared" si="5"/>
        <v>252500</v>
      </c>
      <c r="AL44" s="2" t="s">
        <v>3841</v>
      </c>
      <c r="AM44" s="2" t="s">
        <v>87</v>
      </c>
      <c r="AN44" s="2" t="s">
        <v>3842</v>
      </c>
      <c r="AO44" s="2" t="s">
        <v>67</v>
      </c>
      <c r="AP44" s="2">
        <v>80000</v>
      </c>
      <c r="AQ44" s="2"/>
      <c r="AR44" s="4" t="s">
        <v>3843</v>
      </c>
      <c r="AS44" s="2" t="s">
        <v>3844</v>
      </c>
      <c r="AT44" s="2" t="s">
        <v>3845</v>
      </c>
      <c r="AU44" s="2" t="s">
        <v>256</v>
      </c>
      <c r="AV44" s="2" t="s">
        <v>215</v>
      </c>
      <c r="AW44" s="2">
        <v>522301</v>
      </c>
      <c r="AX44" s="2" t="s">
        <v>3844</v>
      </c>
      <c r="AY44" s="2"/>
      <c r="AZ44" s="2">
        <v>9441084095</v>
      </c>
      <c r="BA44" s="2">
        <v>94490573397</v>
      </c>
      <c r="BB44" s="2"/>
      <c r="BC44" s="2"/>
      <c r="BD44" s="3" t="s">
        <v>3846</v>
      </c>
      <c r="BE44" s="2" t="s">
        <v>1069</v>
      </c>
      <c r="BF44" s="2" t="s">
        <v>1382</v>
      </c>
      <c r="BG44" s="2"/>
    </row>
    <row r="45" spans="1:59" s="19" customFormat="1" ht="80.099999999999994" customHeight="1" x14ac:dyDescent="0.25">
      <c r="A45" s="2">
        <v>43</v>
      </c>
      <c r="B45" s="6">
        <v>843</v>
      </c>
      <c r="C45" s="2" t="s">
        <v>4444</v>
      </c>
      <c r="D45" s="6" t="s">
        <v>392</v>
      </c>
      <c r="E45" s="2"/>
      <c r="F45" s="8" t="s">
        <v>3761</v>
      </c>
      <c r="G45" s="6" t="s">
        <v>38</v>
      </c>
      <c r="H45" s="6" t="s">
        <v>35</v>
      </c>
      <c r="I45" s="2" t="s">
        <v>68</v>
      </c>
      <c r="J45" s="2" t="s">
        <v>36</v>
      </c>
      <c r="K45" s="2" t="s">
        <v>81</v>
      </c>
      <c r="L45" s="2" t="s">
        <v>82</v>
      </c>
      <c r="M45" s="2" t="s">
        <v>3913</v>
      </c>
      <c r="N45" s="2" t="s">
        <v>755</v>
      </c>
      <c r="O45" s="2" t="s">
        <v>83</v>
      </c>
      <c r="P45" s="2" t="s">
        <v>62</v>
      </c>
      <c r="Q45" s="2" t="s">
        <v>185</v>
      </c>
      <c r="R45" s="2">
        <v>1812216452</v>
      </c>
      <c r="S45" s="2">
        <v>2018</v>
      </c>
      <c r="T45" s="2" t="s">
        <v>89</v>
      </c>
      <c r="U45" s="2" t="s">
        <v>37</v>
      </c>
      <c r="V45" s="2" t="s">
        <v>215</v>
      </c>
      <c r="W45" s="2">
        <v>922</v>
      </c>
      <c r="X45" s="2">
        <f t="shared" si="6"/>
        <v>92.2</v>
      </c>
      <c r="Y45" s="2">
        <f>87+95+73+59+60+58+28+26</f>
        <v>486</v>
      </c>
      <c r="Z45" s="2">
        <v>530</v>
      </c>
      <c r="AA45" s="2">
        <f t="shared" si="3"/>
        <v>91.698113207547166</v>
      </c>
      <c r="AB45" s="2">
        <f>70+73+60+60+73+59+60+58+28+26</f>
        <v>567</v>
      </c>
      <c r="AC45" s="2">
        <v>600</v>
      </c>
      <c r="AD45" s="2">
        <f t="shared" si="4"/>
        <v>94.5</v>
      </c>
      <c r="AE45" s="2" t="s">
        <v>3914</v>
      </c>
      <c r="AF45" s="2" t="s">
        <v>3163</v>
      </c>
      <c r="AG45" s="2" t="s">
        <v>3915</v>
      </c>
      <c r="AH45" s="2">
        <v>10000</v>
      </c>
      <c r="AI45" s="2">
        <v>215000</v>
      </c>
      <c r="AJ45" s="2">
        <v>27500</v>
      </c>
      <c r="AK45" s="2">
        <f t="shared" si="5"/>
        <v>252500</v>
      </c>
      <c r="AL45" s="2" t="s">
        <v>3916</v>
      </c>
      <c r="AM45" s="2" t="s">
        <v>78</v>
      </c>
      <c r="AN45" s="2" t="s">
        <v>3917</v>
      </c>
      <c r="AO45" s="2" t="s">
        <v>202</v>
      </c>
      <c r="AP45" s="2">
        <v>300000</v>
      </c>
      <c r="AQ45" s="2" t="s">
        <v>3924</v>
      </c>
      <c r="AR45" s="4" t="s">
        <v>3918</v>
      </c>
      <c r="AS45" s="2" t="s">
        <v>3919</v>
      </c>
      <c r="AT45" s="2" t="s">
        <v>3920</v>
      </c>
      <c r="AU45" s="2" t="s">
        <v>755</v>
      </c>
      <c r="AV45" s="2" t="s">
        <v>215</v>
      </c>
      <c r="AW45" s="2">
        <v>516002</v>
      </c>
      <c r="AX45" s="2" t="s">
        <v>3921</v>
      </c>
      <c r="AY45" s="2"/>
      <c r="AZ45" s="2">
        <v>9618859121</v>
      </c>
      <c r="BA45" s="2">
        <v>8498091482</v>
      </c>
      <c r="BB45" s="2" t="s">
        <v>3922</v>
      </c>
      <c r="BC45" s="2"/>
      <c r="BD45" s="3" t="s">
        <v>3923</v>
      </c>
      <c r="BE45" s="2" t="s">
        <v>3452</v>
      </c>
      <c r="BF45" s="2" t="s">
        <v>144</v>
      </c>
      <c r="BG45" s="2"/>
    </row>
    <row r="46" spans="1:59" s="2" customFormat="1" ht="80.099999999999994" customHeight="1" x14ac:dyDescent="0.25">
      <c r="A46" s="2">
        <v>44</v>
      </c>
      <c r="B46" s="2">
        <v>902</v>
      </c>
      <c r="C46" s="2" t="s">
        <v>4444</v>
      </c>
      <c r="D46" s="2" t="s">
        <v>392</v>
      </c>
      <c r="F46" s="7" t="s">
        <v>3999</v>
      </c>
      <c r="G46" s="2" t="s">
        <v>38</v>
      </c>
      <c r="H46" s="2" t="s">
        <v>35</v>
      </c>
      <c r="I46" s="2" t="s">
        <v>68</v>
      </c>
      <c r="J46" s="2" t="s">
        <v>36</v>
      </c>
      <c r="K46" s="2" t="s">
        <v>207</v>
      </c>
      <c r="L46" s="2" t="s">
        <v>82</v>
      </c>
      <c r="M46" s="2" t="s">
        <v>1008</v>
      </c>
      <c r="N46" s="2" t="s">
        <v>1683</v>
      </c>
      <c r="O46" s="2" t="s">
        <v>83</v>
      </c>
      <c r="P46" s="2" t="s">
        <v>62</v>
      </c>
      <c r="Q46" s="2" t="s">
        <v>185</v>
      </c>
      <c r="R46" s="2">
        <v>1859245271</v>
      </c>
      <c r="S46" s="2">
        <v>2018</v>
      </c>
      <c r="T46" s="2" t="s">
        <v>75</v>
      </c>
      <c r="U46" s="2" t="s">
        <v>37</v>
      </c>
      <c r="V46" s="2" t="s">
        <v>76</v>
      </c>
      <c r="W46" s="2">
        <v>934</v>
      </c>
      <c r="X46" s="2">
        <f t="shared" si="6"/>
        <v>93.4</v>
      </c>
      <c r="Y46" s="2">
        <f>76+91+75+65+56+56+30+30</f>
        <v>479</v>
      </c>
      <c r="Z46" s="2">
        <v>530</v>
      </c>
      <c r="AA46" s="2">
        <f t="shared" si="3"/>
        <v>90.377358490566039</v>
      </c>
      <c r="AB46" s="2">
        <f>75+69+58+59+75+65+56+56+30+30</f>
        <v>573</v>
      </c>
      <c r="AC46" s="2">
        <v>600</v>
      </c>
      <c r="AD46" s="2">
        <f t="shared" si="4"/>
        <v>95.5</v>
      </c>
      <c r="AE46" s="2" t="s">
        <v>4090</v>
      </c>
      <c r="AF46" s="2" t="s">
        <v>1349</v>
      </c>
      <c r="AG46" s="2" t="s">
        <v>4000</v>
      </c>
      <c r="AH46" s="2">
        <v>10000</v>
      </c>
      <c r="AI46" s="2">
        <v>215000</v>
      </c>
      <c r="AJ46" s="2">
        <v>27500</v>
      </c>
      <c r="AK46" s="2">
        <f t="shared" si="5"/>
        <v>252500</v>
      </c>
      <c r="AL46" s="2" t="s">
        <v>4091</v>
      </c>
      <c r="AM46" s="2" t="s">
        <v>78</v>
      </c>
      <c r="AN46" s="2" t="s">
        <v>4092</v>
      </c>
      <c r="AO46" s="2" t="s">
        <v>139</v>
      </c>
      <c r="AP46" s="2">
        <v>60000</v>
      </c>
      <c r="AR46" s="4" t="s">
        <v>4093</v>
      </c>
      <c r="AS46" s="2" t="s">
        <v>4096</v>
      </c>
      <c r="AT46" s="2" t="s">
        <v>1683</v>
      </c>
      <c r="AU46" s="2" t="s">
        <v>755</v>
      </c>
      <c r="AV46" s="2" t="s">
        <v>215</v>
      </c>
      <c r="AX46" s="2" t="s">
        <v>4096</v>
      </c>
      <c r="AZ46" s="2">
        <v>6301814657</v>
      </c>
      <c r="BA46" s="2">
        <v>8309812656</v>
      </c>
      <c r="BC46" s="3" t="s">
        <v>4094</v>
      </c>
      <c r="BD46" s="3" t="s">
        <v>4095</v>
      </c>
      <c r="BE46" s="2" t="s">
        <v>1069</v>
      </c>
      <c r="BF46" s="2" t="s">
        <v>882</v>
      </c>
    </row>
    <row r="47" spans="1:59" s="2" customFormat="1" ht="80.099999999999994" customHeight="1" x14ac:dyDescent="0.25">
      <c r="A47" s="2">
        <v>45</v>
      </c>
      <c r="B47" s="2">
        <v>906</v>
      </c>
      <c r="C47" s="2" t="s">
        <v>4444</v>
      </c>
      <c r="D47" s="6" t="s">
        <v>392</v>
      </c>
      <c r="F47" s="7" t="s">
        <v>4106</v>
      </c>
      <c r="G47" s="2" t="s">
        <v>38</v>
      </c>
      <c r="H47" s="2" t="s">
        <v>35</v>
      </c>
      <c r="I47" s="2" t="s">
        <v>68</v>
      </c>
      <c r="J47" s="2" t="s">
        <v>36</v>
      </c>
      <c r="K47" s="2" t="s">
        <v>207</v>
      </c>
      <c r="L47" s="2" t="s">
        <v>82</v>
      </c>
      <c r="M47" s="2" t="s">
        <v>191</v>
      </c>
      <c r="N47" s="2" t="s">
        <v>169</v>
      </c>
      <c r="O47" s="2" t="s">
        <v>83</v>
      </c>
      <c r="Q47" s="2" t="s">
        <v>185</v>
      </c>
      <c r="R47" s="2">
        <v>1858214492</v>
      </c>
      <c r="S47" s="2">
        <v>2018</v>
      </c>
      <c r="T47" s="2" t="s">
        <v>75</v>
      </c>
      <c r="U47" s="2" t="s">
        <v>37</v>
      </c>
      <c r="V47" s="2" t="s">
        <v>76</v>
      </c>
      <c r="W47" s="2">
        <v>899</v>
      </c>
      <c r="X47" s="2">
        <f t="shared" si="6"/>
        <v>89.9</v>
      </c>
      <c r="Y47" s="2">
        <f>82+95+75+75+54+60+30+30</f>
        <v>501</v>
      </c>
      <c r="Z47" s="2">
        <v>530</v>
      </c>
      <c r="AA47" s="2">
        <f t="shared" si="3"/>
        <v>94.528301886792448</v>
      </c>
      <c r="AB47" s="2">
        <f>64+54+50+49+75+75+54+60+30+30</f>
        <v>541</v>
      </c>
      <c r="AC47" s="2">
        <v>600</v>
      </c>
      <c r="AD47" s="2">
        <f t="shared" si="4"/>
        <v>90.166666666666657</v>
      </c>
      <c r="AE47" s="2" t="s">
        <v>1915</v>
      </c>
      <c r="AF47" s="2" t="s">
        <v>1258</v>
      </c>
      <c r="AG47" s="2" t="s">
        <v>4117</v>
      </c>
      <c r="AH47" s="2">
        <v>10000</v>
      </c>
      <c r="AI47" s="2">
        <v>215000</v>
      </c>
      <c r="AJ47" s="2">
        <v>27500</v>
      </c>
      <c r="AK47" s="2">
        <f t="shared" si="5"/>
        <v>252500</v>
      </c>
      <c r="AL47" s="2" t="s">
        <v>4111</v>
      </c>
      <c r="AM47" s="2" t="s">
        <v>78</v>
      </c>
      <c r="AN47" s="2" t="s">
        <v>4112</v>
      </c>
      <c r="AO47" s="2" t="s">
        <v>67</v>
      </c>
      <c r="AP47" s="2">
        <v>200000</v>
      </c>
      <c r="AQ47" s="2" t="s">
        <v>4324</v>
      </c>
      <c r="AR47" s="4" t="s">
        <v>4113</v>
      </c>
      <c r="AS47" s="2" t="s">
        <v>4114</v>
      </c>
      <c r="AT47" s="2" t="s">
        <v>4115</v>
      </c>
      <c r="AU47" s="2" t="s">
        <v>169</v>
      </c>
      <c r="AV47" s="2" t="s">
        <v>215</v>
      </c>
      <c r="AW47" s="2">
        <v>518468</v>
      </c>
      <c r="AX47" s="2" t="s">
        <v>4114</v>
      </c>
      <c r="AZ47" s="2">
        <v>7981931614</v>
      </c>
      <c r="BA47" s="2">
        <v>9441181289</v>
      </c>
      <c r="BB47" s="2">
        <v>9177287741</v>
      </c>
      <c r="BD47" s="3" t="s">
        <v>4116</v>
      </c>
      <c r="BE47" s="2" t="s">
        <v>4325</v>
      </c>
      <c r="BF47" s="2" t="s">
        <v>113</v>
      </c>
    </row>
    <row r="48" spans="1:59" s="6" customFormat="1" ht="80.099999999999994" customHeight="1" x14ac:dyDescent="0.25">
      <c r="A48" s="2">
        <v>46</v>
      </c>
      <c r="B48" s="6">
        <v>843</v>
      </c>
      <c r="C48" s="2" t="s">
        <v>4444</v>
      </c>
      <c r="D48" s="6" t="s">
        <v>392</v>
      </c>
      <c r="F48" s="8" t="s">
        <v>4202</v>
      </c>
      <c r="G48" s="6" t="s">
        <v>1505</v>
      </c>
      <c r="H48" s="6" t="s">
        <v>35</v>
      </c>
      <c r="I48" s="6" t="s">
        <v>68</v>
      </c>
      <c r="J48" s="6" t="s">
        <v>36</v>
      </c>
      <c r="K48" s="6" t="s">
        <v>880</v>
      </c>
      <c r="L48" s="6" t="s">
        <v>82</v>
      </c>
      <c r="M48" s="6" t="s">
        <v>168</v>
      </c>
      <c r="N48" s="6" t="s">
        <v>169</v>
      </c>
      <c r="O48" s="6" t="s">
        <v>83</v>
      </c>
      <c r="P48" s="6" t="s">
        <v>85</v>
      </c>
      <c r="Q48" s="6" t="s">
        <v>185</v>
      </c>
      <c r="R48" s="6">
        <v>1810237708</v>
      </c>
      <c r="S48" s="6">
        <v>2018</v>
      </c>
      <c r="T48" s="6" t="s">
        <v>89</v>
      </c>
      <c r="U48" s="6" t="s">
        <v>37</v>
      </c>
      <c r="V48" s="6" t="s">
        <v>215</v>
      </c>
      <c r="W48" s="6">
        <v>927</v>
      </c>
      <c r="X48" s="6">
        <f t="shared" si="6"/>
        <v>92.7</v>
      </c>
      <c r="Y48" s="6">
        <f>92+96+67+60+53+47+30+30</f>
        <v>475</v>
      </c>
      <c r="Z48" s="6">
        <v>530</v>
      </c>
      <c r="AA48" s="6">
        <f t="shared" si="3"/>
        <v>89.622641509433961</v>
      </c>
      <c r="AB48" s="6">
        <f>75+72+56+59+67+60+53+47+30+30</f>
        <v>549</v>
      </c>
      <c r="AC48" s="6">
        <v>600</v>
      </c>
      <c r="AD48" s="6">
        <f t="shared" si="4"/>
        <v>91.5</v>
      </c>
      <c r="AE48" s="6" t="s">
        <v>4219</v>
      </c>
      <c r="AF48" s="6" t="s">
        <v>3973</v>
      </c>
      <c r="AG48" s="6" t="s">
        <v>4212</v>
      </c>
      <c r="AH48" s="6">
        <v>10000</v>
      </c>
      <c r="AI48" s="6">
        <v>205000</v>
      </c>
      <c r="AJ48" s="6">
        <v>27500</v>
      </c>
      <c r="AK48" s="6">
        <f t="shared" si="5"/>
        <v>242500</v>
      </c>
      <c r="AL48" s="6" t="s">
        <v>4221</v>
      </c>
      <c r="AM48" s="6" t="s">
        <v>87</v>
      </c>
      <c r="AN48" s="6" t="s">
        <v>4220</v>
      </c>
      <c r="AO48" s="6" t="s">
        <v>462</v>
      </c>
      <c r="AP48" s="6" t="s">
        <v>4222</v>
      </c>
      <c r="AQ48" s="6" t="s">
        <v>4223</v>
      </c>
      <c r="AR48" s="13" t="s">
        <v>4224</v>
      </c>
      <c r="AS48" s="6" t="s">
        <v>4225</v>
      </c>
      <c r="AT48" s="6" t="s">
        <v>4226</v>
      </c>
      <c r="AU48" s="6" t="s">
        <v>169</v>
      </c>
      <c r="AV48" s="6" t="s">
        <v>215</v>
      </c>
      <c r="AW48" s="6">
        <v>518002</v>
      </c>
      <c r="AX48" s="6" t="s">
        <v>4225</v>
      </c>
      <c r="AZ48" s="6">
        <v>9494111131</v>
      </c>
      <c r="BA48" s="6">
        <v>8688885190</v>
      </c>
      <c r="BC48" s="14" t="s">
        <v>4227</v>
      </c>
      <c r="BD48" s="14" t="s">
        <v>4228</v>
      </c>
      <c r="BE48" s="34" t="s">
        <v>1069</v>
      </c>
      <c r="BF48" s="34" t="s">
        <v>677</v>
      </c>
    </row>
    <row r="49" spans="1:58" s="6" customFormat="1" ht="80.099999999999994" customHeight="1" x14ac:dyDescent="0.25">
      <c r="A49" s="2">
        <v>47</v>
      </c>
      <c r="B49" s="6">
        <v>940</v>
      </c>
      <c r="C49" s="2" t="s">
        <v>4444</v>
      </c>
      <c r="D49" s="6" t="s">
        <v>392</v>
      </c>
      <c r="F49" s="8" t="s">
        <v>4203</v>
      </c>
      <c r="G49" s="6" t="s">
        <v>91</v>
      </c>
      <c r="H49" s="6" t="s">
        <v>35</v>
      </c>
      <c r="I49" s="6" t="s">
        <v>68</v>
      </c>
      <c r="J49" s="6" t="s">
        <v>36</v>
      </c>
      <c r="K49" s="6" t="s">
        <v>206</v>
      </c>
      <c r="L49" s="6" t="s">
        <v>82</v>
      </c>
      <c r="M49" s="6" t="s">
        <v>1785</v>
      </c>
      <c r="N49" s="6" t="s">
        <v>84</v>
      </c>
      <c r="O49" s="6" t="s">
        <v>83</v>
      </c>
      <c r="P49" s="6" t="s">
        <v>73</v>
      </c>
      <c r="Q49" s="6" t="s">
        <v>185</v>
      </c>
      <c r="R49" s="6">
        <v>1805227321</v>
      </c>
      <c r="S49" s="6">
        <v>2018</v>
      </c>
      <c r="T49" s="6" t="s">
        <v>89</v>
      </c>
      <c r="U49" s="6" t="s">
        <v>37</v>
      </c>
      <c r="V49" s="6" t="s">
        <v>215</v>
      </c>
      <c r="W49" s="6">
        <v>965</v>
      </c>
      <c r="X49" s="6">
        <f t="shared" si="6"/>
        <v>96.5</v>
      </c>
      <c r="Y49" s="6">
        <f>91+99+75+69+59+55+30+30</f>
        <v>508</v>
      </c>
      <c r="Z49" s="6">
        <v>530</v>
      </c>
      <c r="AA49" s="6">
        <f t="shared" si="3"/>
        <v>95.84905660377359</v>
      </c>
      <c r="AB49" s="6">
        <f>74+75+60+58+75+69+59+55+30+30</f>
        <v>585</v>
      </c>
      <c r="AC49" s="6">
        <v>600</v>
      </c>
      <c r="AD49" s="6">
        <f t="shared" si="4"/>
        <v>97.5</v>
      </c>
      <c r="AE49" s="6" t="s">
        <v>4231</v>
      </c>
      <c r="AF49" s="6" t="s">
        <v>4117</v>
      </c>
      <c r="AG49" s="6" t="s">
        <v>4212</v>
      </c>
      <c r="AH49" s="6">
        <v>10000</v>
      </c>
      <c r="AI49" s="6">
        <v>205000</v>
      </c>
      <c r="AJ49" s="6">
        <v>27500</v>
      </c>
      <c r="AK49" s="6">
        <f t="shared" si="5"/>
        <v>242500</v>
      </c>
      <c r="AL49" s="6" t="s">
        <v>4241</v>
      </c>
      <c r="AM49" s="6" t="s">
        <v>4233</v>
      </c>
      <c r="AN49" s="6" t="s">
        <v>4232</v>
      </c>
      <c r="AO49" s="6" t="s">
        <v>4234</v>
      </c>
      <c r="AP49" s="6">
        <v>50000</v>
      </c>
      <c r="AQ49" s="6" t="s">
        <v>4235</v>
      </c>
      <c r="AR49" s="13" t="s">
        <v>4236</v>
      </c>
      <c r="AS49" s="6" t="s">
        <v>4242</v>
      </c>
      <c r="AT49" s="6" t="s">
        <v>4237</v>
      </c>
      <c r="AU49" s="6" t="s">
        <v>1027</v>
      </c>
      <c r="AV49" s="6" t="s">
        <v>215</v>
      </c>
      <c r="AW49" s="6">
        <v>515455</v>
      </c>
      <c r="AX49" s="6" t="s">
        <v>4242</v>
      </c>
      <c r="AY49" s="6" t="s">
        <v>4238</v>
      </c>
      <c r="AZ49" s="6">
        <v>7036082622</v>
      </c>
      <c r="BA49" s="6">
        <v>9866008724</v>
      </c>
      <c r="BC49" s="14" t="s">
        <v>4239</v>
      </c>
      <c r="BD49" s="14" t="s">
        <v>4240</v>
      </c>
      <c r="BE49" s="6" t="s">
        <v>3964</v>
      </c>
      <c r="BF49" s="6" t="s">
        <v>144</v>
      </c>
    </row>
    <row r="50" spans="1:58" s="6" customFormat="1" ht="80.099999999999994" customHeight="1" x14ac:dyDescent="0.25">
      <c r="A50" s="2">
        <v>48</v>
      </c>
      <c r="B50" s="6">
        <v>941</v>
      </c>
      <c r="C50" s="2" t="s">
        <v>4444</v>
      </c>
      <c r="D50" s="6" t="s">
        <v>392</v>
      </c>
      <c r="F50" s="8" t="s">
        <v>4204</v>
      </c>
      <c r="G50" s="6" t="s">
        <v>4200</v>
      </c>
      <c r="H50" s="6" t="s">
        <v>35</v>
      </c>
      <c r="I50" s="6" t="s">
        <v>68</v>
      </c>
      <c r="J50" s="6" t="s">
        <v>36</v>
      </c>
      <c r="K50" s="6" t="s">
        <v>4243</v>
      </c>
      <c r="L50" s="6" t="s">
        <v>116</v>
      </c>
      <c r="M50" s="6" t="s">
        <v>1413</v>
      </c>
      <c r="N50" s="6" t="s">
        <v>84</v>
      </c>
      <c r="O50" s="6" t="s">
        <v>83</v>
      </c>
      <c r="P50" s="6" t="s">
        <v>85</v>
      </c>
      <c r="Q50" s="6" t="s">
        <v>185</v>
      </c>
      <c r="R50" s="6">
        <v>1805214343</v>
      </c>
      <c r="S50" s="6">
        <v>2018</v>
      </c>
      <c r="T50" s="6" t="s">
        <v>89</v>
      </c>
      <c r="U50" s="6" t="s">
        <v>37</v>
      </c>
      <c r="V50" s="6" t="s">
        <v>215</v>
      </c>
      <c r="W50" s="6">
        <v>938</v>
      </c>
      <c r="X50" s="6">
        <f t="shared" si="6"/>
        <v>93.8</v>
      </c>
      <c r="Y50" s="6">
        <f>94+98+69+70+58+45+30+30</f>
        <v>494</v>
      </c>
      <c r="Z50" s="6">
        <v>530</v>
      </c>
      <c r="AA50" s="6">
        <f t="shared" si="3"/>
        <v>93.20754716981132</v>
      </c>
      <c r="AB50" s="6">
        <f>75+72+60+57+69+70+58+45+30+30</f>
        <v>566</v>
      </c>
      <c r="AC50" s="6">
        <v>600</v>
      </c>
      <c r="AD50" s="6">
        <f t="shared" si="4"/>
        <v>94.333333333333343</v>
      </c>
      <c r="AE50" s="6" t="s">
        <v>4244</v>
      </c>
      <c r="AF50" s="6" t="s">
        <v>790</v>
      </c>
      <c r="AG50" s="6" t="s">
        <v>4212</v>
      </c>
      <c r="AH50" s="6">
        <v>10000</v>
      </c>
      <c r="AI50" s="6">
        <v>215000</v>
      </c>
      <c r="AJ50" s="6">
        <v>27500</v>
      </c>
      <c r="AK50" s="6">
        <f t="shared" si="5"/>
        <v>252500</v>
      </c>
      <c r="AL50" s="6" t="s">
        <v>4245</v>
      </c>
      <c r="AM50" s="6" t="s">
        <v>78</v>
      </c>
      <c r="AN50" s="6" t="s">
        <v>4246</v>
      </c>
      <c r="AO50" s="6" t="s">
        <v>139</v>
      </c>
      <c r="AP50" s="6">
        <v>100000</v>
      </c>
      <c r="AQ50" s="6" t="s">
        <v>4247</v>
      </c>
      <c r="AR50" s="13" t="s">
        <v>4248</v>
      </c>
      <c r="AS50" s="6" t="s">
        <v>4249</v>
      </c>
      <c r="AT50" s="6" t="s">
        <v>4250</v>
      </c>
      <c r="AU50" s="6" t="s">
        <v>84</v>
      </c>
      <c r="AV50" s="6" t="s">
        <v>215</v>
      </c>
      <c r="AW50" s="6">
        <v>515611</v>
      </c>
      <c r="AX50" s="6" t="s">
        <v>4249</v>
      </c>
      <c r="AZ50" s="6">
        <v>7995974754</v>
      </c>
      <c r="BA50" s="6">
        <v>9441447845</v>
      </c>
      <c r="BB50" s="6">
        <v>7989027272</v>
      </c>
      <c r="BC50" s="14" t="s">
        <v>4251</v>
      </c>
      <c r="BD50" s="14" t="s">
        <v>4252</v>
      </c>
      <c r="BE50" s="6" t="s">
        <v>3964</v>
      </c>
      <c r="BF50" s="6" t="s">
        <v>4283</v>
      </c>
    </row>
    <row r="51" spans="1:58" s="6" customFormat="1" ht="80.099999999999994" customHeight="1" x14ac:dyDescent="0.25">
      <c r="A51" s="2">
        <v>49</v>
      </c>
      <c r="B51" s="6">
        <v>942</v>
      </c>
      <c r="C51" s="2" t="s">
        <v>4444</v>
      </c>
      <c r="D51" s="6" t="s">
        <v>392</v>
      </c>
      <c r="F51" s="8" t="s">
        <v>4205</v>
      </c>
      <c r="G51" s="6" t="s">
        <v>91</v>
      </c>
      <c r="H51" s="6" t="s">
        <v>35</v>
      </c>
      <c r="I51" s="6" t="s">
        <v>68</v>
      </c>
      <c r="J51" s="6" t="s">
        <v>36</v>
      </c>
      <c r="K51" s="6" t="s">
        <v>206</v>
      </c>
      <c r="L51" s="6" t="s">
        <v>82</v>
      </c>
      <c r="M51" s="6" t="s">
        <v>2583</v>
      </c>
      <c r="N51" s="6" t="s">
        <v>84</v>
      </c>
      <c r="O51" s="6" t="s">
        <v>83</v>
      </c>
      <c r="P51" s="6" t="s">
        <v>62</v>
      </c>
      <c r="Q51" s="6" t="s">
        <v>185</v>
      </c>
      <c r="R51" s="6">
        <v>1805218522</v>
      </c>
      <c r="S51" s="6">
        <v>2018</v>
      </c>
      <c r="T51" s="6" t="s">
        <v>89</v>
      </c>
      <c r="U51" s="6" t="s">
        <v>37</v>
      </c>
      <c r="V51" s="6" t="s">
        <v>215</v>
      </c>
      <c r="W51" s="6">
        <v>958</v>
      </c>
      <c r="X51" s="6">
        <f t="shared" si="6"/>
        <v>95.8</v>
      </c>
      <c r="Y51" s="6">
        <f>84+99+73+69+60+60+30+30</f>
        <v>505</v>
      </c>
      <c r="Z51" s="6">
        <v>530</v>
      </c>
      <c r="AA51" s="6">
        <f t="shared" si="3"/>
        <v>95.283018867924525</v>
      </c>
      <c r="AB51" s="6">
        <f>75+75+56+60+73+69+60+60+30+30</f>
        <v>588</v>
      </c>
      <c r="AC51" s="6">
        <v>600</v>
      </c>
      <c r="AD51" s="6">
        <f t="shared" si="4"/>
        <v>98</v>
      </c>
      <c r="AE51" s="6" t="s">
        <v>4253</v>
      </c>
      <c r="AF51" s="6" t="s">
        <v>4117</v>
      </c>
      <c r="AG51" s="6" t="s">
        <v>4212</v>
      </c>
      <c r="AH51" s="6">
        <v>10000</v>
      </c>
      <c r="AI51" s="6">
        <v>205000</v>
      </c>
      <c r="AJ51" s="6">
        <v>27500</v>
      </c>
      <c r="AK51" s="6">
        <f t="shared" si="5"/>
        <v>242500</v>
      </c>
      <c r="AL51" s="6" t="s">
        <v>4254</v>
      </c>
      <c r="AM51" s="6" t="s">
        <v>78</v>
      </c>
      <c r="AN51" s="6" t="s">
        <v>4255</v>
      </c>
      <c r="AO51" s="6" t="s">
        <v>139</v>
      </c>
      <c r="AP51" s="6">
        <v>50000</v>
      </c>
      <c r="AQ51" s="6" t="s">
        <v>4256</v>
      </c>
      <c r="AR51" s="13" t="s">
        <v>4257</v>
      </c>
      <c r="AS51" s="6" t="s">
        <v>4258</v>
      </c>
      <c r="AT51" s="6" t="s">
        <v>235</v>
      </c>
      <c r="AU51" s="6" t="s">
        <v>84</v>
      </c>
      <c r="AV51" s="6" t="s">
        <v>215</v>
      </c>
      <c r="AX51" s="6" t="s">
        <v>4258</v>
      </c>
      <c r="AZ51" s="6">
        <v>7780782425</v>
      </c>
      <c r="BA51" s="6">
        <v>9985515958</v>
      </c>
      <c r="BD51" s="14" t="s">
        <v>4259</v>
      </c>
      <c r="BE51" s="6" t="s">
        <v>3963</v>
      </c>
      <c r="BF51" s="6" t="s">
        <v>379</v>
      </c>
    </row>
    <row r="52" spans="1:58" s="6" customFormat="1" ht="80.099999999999994" customHeight="1" x14ac:dyDescent="0.25">
      <c r="A52" s="2">
        <v>50</v>
      </c>
      <c r="B52" s="2">
        <v>845</v>
      </c>
      <c r="C52" s="2" t="s">
        <v>4444</v>
      </c>
      <c r="D52" s="2" t="s">
        <v>392</v>
      </c>
      <c r="F52" s="7" t="s">
        <v>4296</v>
      </c>
      <c r="G52" s="2" t="s">
        <v>1505</v>
      </c>
      <c r="H52" s="2" t="s">
        <v>35</v>
      </c>
      <c r="I52" s="6" t="s">
        <v>68</v>
      </c>
      <c r="J52" s="6" t="s">
        <v>36</v>
      </c>
      <c r="K52" s="6" t="s">
        <v>430</v>
      </c>
      <c r="L52" s="6" t="s">
        <v>82</v>
      </c>
      <c r="M52" s="6" t="s">
        <v>3214</v>
      </c>
      <c r="N52" s="6" t="s">
        <v>4297</v>
      </c>
      <c r="O52" s="6" t="s">
        <v>83</v>
      </c>
      <c r="P52" s="6" t="s">
        <v>85</v>
      </c>
      <c r="Q52" s="6" t="s">
        <v>185</v>
      </c>
      <c r="R52" s="6">
        <v>1805227884</v>
      </c>
      <c r="S52" s="6">
        <v>2018</v>
      </c>
      <c r="T52" s="6" t="s">
        <v>89</v>
      </c>
      <c r="U52" s="6" t="s">
        <v>37</v>
      </c>
      <c r="V52" s="6" t="s">
        <v>215</v>
      </c>
      <c r="W52" s="6">
        <v>964</v>
      </c>
      <c r="X52" s="6">
        <f>W52/1000*100</f>
        <v>96.399999999999991</v>
      </c>
      <c r="Y52" s="6">
        <f>93+98+75+73+60+56+29+24</f>
        <v>508</v>
      </c>
      <c r="Z52" s="6">
        <v>530</v>
      </c>
      <c r="AA52" s="6">
        <f t="shared" si="3"/>
        <v>95.84905660377359</v>
      </c>
      <c r="AB52" s="6">
        <f>74+74+59+58+75+73+60+56+29+24</f>
        <v>582</v>
      </c>
      <c r="AC52" s="6">
        <v>600</v>
      </c>
      <c r="AD52" s="6">
        <f t="shared" si="4"/>
        <v>97</v>
      </c>
      <c r="AE52" s="6" t="s">
        <v>4298</v>
      </c>
      <c r="AF52" s="6" t="s">
        <v>1658</v>
      </c>
      <c r="AG52" s="6" t="s">
        <v>4286</v>
      </c>
      <c r="AH52" s="35">
        <v>10000</v>
      </c>
      <c r="AI52" s="6">
        <v>205000</v>
      </c>
      <c r="AJ52" s="6">
        <v>27500</v>
      </c>
      <c r="AK52" s="6">
        <f t="shared" si="5"/>
        <v>242500</v>
      </c>
      <c r="AL52" s="6" t="s">
        <v>4299</v>
      </c>
      <c r="AM52" s="6" t="s">
        <v>78</v>
      </c>
      <c r="AN52" s="6" t="s">
        <v>4300</v>
      </c>
      <c r="AO52" s="6" t="s">
        <v>139</v>
      </c>
      <c r="AP52" s="6">
        <v>60000</v>
      </c>
      <c r="AQ52" s="6" t="s">
        <v>4302</v>
      </c>
      <c r="AR52" s="13" t="s">
        <v>4301</v>
      </c>
      <c r="AS52" s="6" t="s">
        <v>4303</v>
      </c>
      <c r="AT52" s="6" t="s">
        <v>4297</v>
      </c>
      <c r="AU52" s="6" t="s">
        <v>84</v>
      </c>
      <c r="AV52" s="6" t="s">
        <v>215</v>
      </c>
      <c r="AW52" s="6">
        <v>515801</v>
      </c>
      <c r="AX52" s="6" t="s">
        <v>4303</v>
      </c>
      <c r="AY52" s="6" t="s">
        <v>4306</v>
      </c>
      <c r="AZ52" s="6">
        <v>6303934649</v>
      </c>
      <c r="BA52" s="6">
        <v>9963576436</v>
      </c>
      <c r="BB52" s="6">
        <v>7780339965</v>
      </c>
      <c r="BC52" s="14" t="s">
        <v>4304</v>
      </c>
      <c r="BD52" s="14" t="s">
        <v>4305</v>
      </c>
      <c r="BE52" s="6" t="s">
        <v>3964</v>
      </c>
      <c r="BF52" s="6" t="s">
        <v>144</v>
      </c>
    </row>
    <row r="53" spans="1:58" s="6" customFormat="1" ht="80.099999999999994" customHeight="1" x14ac:dyDescent="0.25">
      <c r="A53" s="6">
        <v>51</v>
      </c>
      <c r="B53" s="2">
        <v>861</v>
      </c>
      <c r="C53" s="2" t="s">
        <v>4444</v>
      </c>
      <c r="D53" s="2" t="s">
        <v>392</v>
      </c>
      <c r="F53" s="7" t="s">
        <v>4327</v>
      </c>
      <c r="G53" s="2" t="s">
        <v>4200</v>
      </c>
      <c r="H53" s="2" t="s">
        <v>35</v>
      </c>
      <c r="I53" s="6" t="s">
        <v>68</v>
      </c>
      <c r="J53" s="6" t="s">
        <v>36</v>
      </c>
      <c r="K53" s="6" t="s">
        <v>157</v>
      </c>
      <c r="L53" s="6" t="s">
        <v>82</v>
      </c>
      <c r="M53" s="6" t="s">
        <v>674</v>
      </c>
      <c r="N53" s="6" t="s">
        <v>95</v>
      </c>
      <c r="O53" s="6" t="s">
        <v>123</v>
      </c>
      <c r="P53" s="6" t="s">
        <v>62</v>
      </c>
      <c r="Q53" s="6" t="s">
        <v>63</v>
      </c>
      <c r="R53" s="6">
        <v>396518</v>
      </c>
      <c r="S53" s="6">
        <v>2018</v>
      </c>
      <c r="T53" s="6" t="s">
        <v>64</v>
      </c>
      <c r="U53" s="6" t="s">
        <v>65</v>
      </c>
      <c r="V53" s="6" t="s">
        <v>37</v>
      </c>
      <c r="W53" s="6" t="s">
        <v>37</v>
      </c>
      <c r="X53" s="6" t="s">
        <v>37</v>
      </c>
      <c r="Y53" s="6">
        <v>500</v>
      </c>
      <c r="Z53" s="6">
        <v>600</v>
      </c>
      <c r="AA53" s="6">
        <f t="shared" si="3"/>
        <v>83.333333333333343</v>
      </c>
      <c r="AB53" s="6">
        <f>91+73+75</f>
        <v>239</v>
      </c>
      <c r="AC53" s="6">
        <v>300</v>
      </c>
      <c r="AD53" s="6">
        <f t="shared" si="4"/>
        <v>79.666666666666657</v>
      </c>
      <c r="AE53" s="6" t="s">
        <v>4331</v>
      </c>
      <c r="AF53" s="6" t="s">
        <v>2348</v>
      </c>
      <c r="AG53" s="6" t="s">
        <v>4330</v>
      </c>
      <c r="AH53" s="35">
        <v>10000</v>
      </c>
      <c r="AI53" s="6">
        <v>215000</v>
      </c>
      <c r="AJ53" s="35">
        <v>27500</v>
      </c>
      <c r="AK53" s="6">
        <f t="shared" si="5"/>
        <v>252500</v>
      </c>
      <c r="AL53" s="6" t="s">
        <v>4332</v>
      </c>
      <c r="AM53" s="6" t="s">
        <v>4334</v>
      </c>
      <c r="AN53" s="6" t="s">
        <v>4333</v>
      </c>
      <c r="AO53" s="6" t="s">
        <v>3208</v>
      </c>
      <c r="AP53" s="6">
        <v>500000</v>
      </c>
      <c r="AQ53" s="6" t="s">
        <v>4335</v>
      </c>
      <c r="AR53" s="13" t="s">
        <v>4340</v>
      </c>
      <c r="AS53" s="6" t="s">
        <v>4336</v>
      </c>
      <c r="AT53" s="6" t="s">
        <v>4337</v>
      </c>
      <c r="AU53" s="6" t="s">
        <v>95</v>
      </c>
      <c r="AV53" s="6" t="s">
        <v>65</v>
      </c>
      <c r="AW53" s="6">
        <v>560062</v>
      </c>
      <c r="AX53" s="6" t="s">
        <v>4336</v>
      </c>
      <c r="AZ53" s="6">
        <v>9886760962</v>
      </c>
      <c r="BA53" s="6">
        <v>9886760988</v>
      </c>
      <c r="BB53" s="6">
        <v>9902074499</v>
      </c>
      <c r="BC53" s="14" t="s">
        <v>4338</v>
      </c>
      <c r="BD53" s="14" t="s">
        <v>4339</v>
      </c>
      <c r="BE53" s="2" t="s">
        <v>3983</v>
      </c>
      <c r="BF53" s="2" t="s">
        <v>1940</v>
      </c>
    </row>
    <row r="54" spans="1:58" s="6" customFormat="1" ht="80.099999999999994" customHeight="1" x14ac:dyDescent="0.25">
      <c r="A54" s="2">
        <v>52</v>
      </c>
      <c r="B54" s="2">
        <v>951</v>
      </c>
      <c r="C54" s="2" t="s">
        <v>4444</v>
      </c>
      <c r="D54" s="2" t="s">
        <v>392</v>
      </c>
      <c r="F54" s="7" t="s">
        <v>4328</v>
      </c>
      <c r="G54" s="2" t="s">
        <v>38</v>
      </c>
      <c r="H54" s="2" t="s">
        <v>92</v>
      </c>
      <c r="I54" s="6" t="s">
        <v>68</v>
      </c>
      <c r="J54" s="6" t="s">
        <v>36</v>
      </c>
      <c r="K54" s="6" t="s">
        <v>347</v>
      </c>
      <c r="L54" s="6" t="s">
        <v>82</v>
      </c>
      <c r="M54" s="6" t="s">
        <v>3160</v>
      </c>
      <c r="N54" s="6" t="s">
        <v>65</v>
      </c>
      <c r="O54" s="6" t="s">
        <v>83</v>
      </c>
      <c r="P54" s="6" t="s">
        <v>85</v>
      </c>
      <c r="Q54" s="6" t="s">
        <v>63</v>
      </c>
      <c r="R54" s="6">
        <v>408915</v>
      </c>
      <c r="S54" s="6">
        <v>2018</v>
      </c>
      <c r="T54" s="6" t="s">
        <v>64</v>
      </c>
      <c r="U54" s="6" t="s">
        <v>65</v>
      </c>
      <c r="V54" s="6" t="s">
        <v>37</v>
      </c>
      <c r="W54" s="6" t="s">
        <v>37</v>
      </c>
      <c r="X54" s="6" t="s">
        <v>37</v>
      </c>
      <c r="Y54" s="6">
        <v>508</v>
      </c>
      <c r="Z54" s="6">
        <v>600</v>
      </c>
      <c r="AA54" s="6">
        <f t="shared" si="3"/>
        <v>84.666666666666671</v>
      </c>
      <c r="AB54" s="6">
        <f>84+61+89</f>
        <v>234</v>
      </c>
      <c r="AC54" s="6">
        <v>300</v>
      </c>
      <c r="AD54" s="6">
        <f t="shared" si="4"/>
        <v>78</v>
      </c>
      <c r="AE54" s="6" t="s">
        <v>4341</v>
      </c>
      <c r="AF54" s="6" t="s">
        <v>4212</v>
      </c>
      <c r="AG54" s="6" t="s">
        <v>4330</v>
      </c>
      <c r="AH54" s="35">
        <v>10000</v>
      </c>
      <c r="AI54" s="6">
        <v>215000</v>
      </c>
      <c r="AJ54" s="35">
        <v>27500</v>
      </c>
      <c r="AK54" s="6">
        <f t="shared" si="5"/>
        <v>252500</v>
      </c>
      <c r="AL54" s="6" t="s">
        <v>4342</v>
      </c>
      <c r="AM54" s="6" t="s">
        <v>139</v>
      </c>
      <c r="AN54" s="6" t="s">
        <v>4343</v>
      </c>
      <c r="AO54" s="6" t="s">
        <v>139</v>
      </c>
      <c r="AP54" s="6">
        <v>500000</v>
      </c>
      <c r="AQ54" s="6" t="s">
        <v>4344</v>
      </c>
      <c r="AR54" s="13" t="s">
        <v>4345</v>
      </c>
      <c r="AS54" s="6" t="s">
        <v>4346</v>
      </c>
      <c r="AT54" s="6" t="s">
        <v>4347</v>
      </c>
      <c r="AU54" s="6" t="s">
        <v>4098</v>
      </c>
      <c r="AV54" s="6" t="s">
        <v>215</v>
      </c>
      <c r="AW54" s="6">
        <v>534201</v>
      </c>
      <c r="AX54" s="6" t="s">
        <v>4348</v>
      </c>
      <c r="AZ54" s="6">
        <v>9606259965</v>
      </c>
      <c r="BA54" s="6">
        <v>8328120903</v>
      </c>
      <c r="BB54" s="6">
        <v>974180507</v>
      </c>
      <c r="BD54" s="14" t="s">
        <v>4349</v>
      </c>
      <c r="BE54" s="2" t="s">
        <v>4377</v>
      </c>
      <c r="BF54" s="2"/>
    </row>
  </sheetData>
  <mergeCells count="56">
    <mergeCell ref="BE1:BE2"/>
    <mergeCell ref="BF1:BF2"/>
    <mergeCell ref="AY1:AY2"/>
    <mergeCell ref="AZ1:AZ2"/>
    <mergeCell ref="BA1:BA2"/>
    <mergeCell ref="BB1:BB2"/>
    <mergeCell ref="BC1:BC2"/>
    <mergeCell ref="BD1:BD2"/>
    <mergeCell ref="AX1:AX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L1:AL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Z1:Z2"/>
    <mergeCell ref="N1:N2"/>
    <mergeCell ref="O1:O2"/>
    <mergeCell ref="P1:P2"/>
    <mergeCell ref="Q1:Q2"/>
    <mergeCell ref="R1:R2"/>
    <mergeCell ref="S1:S2"/>
    <mergeCell ref="T1:T2"/>
    <mergeCell ref="U1:V1"/>
    <mergeCell ref="W1:W2"/>
    <mergeCell ref="X1:X2"/>
    <mergeCell ref="Y1:Y2"/>
    <mergeCell ref="M1:M2"/>
    <mergeCell ref="A1:A2"/>
    <mergeCell ref="B1:B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hyperlinks>
    <hyperlink ref="BC3" r:id="rId1"/>
    <hyperlink ref="BD3" r:id="rId2"/>
    <hyperlink ref="BC4" r:id="rId3"/>
    <hyperlink ref="BD4" r:id="rId4"/>
    <hyperlink ref="BD5" r:id="rId5"/>
    <hyperlink ref="BD6" r:id="rId6"/>
    <hyperlink ref="BD7" r:id="rId7"/>
    <hyperlink ref="BC8" r:id="rId8"/>
    <hyperlink ref="BD8" r:id="rId9"/>
    <hyperlink ref="BC9" r:id="rId10"/>
    <hyperlink ref="BD9" r:id="rId11"/>
    <hyperlink ref="BD10" r:id="rId12"/>
    <hyperlink ref="BC11" r:id="rId13"/>
    <hyperlink ref="BD11" r:id="rId14"/>
    <hyperlink ref="BC12" r:id="rId15"/>
    <hyperlink ref="BD12" r:id="rId16"/>
    <hyperlink ref="BC13" r:id="rId17"/>
    <hyperlink ref="BD13" r:id="rId18"/>
    <hyperlink ref="BC14" r:id="rId19"/>
    <hyperlink ref="BD14" r:id="rId20"/>
    <hyperlink ref="BD15" r:id="rId21"/>
    <hyperlink ref="BD16" r:id="rId22"/>
    <hyperlink ref="BD17" r:id="rId23"/>
    <hyperlink ref="BD18" r:id="rId24"/>
    <hyperlink ref="BC19" r:id="rId25"/>
    <hyperlink ref="BD19" r:id="rId26"/>
    <hyperlink ref="BC20" r:id="rId27"/>
    <hyperlink ref="BD20" r:id="rId28"/>
    <hyperlink ref="BD21" r:id="rId29"/>
    <hyperlink ref="BD22" r:id="rId30"/>
    <hyperlink ref="BC23" r:id="rId31"/>
    <hyperlink ref="BD23" r:id="rId32"/>
    <hyperlink ref="BC24" r:id="rId33"/>
    <hyperlink ref="BD24" r:id="rId34"/>
    <hyperlink ref="BD25" r:id="rId35"/>
    <hyperlink ref="BC26" r:id="rId36"/>
    <hyperlink ref="BD26" r:id="rId37"/>
    <hyperlink ref="BD27" r:id="rId38"/>
    <hyperlink ref="BD28" r:id="rId39"/>
    <hyperlink ref="BC29" r:id="rId40"/>
    <hyperlink ref="BD29" r:id="rId41"/>
    <hyperlink ref="BD30" r:id="rId42"/>
    <hyperlink ref="BC31" r:id="rId43"/>
    <hyperlink ref="BD31" r:id="rId44"/>
    <hyperlink ref="BC32" r:id="rId45"/>
    <hyperlink ref="BD32" r:id="rId46"/>
    <hyperlink ref="BC33" r:id="rId47"/>
    <hyperlink ref="BD33" r:id="rId48"/>
    <hyperlink ref="BD34" r:id="rId49"/>
    <hyperlink ref="BC35" r:id="rId50"/>
    <hyperlink ref="BD35" r:id="rId51"/>
    <hyperlink ref="BD36" r:id="rId52"/>
    <hyperlink ref="BD37" r:id="rId53"/>
    <hyperlink ref="BD38" r:id="rId54"/>
    <hyperlink ref="BC39" r:id="rId55"/>
    <hyperlink ref="BD39" r:id="rId56"/>
    <hyperlink ref="BC40" r:id="rId57"/>
    <hyperlink ref="BD40" r:id="rId58"/>
    <hyperlink ref="BD41" r:id="rId59"/>
    <hyperlink ref="BD42" r:id="rId60"/>
    <hyperlink ref="BC43" r:id="rId61"/>
    <hyperlink ref="BD43" r:id="rId62"/>
    <hyperlink ref="BD44" r:id="rId63"/>
    <hyperlink ref="BD45" r:id="rId64"/>
    <hyperlink ref="BC46" r:id="rId65"/>
    <hyperlink ref="BD46" r:id="rId66"/>
    <hyperlink ref="BD47" r:id="rId67"/>
    <hyperlink ref="BC48" r:id="rId68"/>
    <hyperlink ref="BD48" r:id="rId69"/>
    <hyperlink ref="BC49" r:id="rId70"/>
    <hyperlink ref="BD49" r:id="rId71"/>
    <hyperlink ref="BC50" r:id="rId72"/>
    <hyperlink ref="BD50" r:id="rId73"/>
    <hyperlink ref="BD51" r:id="rId74"/>
    <hyperlink ref="BC52" r:id="rId75"/>
    <hyperlink ref="BD52" r:id="rId76"/>
    <hyperlink ref="BC53" r:id="rId77"/>
    <hyperlink ref="BD53" r:id="rId78"/>
    <hyperlink ref="BD54" r:id="rId79"/>
  </hyperlinks>
  <pageMargins left="0.7" right="0.7" top="0.75" bottom="0.75" header="0.3" footer="0.3"/>
  <legacyDrawing r:id="rId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G60"/>
  <sheetViews>
    <sheetView topLeftCell="A57" workbookViewId="0">
      <selection activeCell="C3" sqref="C3"/>
    </sheetView>
  </sheetViews>
  <sheetFormatPr defaultRowHeight="15" x14ac:dyDescent="0.25"/>
  <cols>
    <col min="1" max="1" width="6.7109375" customWidth="1"/>
    <col min="6" max="6" width="24.28515625" customWidth="1"/>
    <col min="7" max="7" width="10.7109375" customWidth="1"/>
    <col min="11" max="11" width="13.5703125" customWidth="1"/>
    <col min="13" max="13" width="11.42578125" customWidth="1"/>
    <col min="20" max="20" width="22" customWidth="1"/>
    <col min="21" max="21" width="13" customWidth="1"/>
    <col min="22" max="22" width="14" customWidth="1"/>
    <col min="31" max="31" width="25.7109375" customWidth="1"/>
    <col min="32" max="32" width="12.7109375" customWidth="1"/>
    <col min="33" max="33" width="13.7109375" customWidth="1"/>
    <col min="38" max="58" width="14.42578125" customWidth="1"/>
  </cols>
  <sheetData>
    <row r="1" spans="1:59" s="1" customFormat="1" ht="30.75" customHeight="1" x14ac:dyDescent="0.25">
      <c r="A1" s="46" t="s">
        <v>34</v>
      </c>
      <c r="B1" s="48" t="s">
        <v>57</v>
      </c>
      <c r="C1" s="37"/>
      <c r="D1" s="49" t="s">
        <v>0</v>
      </c>
      <c r="E1" s="46" t="s">
        <v>28</v>
      </c>
      <c r="F1" s="46" t="s">
        <v>1</v>
      </c>
      <c r="G1" s="49" t="s">
        <v>2</v>
      </c>
      <c r="H1" s="49" t="s">
        <v>3</v>
      </c>
      <c r="I1" s="49" t="s">
        <v>4</v>
      </c>
      <c r="J1" s="49" t="s">
        <v>5</v>
      </c>
      <c r="K1" s="46" t="s">
        <v>6</v>
      </c>
      <c r="L1" s="49" t="s">
        <v>10</v>
      </c>
      <c r="M1" s="45" t="s">
        <v>7</v>
      </c>
      <c r="N1" s="50" t="s">
        <v>8</v>
      </c>
      <c r="O1" s="49" t="s">
        <v>9</v>
      </c>
      <c r="P1" s="46" t="s">
        <v>43</v>
      </c>
      <c r="Q1" s="49" t="s">
        <v>11</v>
      </c>
      <c r="R1" s="51" t="s">
        <v>31</v>
      </c>
      <c r="S1" s="52" t="s">
        <v>12</v>
      </c>
      <c r="T1" s="46" t="s">
        <v>13</v>
      </c>
      <c r="U1" s="53" t="s">
        <v>27</v>
      </c>
      <c r="V1" s="54"/>
      <c r="W1" s="46" t="s">
        <v>44</v>
      </c>
      <c r="X1" s="46" t="s">
        <v>52</v>
      </c>
      <c r="Y1" s="46" t="s">
        <v>32</v>
      </c>
      <c r="Z1" s="49" t="s">
        <v>40</v>
      </c>
      <c r="AA1" s="49" t="s">
        <v>39</v>
      </c>
      <c r="AB1" s="49" t="s">
        <v>14</v>
      </c>
      <c r="AC1" s="46" t="s">
        <v>66</v>
      </c>
      <c r="AD1" s="49" t="s">
        <v>33</v>
      </c>
      <c r="AE1" s="46" t="s">
        <v>42</v>
      </c>
      <c r="AF1" s="49" t="s">
        <v>41</v>
      </c>
      <c r="AG1" s="49" t="s">
        <v>15</v>
      </c>
      <c r="AH1" s="46" t="s">
        <v>55</v>
      </c>
      <c r="AI1" s="46" t="s">
        <v>29</v>
      </c>
      <c r="AJ1" s="46" t="s">
        <v>45</v>
      </c>
      <c r="AK1" s="46" t="s">
        <v>56</v>
      </c>
      <c r="AL1" s="49" t="s">
        <v>16</v>
      </c>
      <c r="AM1" s="46" t="s">
        <v>17</v>
      </c>
      <c r="AN1" s="49" t="s">
        <v>18</v>
      </c>
      <c r="AO1" s="49" t="s">
        <v>17</v>
      </c>
      <c r="AP1" s="49" t="s">
        <v>19</v>
      </c>
      <c r="AQ1" s="49" t="s">
        <v>47</v>
      </c>
      <c r="AR1" s="55" t="s">
        <v>48</v>
      </c>
      <c r="AS1" s="49" t="s">
        <v>46</v>
      </c>
      <c r="AT1" s="49" t="s">
        <v>25</v>
      </c>
      <c r="AU1" s="49" t="s">
        <v>30</v>
      </c>
      <c r="AV1" s="49" t="s">
        <v>27</v>
      </c>
      <c r="AW1" s="49" t="s">
        <v>20</v>
      </c>
      <c r="AX1" s="49" t="s">
        <v>26</v>
      </c>
      <c r="AY1" s="49" t="s">
        <v>21</v>
      </c>
      <c r="AZ1" s="46" t="s">
        <v>49</v>
      </c>
      <c r="BA1" s="46" t="s">
        <v>50</v>
      </c>
      <c r="BB1" s="49" t="s">
        <v>51</v>
      </c>
      <c r="BC1" s="49" t="s">
        <v>53</v>
      </c>
      <c r="BD1" s="49" t="s">
        <v>54</v>
      </c>
      <c r="BE1" s="46" t="s">
        <v>145</v>
      </c>
      <c r="BF1" s="46" t="s">
        <v>22</v>
      </c>
    </row>
    <row r="2" spans="1:59" s="1" customFormat="1" ht="25.5" x14ac:dyDescent="0.25">
      <c r="A2" s="47"/>
      <c r="B2" s="48"/>
      <c r="C2" s="37"/>
      <c r="D2" s="49"/>
      <c r="E2" s="47"/>
      <c r="F2" s="47"/>
      <c r="G2" s="49"/>
      <c r="H2" s="49"/>
      <c r="I2" s="49"/>
      <c r="J2" s="49"/>
      <c r="K2" s="47"/>
      <c r="L2" s="49"/>
      <c r="M2" s="45"/>
      <c r="N2" s="50"/>
      <c r="O2" s="49"/>
      <c r="P2" s="47"/>
      <c r="Q2" s="49"/>
      <c r="R2" s="51"/>
      <c r="S2" s="52"/>
      <c r="T2" s="47"/>
      <c r="U2" s="23" t="s">
        <v>23</v>
      </c>
      <c r="V2" s="23" t="s">
        <v>24</v>
      </c>
      <c r="W2" s="47"/>
      <c r="X2" s="47"/>
      <c r="Y2" s="47"/>
      <c r="Z2" s="49"/>
      <c r="AA2" s="49"/>
      <c r="AB2" s="49"/>
      <c r="AC2" s="47"/>
      <c r="AD2" s="49"/>
      <c r="AE2" s="47"/>
      <c r="AF2" s="49"/>
      <c r="AG2" s="49"/>
      <c r="AH2" s="47"/>
      <c r="AI2" s="47"/>
      <c r="AJ2" s="47"/>
      <c r="AK2" s="47"/>
      <c r="AL2" s="49"/>
      <c r="AM2" s="47"/>
      <c r="AN2" s="49"/>
      <c r="AO2" s="49"/>
      <c r="AP2" s="49"/>
      <c r="AQ2" s="49"/>
      <c r="AR2" s="56"/>
      <c r="AS2" s="49"/>
      <c r="AT2" s="49"/>
      <c r="AU2" s="49"/>
      <c r="AV2" s="49"/>
      <c r="AW2" s="49"/>
      <c r="AX2" s="49"/>
      <c r="AY2" s="49"/>
      <c r="AZ2" s="47"/>
      <c r="BA2" s="47"/>
      <c r="BB2" s="49"/>
      <c r="BC2" s="49"/>
      <c r="BD2" s="49"/>
      <c r="BE2" s="47"/>
      <c r="BF2" s="47"/>
    </row>
    <row r="3" spans="1:59" s="19" customFormat="1" ht="80.099999999999994" customHeight="1" x14ac:dyDescent="0.25">
      <c r="A3" s="2">
        <v>1</v>
      </c>
      <c r="B3" s="2">
        <v>51</v>
      </c>
      <c r="C3" s="2" t="s">
        <v>4443</v>
      </c>
      <c r="D3" s="2" t="s">
        <v>345</v>
      </c>
      <c r="E3" s="2"/>
      <c r="F3" s="7" t="s">
        <v>346</v>
      </c>
      <c r="G3" s="2" t="s">
        <v>38</v>
      </c>
      <c r="H3" s="2" t="s">
        <v>35</v>
      </c>
      <c r="I3" s="2" t="s">
        <v>68</v>
      </c>
      <c r="J3" s="2" t="s">
        <v>36</v>
      </c>
      <c r="K3" s="2" t="s">
        <v>347</v>
      </c>
      <c r="L3" s="2" t="s">
        <v>82</v>
      </c>
      <c r="M3" s="2" t="s">
        <v>348</v>
      </c>
      <c r="N3" s="2" t="s">
        <v>349</v>
      </c>
      <c r="O3" s="2" t="s">
        <v>72</v>
      </c>
      <c r="P3" s="2" t="s">
        <v>62</v>
      </c>
      <c r="Q3" s="2" t="s">
        <v>74</v>
      </c>
      <c r="R3" s="2">
        <v>1859217386</v>
      </c>
      <c r="S3" s="2">
        <v>2018</v>
      </c>
      <c r="T3" s="2" t="s">
        <v>75</v>
      </c>
      <c r="U3" s="2" t="s">
        <v>37</v>
      </c>
      <c r="V3" s="2" t="s">
        <v>76</v>
      </c>
      <c r="W3" s="2">
        <v>899</v>
      </c>
      <c r="X3" s="2">
        <f>W3/1000*100</f>
        <v>89.9</v>
      </c>
      <c r="Y3" s="2">
        <f>83+93+75+61+55+30+32+30</f>
        <v>459</v>
      </c>
      <c r="Z3" s="2">
        <v>530</v>
      </c>
      <c r="AA3" s="2">
        <f t="shared" ref="AA3:AA33" si="0">Y3/Z3*100</f>
        <v>86.603773584905667</v>
      </c>
      <c r="AB3" s="2">
        <f>70+68+56+60+75+61+55+30+32+30</f>
        <v>537</v>
      </c>
      <c r="AC3" s="2">
        <v>600</v>
      </c>
      <c r="AD3" s="2">
        <f t="shared" ref="AD3:AD33" si="1">AB3/AC3*100</f>
        <v>89.5</v>
      </c>
      <c r="AE3" s="2" t="s">
        <v>350</v>
      </c>
      <c r="AF3" s="2" t="s">
        <v>193</v>
      </c>
      <c r="AG3" s="2" t="s">
        <v>319</v>
      </c>
      <c r="AH3" s="2">
        <v>10000</v>
      </c>
      <c r="AI3" s="2">
        <v>210000</v>
      </c>
      <c r="AJ3" s="2">
        <v>27500</v>
      </c>
      <c r="AK3" s="2">
        <f t="shared" ref="AK3:AK30" si="2">AH3+AI3+AJ3</f>
        <v>247500</v>
      </c>
      <c r="AL3" s="2" t="s">
        <v>351</v>
      </c>
      <c r="AM3" s="2" t="s">
        <v>87</v>
      </c>
      <c r="AN3" s="2" t="s">
        <v>352</v>
      </c>
      <c r="AO3" s="2" t="s">
        <v>353</v>
      </c>
      <c r="AP3" s="2">
        <v>2500000</v>
      </c>
      <c r="AQ3" s="2" t="s">
        <v>354</v>
      </c>
      <c r="AR3" s="4" t="s">
        <v>355</v>
      </c>
      <c r="AS3" s="2" t="s">
        <v>361</v>
      </c>
      <c r="AT3" s="2" t="s">
        <v>357</v>
      </c>
      <c r="AU3" s="2" t="s">
        <v>76</v>
      </c>
      <c r="AV3" s="2" t="s">
        <v>177</v>
      </c>
      <c r="AW3" s="2">
        <v>500072</v>
      </c>
      <c r="AX3" s="2" t="s">
        <v>356</v>
      </c>
      <c r="AY3" s="2" t="s">
        <v>358</v>
      </c>
      <c r="AZ3" s="2">
        <v>7993995840</v>
      </c>
      <c r="BA3" s="2">
        <v>9701841690</v>
      </c>
      <c r="BB3" s="2">
        <v>9676553256</v>
      </c>
      <c r="BC3" s="3" t="s">
        <v>359</v>
      </c>
      <c r="BD3" s="3" t="s">
        <v>360</v>
      </c>
      <c r="BE3" s="2" t="s">
        <v>3987</v>
      </c>
      <c r="BF3" s="2" t="s">
        <v>3767</v>
      </c>
      <c r="BG3" s="2"/>
    </row>
    <row r="4" spans="1:59" s="2" customFormat="1" ht="80.099999999999994" customHeight="1" x14ac:dyDescent="0.25">
      <c r="A4" s="2">
        <v>2</v>
      </c>
      <c r="B4" s="2">
        <v>61</v>
      </c>
      <c r="C4" s="2" t="s">
        <v>4443</v>
      </c>
      <c r="D4" s="2" t="s">
        <v>345</v>
      </c>
      <c r="F4" s="7" t="s">
        <v>414</v>
      </c>
      <c r="G4" s="2" t="s">
        <v>38</v>
      </c>
      <c r="H4" s="2" t="s">
        <v>35</v>
      </c>
      <c r="I4" s="2" t="s">
        <v>68</v>
      </c>
      <c r="J4" s="2" t="s">
        <v>36</v>
      </c>
      <c r="K4" s="2" t="s">
        <v>207</v>
      </c>
      <c r="L4" s="2" t="s">
        <v>82</v>
      </c>
      <c r="M4" s="2" t="s">
        <v>415</v>
      </c>
      <c r="N4" s="2" t="s">
        <v>416</v>
      </c>
      <c r="O4" s="2" t="s">
        <v>83</v>
      </c>
      <c r="P4" s="2" t="s">
        <v>73</v>
      </c>
      <c r="Q4" s="2" t="s">
        <v>411</v>
      </c>
      <c r="R4" s="2">
        <v>1806234499</v>
      </c>
      <c r="S4" s="2">
        <v>2018</v>
      </c>
      <c r="T4" s="2" t="s">
        <v>89</v>
      </c>
      <c r="U4" s="2" t="s">
        <v>37</v>
      </c>
      <c r="V4" s="2" t="s">
        <v>215</v>
      </c>
      <c r="W4" s="2">
        <v>935</v>
      </c>
      <c r="X4" s="2">
        <f>W4/1000*100</f>
        <v>93.5</v>
      </c>
      <c r="Y4" s="2">
        <f>94+98+69+75+60+28+58+30</f>
        <v>512</v>
      </c>
      <c r="Z4" s="2">
        <v>530</v>
      </c>
      <c r="AA4" s="2">
        <f t="shared" si="0"/>
        <v>96.603773584905667</v>
      </c>
      <c r="AB4" s="2">
        <f>67+70+56+53+69+75+60+28+58+30</f>
        <v>566</v>
      </c>
      <c r="AC4" s="2">
        <v>600</v>
      </c>
      <c r="AD4" s="2">
        <f t="shared" si="1"/>
        <v>94.333333333333343</v>
      </c>
      <c r="AE4" s="2" t="s">
        <v>417</v>
      </c>
      <c r="AF4" s="2" t="s">
        <v>150</v>
      </c>
      <c r="AG4" s="2" t="s">
        <v>397</v>
      </c>
      <c r="AH4" s="2">
        <v>10000</v>
      </c>
      <c r="AI4" s="2">
        <v>210000</v>
      </c>
      <c r="AJ4" s="2">
        <v>27500</v>
      </c>
      <c r="AK4" s="2">
        <f t="shared" si="2"/>
        <v>247500</v>
      </c>
      <c r="AL4" s="2" t="s">
        <v>418</v>
      </c>
      <c r="AM4" s="2" t="s">
        <v>78</v>
      </c>
      <c r="AN4" s="2" t="s">
        <v>419</v>
      </c>
      <c r="AO4" s="2" t="s">
        <v>67</v>
      </c>
      <c r="AP4" s="2">
        <v>60000</v>
      </c>
      <c r="AQ4" s="2" t="s">
        <v>420</v>
      </c>
      <c r="AR4" s="4" t="s">
        <v>427</v>
      </c>
      <c r="AS4" s="2" t="s">
        <v>421</v>
      </c>
      <c r="AT4" s="2" t="s">
        <v>416</v>
      </c>
      <c r="AU4" s="2" t="s">
        <v>422</v>
      </c>
      <c r="AV4" s="2" t="s">
        <v>215</v>
      </c>
      <c r="AW4" s="2">
        <v>523167</v>
      </c>
      <c r="AX4" s="2" t="s">
        <v>421</v>
      </c>
      <c r="AZ4" s="2">
        <v>6301668345</v>
      </c>
      <c r="BA4" s="2">
        <v>9640019400</v>
      </c>
      <c r="BB4" s="2">
        <v>9986988844</v>
      </c>
      <c r="BC4" s="3" t="s">
        <v>423</v>
      </c>
      <c r="BD4" s="3" t="s">
        <v>424</v>
      </c>
      <c r="BE4" s="2" t="s">
        <v>425</v>
      </c>
      <c r="BF4" s="2" t="s">
        <v>426</v>
      </c>
    </row>
    <row r="5" spans="1:59" s="2" customFormat="1" ht="80.099999999999994" customHeight="1" x14ac:dyDescent="0.25">
      <c r="A5" s="2">
        <v>3</v>
      </c>
      <c r="B5" s="6">
        <v>73</v>
      </c>
      <c r="C5" s="2" t="s">
        <v>4443</v>
      </c>
      <c r="D5" s="6" t="s">
        <v>345</v>
      </c>
      <c r="F5" s="8" t="s">
        <v>454</v>
      </c>
      <c r="G5" s="6" t="s">
        <v>38</v>
      </c>
      <c r="H5" s="6" t="s">
        <v>35</v>
      </c>
      <c r="I5" s="2" t="s">
        <v>68</v>
      </c>
      <c r="J5" s="2" t="s">
        <v>36</v>
      </c>
      <c r="K5" s="2" t="s">
        <v>469</v>
      </c>
      <c r="L5" s="2" t="s">
        <v>82</v>
      </c>
      <c r="M5" s="2" t="s">
        <v>481</v>
      </c>
      <c r="N5" s="2" t="s">
        <v>482</v>
      </c>
      <c r="O5" s="2" t="s">
        <v>83</v>
      </c>
      <c r="P5" s="2" t="s">
        <v>73</v>
      </c>
      <c r="Q5" s="2" t="s">
        <v>74</v>
      </c>
      <c r="R5" s="2">
        <v>1805221585</v>
      </c>
      <c r="S5" s="2">
        <v>2018</v>
      </c>
      <c r="T5" s="2" t="s">
        <v>89</v>
      </c>
      <c r="U5" s="2" t="s">
        <v>37</v>
      </c>
      <c r="V5" s="2" t="s">
        <v>215</v>
      </c>
      <c r="W5" s="2">
        <v>959</v>
      </c>
      <c r="X5" s="2">
        <f>W5/1000*100</f>
        <v>95.899999999999991</v>
      </c>
      <c r="Y5" s="2">
        <f>95+98+69+71+57+58+30+28</f>
        <v>506</v>
      </c>
      <c r="Z5" s="2">
        <v>530</v>
      </c>
      <c r="AA5" s="2">
        <f t="shared" si="0"/>
        <v>95.471698113207552</v>
      </c>
      <c r="AB5" s="2">
        <f>73+73+59+57+69+71+57+58+30+28</f>
        <v>575</v>
      </c>
      <c r="AC5" s="2">
        <v>600</v>
      </c>
      <c r="AD5" s="2">
        <f t="shared" si="1"/>
        <v>95.833333333333343</v>
      </c>
      <c r="AE5" s="2" t="s">
        <v>483</v>
      </c>
      <c r="AF5" s="2" t="s">
        <v>459</v>
      </c>
      <c r="AG5" s="2" t="s">
        <v>459</v>
      </c>
      <c r="AH5" s="2">
        <v>10000</v>
      </c>
      <c r="AI5" s="2">
        <v>210000</v>
      </c>
      <c r="AJ5" s="2">
        <v>27500</v>
      </c>
      <c r="AK5" s="2">
        <f t="shared" si="2"/>
        <v>247500</v>
      </c>
      <c r="AL5" s="2" t="s">
        <v>484</v>
      </c>
      <c r="AM5" s="2" t="s">
        <v>78</v>
      </c>
      <c r="AN5" s="2" t="s">
        <v>485</v>
      </c>
      <c r="AO5" s="2" t="s">
        <v>139</v>
      </c>
      <c r="AP5" s="2">
        <v>11000</v>
      </c>
      <c r="AQ5" s="2" t="s">
        <v>486</v>
      </c>
      <c r="AR5" s="4" t="s">
        <v>490</v>
      </c>
      <c r="AS5" s="2" t="s">
        <v>487</v>
      </c>
      <c r="AT5" s="2" t="s">
        <v>488</v>
      </c>
      <c r="AU5" s="2" t="s">
        <v>169</v>
      </c>
      <c r="AV5" s="2" t="s">
        <v>215</v>
      </c>
      <c r="AX5" s="2" t="s">
        <v>487</v>
      </c>
      <c r="AZ5" s="2">
        <v>9581389003</v>
      </c>
      <c r="BA5" s="2">
        <v>9441292300</v>
      </c>
      <c r="BB5" s="2">
        <v>9052676120</v>
      </c>
      <c r="BD5" s="3" t="s">
        <v>489</v>
      </c>
      <c r="BE5" s="2" t="s">
        <v>467</v>
      </c>
      <c r="BF5" s="2" t="s">
        <v>113</v>
      </c>
    </row>
    <row r="6" spans="1:59" s="2" customFormat="1" ht="80.099999999999994" customHeight="1" x14ac:dyDescent="0.25">
      <c r="A6" s="2">
        <v>4</v>
      </c>
      <c r="B6" s="2">
        <v>80</v>
      </c>
      <c r="C6" s="2" t="s">
        <v>4443</v>
      </c>
      <c r="D6" s="6" t="s">
        <v>345</v>
      </c>
      <c r="F6" s="7" t="s">
        <v>492</v>
      </c>
      <c r="G6" s="2" t="s">
        <v>38</v>
      </c>
      <c r="H6" s="2" t="s">
        <v>35</v>
      </c>
      <c r="I6" s="2" t="s">
        <v>68</v>
      </c>
      <c r="J6" s="2" t="s">
        <v>36</v>
      </c>
      <c r="K6" s="2" t="s">
        <v>157</v>
      </c>
      <c r="L6" s="2" t="s">
        <v>82</v>
      </c>
      <c r="M6" s="2" t="s">
        <v>493</v>
      </c>
      <c r="N6" s="2" t="s">
        <v>95</v>
      </c>
      <c r="O6" s="2" t="s">
        <v>61</v>
      </c>
      <c r="P6" s="2" t="s">
        <v>85</v>
      </c>
      <c r="Q6" s="2" t="s">
        <v>63</v>
      </c>
      <c r="R6" s="2">
        <v>861757</v>
      </c>
      <c r="S6" s="2">
        <v>2018</v>
      </c>
      <c r="T6" s="2" t="s">
        <v>64</v>
      </c>
      <c r="U6" s="2" t="s">
        <v>65</v>
      </c>
      <c r="V6" s="2" t="s">
        <v>37</v>
      </c>
      <c r="W6" s="2" t="s">
        <v>37</v>
      </c>
      <c r="X6" s="2" t="s">
        <v>37</v>
      </c>
      <c r="Y6" s="2">
        <v>424</v>
      </c>
      <c r="Z6" s="2">
        <v>600</v>
      </c>
      <c r="AA6" s="2">
        <f t="shared" si="0"/>
        <v>70.666666666666671</v>
      </c>
      <c r="AB6" s="2">
        <f>63+64+70</f>
        <v>197</v>
      </c>
      <c r="AC6" s="2">
        <v>300</v>
      </c>
      <c r="AD6" s="2">
        <f t="shared" si="1"/>
        <v>65.666666666666657</v>
      </c>
      <c r="AE6" s="2" t="s">
        <v>494</v>
      </c>
      <c r="AF6" s="2" t="s">
        <v>77</v>
      </c>
      <c r="AG6" s="2" t="s">
        <v>495</v>
      </c>
      <c r="AH6" s="2">
        <v>10000</v>
      </c>
      <c r="AI6" s="2">
        <v>210000</v>
      </c>
      <c r="AJ6" s="2">
        <v>27500</v>
      </c>
      <c r="AK6" s="2">
        <f t="shared" si="2"/>
        <v>247500</v>
      </c>
      <c r="AL6" s="2" t="s">
        <v>496</v>
      </c>
      <c r="AM6" s="2" t="s">
        <v>187</v>
      </c>
      <c r="AN6" s="2" t="s">
        <v>497</v>
      </c>
      <c r="AO6" s="2" t="s">
        <v>187</v>
      </c>
      <c r="AP6" s="2">
        <v>500000</v>
      </c>
      <c r="AQ6" s="2" t="s">
        <v>498</v>
      </c>
      <c r="AR6" s="4" t="s">
        <v>499</v>
      </c>
      <c r="AS6" s="2" t="s">
        <v>500</v>
      </c>
      <c r="AT6" s="2" t="s">
        <v>501</v>
      </c>
      <c r="AU6" s="2" t="s">
        <v>95</v>
      </c>
      <c r="AV6" s="2" t="s">
        <v>65</v>
      </c>
      <c r="AW6" s="2">
        <v>560098</v>
      </c>
      <c r="AX6" s="2" t="s">
        <v>500</v>
      </c>
      <c r="BA6" s="2">
        <v>9845310220</v>
      </c>
      <c r="BC6" s="3" t="s">
        <v>502</v>
      </c>
      <c r="BE6" s="2" t="s">
        <v>503</v>
      </c>
      <c r="BF6" s="2" t="s">
        <v>144</v>
      </c>
    </row>
    <row r="7" spans="1:59" s="2" customFormat="1" ht="80.099999999999994" customHeight="1" x14ac:dyDescent="0.25">
      <c r="A7" s="2">
        <v>5</v>
      </c>
      <c r="B7" s="6">
        <v>82</v>
      </c>
      <c r="C7" s="2" t="s">
        <v>4443</v>
      </c>
      <c r="D7" s="6" t="s">
        <v>345</v>
      </c>
      <c r="F7" s="8" t="s">
        <v>504</v>
      </c>
      <c r="G7" s="6" t="s">
        <v>38</v>
      </c>
      <c r="H7" s="6" t="s">
        <v>92</v>
      </c>
      <c r="I7" s="2" t="s">
        <v>68</v>
      </c>
      <c r="J7" s="2" t="s">
        <v>36</v>
      </c>
      <c r="K7" s="2" t="s">
        <v>207</v>
      </c>
      <c r="L7" s="2" t="s">
        <v>214</v>
      </c>
      <c r="M7" s="2" t="s">
        <v>508</v>
      </c>
      <c r="N7" s="2" t="s">
        <v>95</v>
      </c>
      <c r="O7" s="2" t="s">
        <v>83</v>
      </c>
      <c r="P7" s="2" t="s">
        <v>85</v>
      </c>
      <c r="Q7" s="2" t="s">
        <v>63</v>
      </c>
      <c r="R7" s="2">
        <v>4626405</v>
      </c>
      <c r="S7" s="2">
        <v>2018</v>
      </c>
      <c r="T7" s="2" t="s">
        <v>433</v>
      </c>
      <c r="U7" s="2" t="s">
        <v>65</v>
      </c>
      <c r="V7" s="2" t="s">
        <v>37</v>
      </c>
      <c r="W7" s="2" t="s">
        <v>37</v>
      </c>
      <c r="X7" s="2" t="s">
        <v>37</v>
      </c>
      <c r="Y7" s="2">
        <f>83+77+63+33+61</f>
        <v>317</v>
      </c>
      <c r="Z7" s="2">
        <v>500</v>
      </c>
      <c r="AA7" s="2">
        <f t="shared" si="0"/>
        <v>63.4</v>
      </c>
      <c r="AB7" s="2">
        <f>77+63+33</f>
        <v>173</v>
      </c>
      <c r="AC7" s="2">
        <v>300</v>
      </c>
      <c r="AD7" s="2">
        <f t="shared" si="1"/>
        <v>57.666666666666664</v>
      </c>
      <c r="AE7" s="2" t="s">
        <v>509</v>
      </c>
      <c r="AF7" s="2" t="s">
        <v>495</v>
      </c>
      <c r="AG7" s="2" t="s">
        <v>495</v>
      </c>
      <c r="AH7" s="2">
        <v>10000</v>
      </c>
      <c r="AI7" s="2">
        <v>210000</v>
      </c>
      <c r="AJ7" s="2">
        <v>27500</v>
      </c>
      <c r="AK7" s="2">
        <f t="shared" si="2"/>
        <v>247500</v>
      </c>
      <c r="AL7" s="2" t="s">
        <v>510</v>
      </c>
      <c r="AM7" s="2" t="s">
        <v>87</v>
      </c>
      <c r="AN7" s="2" t="s">
        <v>511</v>
      </c>
      <c r="AO7" s="2" t="s">
        <v>512</v>
      </c>
      <c r="AP7" s="2">
        <v>600000</v>
      </c>
      <c r="AQ7" s="2" t="s">
        <v>513</v>
      </c>
      <c r="AR7" s="4" t="s">
        <v>514</v>
      </c>
      <c r="AS7" s="2" t="s">
        <v>515</v>
      </c>
      <c r="AT7" s="2" t="s">
        <v>516</v>
      </c>
      <c r="AU7" s="2" t="s">
        <v>95</v>
      </c>
      <c r="AV7" s="2" t="s">
        <v>65</v>
      </c>
      <c r="AW7" s="2">
        <v>560030</v>
      </c>
      <c r="AX7" s="2" t="s">
        <v>515</v>
      </c>
      <c r="AY7" s="2" t="s">
        <v>517</v>
      </c>
      <c r="BA7" s="2">
        <v>9845472264</v>
      </c>
      <c r="BB7" s="2">
        <v>9880872264</v>
      </c>
      <c r="BC7" s="3" t="s">
        <v>518</v>
      </c>
      <c r="BD7" s="3" t="s">
        <v>519</v>
      </c>
      <c r="BE7" s="2" t="s">
        <v>3893</v>
      </c>
    </row>
    <row r="8" spans="1:59" s="2" customFormat="1" ht="80.099999999999994" customHeight="1" x14ac:dyDescent="0.25">
      <c r="A8" s="2">
        <v>6</v>
      </c>
      <c r="B8" s="6">
        <v>103</v>
      </c>
      <c r="C8" s="2" t="s">
        <v>4443</v>
      </c>
      <c r="D8" s="6" t="s">
        <v>345</v>
      </c>
      <c r="F8" s="8" t="s">
        <v>596</v>
      </c>
      <c r="G8" s="6" t="s">
        <v>38</v>
      </c>
      <c r="H8" s="6" t="s">
        <v>35</v>
      </c>
      <c r="I8" s="2" t="s">
        <v>68</v>
      </c>
      <c r="J8" s="2" t="s">
        <v>36</v>
      </c>
      <c r="K8" s="2" t="s">
        <v>629</v>
      </c>
      <c r="L8" s="2" t="s">
        <v>82</v>
      </c>
      <c r="M8" s="2" t="s">
        <v>630</v>
      </c>
      <c r="N8" s="2" t="s">
        <v>631</v>
      </c>
      <c r="O8" s="2" t="s">
        <v>83</v>
      </c>
      <c r="P8" s="2" t="s">
        <v>73</v>
      </c>
      <c r="Q8" s="2" t="s">
        <v>185</v>
      </c>
      <c r="R8" s="2">
        <v>1809220410</v>
      </c>
      <c r="S8" s="2">
        <v>2018</v>
      </c>
      <c r="T8" s="2" t="s">
        <v>89</v>
      </c>
      <c r="U8" s="2" t="s">
        <v>37</v>
      </c>
      <c r="V8" s="2" t="s">
        <v>215</v>
      </c>
      <c r="W8" s="2">
        <v>823</v>
      </c>
      <c r="X8" s="2">
        <f>W8/1000*100</f>
        <v>82.3</v>
      </c>
      <c r="Y8" s="2">
        <f>84+95+46+61+46+47+30+28</f>
        <v>437</v>
      </c>
      <c r="Z8" s="2">
        <v>530</v>
      </c>
      <c r="AA8" s="2">
        <f t="shared" si="0"/>
        <v>82.452830188679243</v>
      </c>
      <c r="AB8" s="2">
        <f>66+58+49+42+46+61+46+47+30+28</f>
        <v>473</v>
      </c>
      <c r="AC8" s="2">
        <v>600</v>
      </c>
      <c r="AD8" s="2">
        <f t="shared" si="1"/>
        <v>78.833333333333329</v>
      </c>
      <c r="AE8" s="2" t="s">
        <v>632</v>
      </c>
      <c r="AF8" s="2" t="s">
        <v>576</v>
      </c>
      <c r="AG8" s="2" t="s">
        <v>576</v>
      </c>
      <c r="AH8" s="2">
        <v>10000</v>
      </c>
      <c r="AI8" s="2">
        <v>210000</v>
      </c>
      <c r="AJ8" s="2">
        <v>27500</v>
      </c>
      <c r="AK8" s="2">
        <f t="shared" si="2"/>
        <v>247500</v>
      </c>
      <c r="AL8" s="2" t="s">
        <v>633</v>
      </c>
      <c r="AM8" s="2" t="s">
        <v>99</v>
      </c>
      <c r="AN8" s="2" t="s">
        <v>634</v>
      </c>
      <c r="AO8" s="2" t="s">
        <v>635</v>
      </c>
      <c r="AP8" s="2">
        <v>700000</v>
      </c>
      <c r="AQ8" s="2" t="s">
        <v>636</v>
      </c>
      <c r="AR8" s="4" t="s">
        <v>637</v>
      </c>
      <c r="AS8" s="2" t="s">
        <v>641</v>
      </c>
      <c r="AT8" s="2" t="s">
        <v>250</v>
      </c>
      <c r="AU8" s="2" t="s">
        <v>164</v>
      </c>
      <c r="AV8" s="2" t="s">
        <v>215</v>
      </c>
      <c r="AX8" s="2" t="s">
        <v>638</v>
      </c>
      <c r="AZ8" s="2">
        <v>8309104662</v>
      </c>
      <c r="BA8" s="2">
        <v>9949623098</v>
      </c>
      <c r="BB8" s="2">
        <v>8790918191</v>
      </c>
      <c r="BC8" s="3" t="s">
        <v>639</v>
      </c>
      <c r="BD8" s="3" t="s">
        <v>640</v>
      </c>
      <c r="BE8" s="2" t="s">
        <v>565</v>
      </c>
      <c r="BF8" s="2" t="s">
        <v>113</v>
      </c>
    </row>
    <row r="9" spans="1:59" s="2" customFormat="1" ht="80.099999999999994" customHeight="1" x14ac:dyDescent="0.25">
      <c r="A9" s="2">
        <v>7</v>
      </c>
      <c r="B9" s="6">
        <v>150</v>
      </c>
      <c r="C9" s="2" t="s">
        <v>4443</v>
      </c>
      <c r="D9" s="6" t="s">
        <v>345</v>
      </c>
      <c r="E9" s="6"/>
      <c r="F9" s="8" t="s">
        <v>847</v>
      </c>
      <c r="G9" s="6" t="s">
        <v>38</v>
      </c>
      <c r="H9" s="6" t="s">
        <v>35</v>
      </c>
      <c r="I9" s="2" t="s">
        <v>68</v>
      </c>
      <c r="J9" s="2" t="s">
        <v>36</v>
      </c>
      <c r="K9" s="2" t="s">
        <v>81</v>
      </c>
      <c r="L9" s="2" t="s">
        <v>82</v>
      </c>
      <c r="M9" s="2" t="s">
        <v>867</v>
      </c>
      <c r="N9" s="2" t="s">
        <v>868</v>
      </c>
      <c r="O9" s="2" t="s">
        <v>83</v>
      </c>
      <c r="P9" s="2" t="s">
        <v>73</v>
      </c>
      <c r="Q9" s="2" t="s">
        <v>185</v>
      </c>
      <c r="R9" s="2">
        <v>1810213882</v>
      </c>
      <c r="S9" s="2">
        <v>2018</v>
      </c>
      <c r="T9" s="2" t="s">
        <v>89</v>
      </c>
      <c r="U9" s="2" t="s">
        <v>37</v>
      </c>
      <c r="V9" s="2" t="s">
        <v>215</v>
      </c>
      <c r="W9" s="2">
        <v>880</v>
      </c>
      <c r="X9" s="2">
        <f>W9/1000*100</f>
        <v>88</v>
      </c>
      <c r="Y9" s="2">
        <f>85+98+64+62+60+57+23+28</f>
        <v>477</v>
      </c>
      <c r="Z9" s="2">
        <v>530</v>
      </c>
      <c r="AA9" s="2">
        <f t="shared" si="0"/>
        <v>90</v>
      </c>
      <c r="AB9" s="2">
        <f>61+70+54+46+64+62+60+57+23+28</f>
        <v>525</v>
      </c>
      <c r="AC9" s="2">
        <v>600</v>
      </c>
      <c r="AD9" s="2">
        <f t="shared" si="1"/>
        <v>87.5</v>
      </c>
      <c r="AE9" s="2" t="s">
        <v>869</v>
      </c>
      <c r="AF9" s="2" t="s">
        <v>246</v>
      </c>
      <c r="AG9" s="2" t="s">
        <v>843</v>
      </c>
      <c r="AH9" s="2">
        <v>10000</v>
      </c>
      <c r="AI9" s="2">
        <v>210000</v>
      </c>
      <c r="AJ9" s="2">
        <v>27500</v>
      </c>
      <c r="AK9" s="2">
        <f t="shared" si="2"/>
        <v>247500</v>
      </c>
      <c r="AL9" s="2" t="s">
        <v>870</v>
      </c>
      <c r="AM9" s="2" t="s">
        <v>78</v>
      </c>
      <c r="AN9" s="2" t="s">
        <v>871</v>
      </c>
      <c r="AO9" s="2" t="s">
        <v>429</v>
      </c>
      <c r="AP9" s="2" t="s">
        <v>872</v>
      </c>
      <c r="AQ9" s="2" t="s">
        <v>873</v>
      </c>
      <c r="AR9" s="4" t="s">
        <v>874</v>
      </c>
      <c r="AS9" s="2" t="s">
        <v>875</v>
      </c>
      <c r="AT9" s="2" t="s">
        <v>876</v>
      </c>
      <c r="AU9" s="2" t="s">
        <v>169</v>
      </c>
      <c r="AV9" s="2" t="s">
        <v>215</v>
      </c>
      <c r="AW9" s="2">
        <v>518004</v>
      </c>
      <c r="AX9" s="2" t="s">
        <v>875</v>
      </c>
      <c r="AZ9" s="2">
        <v>9440294473</v>
      </c>
      <c r="BB9" s="2">
        <v>7396608440</v>
      </c>
      <c r="BC9" s="3" t="s">
        <v>877</v>
      </c>
      <c r="BD9" s="3" t="s">
        <v>878</v>
      </c>
      <c r="BE9" s="2" t="s">
        <v>879</v>
      </c>
      <c r="BF9" s="2" t="s">
        <v>113</v>
      </c>
    </row>
    <row r="10" spans="1:59" s="2" customFormat="1" ht="80.099999999999994" customHeight="1" x14ac:dyDescent="0.25">
      <c r="A10" s="2">
        <v>8</v>
      </c>
      <c r="B10" s="2">
        <v>202</v>
      </c>
      <c r="C10" s="2" t="s">
        <v>4443</v>
      </c>
      <c r="D10" s="6" t="s">
        <v>345</v>
      </c>
      <c r="F10" s="8" t="s">
        <v>1144</v>
      </c>
      <c r="G10" s="6" t="s">
        <v>91</v>
      </c>
      <c r="H10" s="2" t="s">
        <v>35</v>
      </c>
      <c r="I10" s="2" t="s">
        <v>68</v>
      </c>
      <c r="J10" s="2" t="s">
        <v>36</v>
      </c>
      <c r="K10" s="2" t="s">
        <v>1146</v>
      </c>
      <c r="L10" s="2" t="s">
        <v>82</v>
      </c>
      <c r="M10" s="2" t="s">
        <v>1147</v>
      </c>
      <c r="N10" s="2" t="s">
        <v>601</v>
      </c>
      <c r="O10" s="2" t="s">
        <v>123</v>
      </c>
      <c r="P10" s="2" t="s">
        <v>85</v>
      </c>
      <c r="Q10" s="2" t="s">
        <v>185</v>
      </c>
      <c r="R10" s="2">
        <v>1811306447</v>
      </c>
      <c r="S10" s="2">
        <v>2018</v>
      </c>
      <c r="T10" s="2" t="s">
        <v>366</v>
      </c>
      <c r="U10" s="2" t="s">
        <v>37</v>
      </c>
      <c r="V10" s="2" t="s">
        <v>155</v>
      </c>
      <c r="W10" s="2" t="s">
        <v>37</v>
      </c>
      <c r="X10" s="2" t="s">
        <v>37</v>
      </c>
      <c r="Y10" s="2">
        <v>1023</v>
      </c>
      <c r="Z10" s="2">
        <v>1200</v>
      </c>
      <c r="AA10" s="2">
        <f t="shared" si="0"/>
        <v>85.25</v>
      </c>
      <c r="AB10" s="2">
        <f>184+153+165</f>
        <v>502</v>
      </c>
      <c r="AC10" s="2">
        <v>600</v>
      </c>
      <c r="AD10" s="2">
        <f t="shared" si="1"/>
        <v>83.666666666666671</v>
      </c>
      <c r="AE10" s="2" t="s">
        <v>1148</v>
      </c>
      <c r="AF10" s="2" t="s">
        <v>1118</v>
      </c>
      <c r="AG10" s="2" t="s">
        <v>1118</v>
      </c>
      <c r="AH10" s="2">
        <v>10000</v>
      </c>
      <c r="AI10" s="2">
        <v>200000</v>
      </c>
      <c r="AJ10" s="2">
        <v>27500</v>
      </c>
      <c r="AK10" s="2">
        <f t="shared" si="2"/>
        <v>237500</v>
      </c>
      <c r="AL10" s="2" t="s">
        <v>1149</v>
      </c>
      <c r="AM10" s="2" t="s">
        <v>78</v>
      </c>
      <c r="AN10" s="2" t="s">
        <v>1150</v>
      </c>
      <c r="AO10" s="2" t="s">
        <v>922</v>
      </c>
      <c r="AP10" s="2">
        <v>200000</v>
      </c>
      <c r="AQ10" s="2" t="s">
        <v>1151</v>
      </c>
      <c r="AR10" s="4" t="s">
        <v>1152</v>
      </c>
      <c r="AS10" s="2" t="s">
        <v>1153</v>
      </c>
      <c r="AT10" s="2" t="s">
        <v>1154</v>
      </c>
      <c r="AU10" s="2" t="s">
        <v>601</v>
      </c>
      <c r="AV10" s="2" t="s">
        <v>152</v>
      </c>
      <c r="AW10" s="2">
        <v>636003</v>
      </c>
      <c r="AX10" s="2" t="s">
        <v>1153</v>
      </c>
      <c r="AZ10" s="2">
        <v>8778082540</v>
      </c>
      <c r="BA10" s="2">
        <v>9443798729</v>
      </c>
      <c r="BB10" s="2">
        <v>8870855104</v>
      </c>
      <c r="BC10" s="3" t="s">
        <v>1155</v>
      </c>
      <c r="BD10" s="3" t="s">
        <v>1156</v>
      </c>
      <c r="BE10" s="2" t="s">
        <v>2758</v>
      </c>
    </row>
    <row r="11" spans="1:59" s="2" customFormat="1" ht="80.099999999999994" customHeight="1" x14ac:dyDescent="0.25">
      <c r="A11" s="2">
        <v>9</v>
      </c>
      <c r="B11" s="6">
        <v>229</v>
      </c>
      <c r="C11" s="2" t="s">
        <v>4443</v>
      </c>
      <c r="D11" s="2" t="s">
        <v>345</v>
      </c>
      <c r="F11" s="7" t="s">
        <v>1218</v>
      </c>
      <c r="G11" s="2" t="s">
        <v>38</v>
      </c>
      <c r="H11" s="2" t="s">
        <v>35</v>
      </c>
      <c r="I11" s="2" t="s">
        <v>68</v>
      </c>
      <c r="J11" s="2" t="s">
        <v>36</v>
      </c>
      <c r="K11" s="2" t="s">
        <v>81</v>
      </c>
      <c r="L11" s="2" t="s">
        <v>82</v>
      </c>
      <c r="M11" s="2" t="s">
        <v>1240</v>
      </c>
      <c r="N11" s="2" t="s">
        <v>1241</v>
      </c>
      <c r="O11" s="2" t="s">
        <v>83</v>
      </c>
      <c r="P11" s="2" t="s">
        <v>85</v>
      </c>
      <c r="Q11" s="2" t="s">
        <v>63</v>
      </c>
      <c r="R11" s="2">
        <v>294219</v>
      </c>
      <c r="S11" s="2">
        <v>2018</v>
      </c>
      <c r="T11" s="2" t="s">
        <v>64</v>
      </c>
      <c r="U11" s="2" t="s">
        <v>65</v>
      </c>
      <c r="V11" s="2" t="s">
        <v>37</v>
      </c>
      <c r="W11" s="2" t="s">
        <v>37</v>
      </c>
      <c r="X11" s="2" t="s">
        <v>37</v>
      </c>
      <c r="Y11" s="2">
        <v>388</v>
      </c>
      <c r="Z11" s="2">
        <v>600</v>
      </c>
      <c r="AA11" s="2">
        <f t="shared" si="0"/>
        <v>64.666666666666657</v>
      </c>
      <c r="AB11" s="2">
        <f>61+47+67</f>
        <v>175</v>
      </c>
      <c r="AC11" s="2">
        <v>300</v>
      </c>
      <c r="AD11" s="2">
        <f t="shared" si="1"/>
        <v>58.333333333333336</v>
      </c>
      <c r="AE11" s="2" t="s">
        <v>1242</v>
      </c>
      <c r="AF11" s="2" t="s">
        <v>1219</v>
      </c>
      <c r="AG11" s="2" t="s">
        <v>1219</v>
      </c>
      <c r="AH11" s="2">
        <v>10000</v>
      </c>
      <c r="AI11" s="2">
        <v>210000</v>
      </c>
      <c r="AJ11" s="2">
        <v>27500</v>
      </c>
      <c r="AK11" s="2">
        <f t="shared" si="2"/>
        <v>247500</v>
      </c>
      <c r="AL11" s="2" t="s">
        <v>1243</v>
      </c>
      <c r="AM11" s="2" t="s">
        <v>78</v>
      </c>
      <c r="AN11" s="2" t="s">
        <v>1244</v>
      </c>
      <c r="AO11" s="2" t="s">
        <v>139</v>
      </c>
      <c r="AP11" s="2">
        <v>48000</v>
      </c>
      <c r="AQ11" s="2" t="s">
        <v>1245</v>
      </c>
      <c r="AR11" s="4" t="s">
        <v>1246</v>
      </c>
      <c r="AS11" s="2" t="s">
        <v>1247</v>
      </c>
      <c r="AT11" s="2" t="s">
        <v>1248</v>
      </c>
      <c r="AU11" s="2" t="s">
        <v>1027</v>
      </c>
      <c r="AV11" s="2" t="s">
        <v>215</v>
      </c>
      <c r="AW11" s="2">
        <v>515871</v>
      </c>
      <c r="AX11" s="2" t="s">
        <v>1247</v>
      </c>
      <c r="AZ11" s="2">
        <v>8106533251</v>
      </c>
      <c r="BA11" s="2">
        <v>9490052906</v>
      </c>
      <c r="BD11" s="3" t="s">
        <v>1249</v>
      </c>
      <c r="BE11" s="2" t="s">
        <v>4442</v>
      </c>
    </row>
    <row r="12" spans="1:59" s="2" customFormat="1" ht="80.099999999999994" customHeight="1" x14ac:dyDescent="0.25">
      <c r="A12" s="2">
        <v>10</v>
      </c>
      <c r="B12" s="6">
        <v>239</v>
      </c>
      <c r="C12" s="2" t="s">
        <v>4443</v>
      </c>
      <c r="D12" s="6" t="s">
        <v>345</v>
      </c>
      <c r="F12" s="18" t="s">
        <v>1255</v>
      </c>
      <c r="G12" s="6" t="s">
        <v>38</v>
      </c>
      <c r="H12" s="6" t="s">
        <v>35</v>
      </c>
      <c r="I12" s="2" t="s">
        <v>68</v>
      </c>
      <c r="J12" s="2" t="s">
        <v>435</v>
      </c>
      <c r="K12" s="2" t="s">
        <v>435</v>
      </c>
      <c r="L12" s="2" t="s">
        <v>82</v>
      </c>
      <c r="M12" s="2" t="s">
        <v>1298</v>
      </c>
      <c r="N12" s="2" t="s">
        <v>1299</v>
      </c>
      <c r="O12" s="2" t="s">
        <v>1300</v>
      </c>
      <c r="P12" s="2" t="s">
        <v>85</v>
      </c>
      <c r="Q12" s="2" t="s">
        <v>185</v>
      </c>
      <c r="R12" s="2">
        <v>4626389</v>
      </c>
      <c r="S12" s="2">
        <v>2018</v>
      </c>
      <c r="T12" s="2" t="s">
        <v>616</v>
      </c>
      <c r="U12" s="2" t="s">
        <v>65</v>
      </c>
      <c r="V12" s="2" t="s">
        <v>37</v>
      </c>
      <c r="W12" s="2" t="s">
        <v>37</v>
      </c>
      <c r="X12" s="2" t="s">
        <v>37</v>
      </c>
      <c r="Y12" s="2">
        <f>77+85+66+60+60</f>
        <v>348</v>
      </c>
      <c r="Z12" s="2">
        <v>500</v>
      </c>
      <c r="AA12" s="2">
        <f t="shared" si="0"/>
        <v>69.599999999999994</v>
      </c>
      <c r="AB12" s="2">
        <f>85+66+60</f>
        <v>211</v>
      </c>
      <c r="AC12" s="2">
        <v>300</v>
      </c>
      <c r="AD12" s="2">
        <f t="shared" si="1"/>
        <v>70.333333333333343</v>
      </c>
      <c r="AE12" s="2" t="s">
        <v>1301</v>
      </c>
      <c r="AF12" s="2" t="s">
        <v>1258</v>
      </c>
      <c r="AG12" s="2" t="s">
        <v>1258</v>
      </c>
      <c r="AH12" s="2">
        <v>10000</v>
      </c>
      <c r="AI12" s="2">
        <v>210000</v>
      </c>
      <c r="AJ12" s="2">
        <v>27500</v>
      </c>
      <c r="AK12" s="2">
        <f t="shared" si="2"/>
        <v>247500</v>
      </c>
      <c r="AL12" s="2" t="s">
        <v>1302</v>
      </c>
      <c r="AM12" s="2" t="s">
        <v>87</v>
      </c>
      <c r="AN12" s="2" t="s">
        <v>1303</v>
      </c>
      <c r="AO12" s="2" t="s">
        <v>912</v>
      </c>
      <c r="AP12" s="2">
        <v>500000</v>
      </c>
      <c r="AQ12" s="2" t="s">
        <v>1304</v>
      </c>
      <c r="AR12" s="4" t="s">
        <v>1305</v>
      </c>
      <c r="AS12" s="2" t="s">
        <v>1310</v>
      </c>
      <c r="AT12" s="2" t="s">
        <v>1306</v>
      </c>
      <c r="AU12" s="2" t="s">
        <v>95</v>
      </c>
      <c r="AV12" s="2" t="s">
        <v>65</v>
      </c>
      <c r="AW12" s="2">
        <v>585201</v>
      </c>
      <c r="AX12" s="2" t="s">
        <v>1307</v>
      </c>
      <c r="AZ12" s="2">
        <v>8296059393</v>
      </c>
      <c r="BA12" s="2">
        <v>9342597666</v>
      </c>
      <c r="BB12" s="2">
        <v>9480371555</v>
      </c>
      <c r="BC12" s="3" t="s">
        <v>1308</v>
      </c>
      <c r="BD12" s="3" t="s">
        <v>1309</v>
      </c>
      <c r="BE12" s="2" t="s">
        <v>3391</v>
      </c>
      <c r="BF12" s="2" t="s">
        <v>3390</v>
      </c>
    </row>
    <row r="13" spans="1:59" s="19" customFormat="1" ht="80.099999999999994" customHeight="1" x14ac:dyDescent="0.25">
      <c r="A13" s="2">
        <v>11</v>
      </c>
      <c r="B13" s="2">
        <v>242</v>
      </c>
      <c r="C13" s="2" t="s">
        <v>4443</v>
      </c>
      <c r="D13" s="2" t="s">
        <v>345</v>
      </c>
      <c r="E13" s="2"/>
      <c r="F13" s="7" t="s">
        <v>1274</v>
      </c>
      <c r="G13" s="2" t="s">
        <v>38</v>
      </c>
      <c r="H13" s="2" t="s">
        <v>35</v>
      </c>
      <c r="I13" s="2" t="s">
        <v>68</v>
      </c>
      <c r="J13" s="2" t="s">
        <v>435</v>
      </c>
      <c r="K13" s="2" t="s">
        <v>435</v>
      </c>
      <c r="L13" s="2" t="s">
        <v>82</v>
      </c>
      <c r="M13" s="2" t="s">
        <v>1324</v>
      </c>
      <c r="N13" s="2" t="s">
        <v>1235</v>
      </c>
      <c r="O13" s="2" t="s">
        <v>1300</v>
      </c>
      <c r="P13" s="2" t="s">
        <v>85</v>
      </c>
      <c r="Q13" s="2" t="s">
        <v>185</v>
      </c>
      <c r="R13" s="2" t="s">
        <v>1325</v>
      </c>
      <c r="S13" s="2">
        <v>2018</v>
      </c>
      <c r="T13" s="2" t="s">
        <v>1099</v>
      </c>
      <c r="U13" s="2" t="s">
        <v>37</v>
      </c>
      <c r="V13" s="2" t="s">
        <v>1100</v>
      </c>
      <c r="W13" s="2" t="s">
        <v>37</v>
      </c>
      <c r="X13" s="2" t="s">
        <v>37</v>
      </c>
      <c r="Y13" s="2">
        <v>397</v>
      </c>
      <c r="Z13" s="2">
        <v>650</v>
      </c>
      <c r="AA13" s="2">
        <f t="shared" si="0"/>
        <v>61.076923076923073</v>
      </c>
      <c r="AB13" s="2">
        <f>56+59+52</f>
        <v>167</v>
      </c>
      <c r="AC13" s="2">
        <v>300</v>
      </c>
      <c r="AD13" s="2">
        <f t="shared" si="1"/>
        <v>55.666666666666664</v>
      </c>
      <c r="AE13" s="2" t="s">
        <v>1326</v>
      </c>
      <c r="AF13" s="2" t="s">
        <v>1258</v>
      </c>
      <c r="AG13" s="2" t="s">
        <v>1258</v>
      </c>
      <c r="AH13" s="2">
        <v>10000</v>
      </c>
      <c r="AI13" s="2">
        <v>210000</v>
      </c>
      <c r="AJ13" s="2">
        <v>27500</v>
      </c>
      <c r="AK13" s="2">
        <f t="shared" si="2"/>
        <v>247500</v>
      </c>
      <c r="AL13" s="2" t="s">
        <v>1327</v>
      </c>
      <c r="AM13" s="2" t="s">
        <v>87</v>
      </c>
      <c r="AN13" s="2" t="s">
        <v>1328</v>
      </c>
      <c r="AO13" s="2" t="s">
        <v>568</v>
      </c>
      <c r="AP13" s="2">
        <v>250000</v>
      </c>
      <c r="AQ13" s="2" t="s">
        <v>1329</v>
      </c>
      <c r="AR13" s="4" t="s">
        <v>1330</v>
      </c>
      <c r="AS13" s="2" t="s">
        <v>1331</v>
      </c>
      <c r="AT13" s="2" t="s">
        <v>1332</v>
      </c>
      <c r="AU13" s="2" t="s">
        <v>1333</v>
      </c>
      <c r="AV13" s="2" t="s">
        <v>65</v>
      </c>
      <c r="AW13" s="2">
        <v>585201</v>
      </c>
      <c r="AX13" s="2" t="s">
        <v>1331</v>
      </c>
      <c r="AY13" s="2"/>
      <c r="AZ13" s="2">
        <v>7899436428</v>
      </c>
      <c r="BA13" s="2">
        <v>9036673974</v>
      </c>
      <c r="BB13" s="2">
        <v>9036978971</v>
      </c>
      <c r="BC13" s="3" t="s">
        <v>1334</v>
      </c>
      <c r="BD13" s="3" t="s">
        <v>1335</v>
      </c>
      <c r="BE13" s="2" t="s">
        <v>3389</v>
      </c>
      <c r="BF13" s="2"/>
      <c r="BG13" s="2"/>
    </row>
    <row r="14" spans="1:59" s="2" customFormat="1" ht="80.099999999999994" customHeight="1" x14ac:dyDescent="0.25">
      <c r="A14" s="2">
        <v>12</v>
      </c>
      <c r="B14" s="2">
        <v>250</v>
      </c>
      <c r="C14" s="2" t="s">
        <v>4443</v>
      </c>
      <c r="D14" s="6" t="s">
        <v>345</v>
      </c>
      <c r="F14" s="8" t="s">
        <v>1351</v>
      </c>
      <c r="G14" s="6" t="s">
        <v>38</v>
      </c>
      <c r="H14" s="6" t="s">
        <v>35</v>
      </c>
      <c r="I14" s="2" t="s">
        <v>68</v>
      </c>
      <c r="J14" s="2" t="s">
        <v>165</v>
      </c>
      <c r="K14" s="2" t="s">
        <v>723</v>
      </c>
      <c r="L14" s="2" t="s">
        <v>82</v>
      </c>
      <c r="M14" s="2" t="s">
        <v>674</v>
      </c>
      <c r="N14" s="2" t="s">
        <v>804</v>
      </c>
      <c r="O14" s="2" t="s">
        <v>795</v>
      </c>
      <c r="P14" s="2" t="s">
        <v>1360</v>
      </c>
      <c r="Q14" s="2" t="s">
        <v>185</v>
      </c>
      <c r="R14" s="2">
        <v>5203149</v>
      </c>
      <c r="S14" s="2">
        <v>2018</v>
      </c>
      <c r="T14" s="2" t="s">
        <v>1361</v>
      </c>
      <c r="U14" s="2" t="s">
        <v>37</v>
      </c>
      <c r="V14" s="2" t="s">
        <v>794</v>
      </c>
      <c r="W14" s="2">
        <f>160+182+159+146+167+174</f>
        <v>988</v>
      </c>
      <c r="X14" s="2">
        <f>W14/1200*100</f>
        <v>82.333333333333343</v>
      </c>
      <c r="Y14" s="2">
        <f>80+92+90+87+101+87</f>
        <v>537</v>
      </c>
      <c r="Z14" s="2">
        <v>600</v>
      </c>
      <c r="AA14" s="2">
        <f t="shared" si="0"/>
        <v>89.5</v>
      </c>
      <c r="AB14" s="2">
        <f>159+146+174</f>
        <v>479</v>
      </c>
      <c r="AC14" s="2">
        <v>600</v>
      </c>
      <c r="AD14" s="2">
        <f t="shared" si="1"/>
        <v>79.833333333333329</v>
      </c>
      <c r="AE14" s="2" t="s">
        <v>1362</v>
      </c>
      <c r="AF14" s="2" t="s">
        <v>258</v>
      </c>
      <c r="AG14" s="2" t="s">
        <v>1349</v>
      </c>
      <c r="AH14" s="2">
        <v>10000</v>
      </c>
      <c r="AI14" s="2">
        <v>210000</v>
      </c>
      <c r="AJ14" s="2">
        <v>27500</v>
      </c>
      <c r="AK14" s="2">
        <f t="shared" si="2"/>
        <v>247500</v>
      </c>
      <c r="AL14" s="2" t="s">
        <v>1363</v>
      </c>
      <c r="AM14" s="2" t="s">
        <v>924</v>
      </c>
      <c r="AN14" s="2" t="s">
        <v>1364</v>
      </c>
      <c r="AO14" s="2" t="s">
        <v>139</v>
      </c>
      <c r="AP14" s="2">
        <v>227000</v>
      </c>
      <c r="AQ14" s="2" t="s">
        <v>1365</v>
      </c>
      <c r="AR14" s="4" t="s">
        <v>1366</v>
      </c>
      <c r="AS14" s="2" t="s">
        <v>1367</v>
      </c>
      <c r="AT14" s="2" t="s">
        <v>1368</v>
      </c>
      <c r="AU14" s="2" t="s">
        <v>804</v>
      </c>
      <c r="AV14" s="2" t="s">
        <v>794</v>
      </c>
      <c r="AW14" s="2">
        <v>680306</v>
      </c>
      <c r="AX14" s="2" t="s">
        <v>1367</v>
      </c>
      <c r="AZ14" s="2">
        <v>8593050949</v>
      </c>
      <c r="BA14" s="2">
        <v>9495853231</v>
      </c>
      <c r="BB14" s="2">
        <v>9497316491</v>
      </c>
      <c r="BD14" s="3" t="s">
        <v>1369</v>
      </c>
      <c r="BE14" s="2" t="s">
        <v>2913</v>
      </c>
    </row>
    <row r="15" spans="1:59" s="2" customFormat="1" ht="80.099999999999994" customHeight="1" x14ac:dyDescent="0.25">
      <c r="A15" s="2">
        <v>13</v>
      </c>
      <c r="B15" s="6">
        <v>256</v>
      </c>
      <c r="C15" s="2" t="s">
        <v>4443</v>
      </c>
      <c r="D15" s="6" t="s">
        <v>345</v>
      </c>
      <c r="F15" s="8" t="s">
        <v>1353</v>
      </c>
      <c r="G15" s="6" t="s">
        <v>38</v>
      </c>
      <c r="H15" s="6" t="s">
        <v>92</v>
      </c>
      <c r="I15" s="2" t="s">
        <v>68</v>
      </c>
      <c r="J15" s="2" t="s">
        <v>36</v>
      </c>
      <c r="K15" s="2" t="s">
        <v>1385</v>
      </c>
      <c r="L15" s="2" t="s">
        <v>136</v>
      </c>
      <c r="M15" s="2" t="s">
        <v>1387</v>
      </c>
      <c r="N15" s="2" t="s">
        <v>1388</v>
      </c>
      <c r="O15" s="2" t="s">
        <v>61</v>
      </c>
      <c r="P15" s="2" t="s">
        <v>73</v>
      </c>
      <c r="Q15" s="2" t="s">
        <v>63</v>
      </c>
      <c r="R15" s="2">
        <v>408050</v>
      </c>
      <c r="S15" s="2">
        <v>2018</v>
      </c>
      <c r="T15" s="2" t="s">
        <v>64</v>
      </c>
      <c r="U15" s="2" t="s">
        <v>65</v>
      </c>
      <c r="V15" s="2" t="s">
        <v>37</v>
      </c>
      <c r="W15" s="2" t="s">
        <v>37</v>
      </c>
      <c r="X15" s="2" t="s">
        <v>37</v>
      </c>
      <c r="Y15" s="2">
        <v>436</v>
      </c>
      <c r="Z15" s="2">
        <v>600</v>
      </c>
      <c r="AA15" s="2">
        <f t="shared" si="0"/>
        <v>72.666666666666671</v>
      </c>
      <c r="AB15" s="2">
        <f>76+67+79</f>
        <v>222</v>
      </c>
      <c r="AC15" s="2">
        <v>300</v>
      </c>
      <c r="AD15" s="2">
        <f t="shared" si="1"/>
        <v>74</v>
      </c>
      <c r="AE15" s="2" t="s">
        <v>1389</v>
      </c>
      <c r="AF15" s="2" t="s">
        <v>1349</v>
      </c>
      <c r="AG15" s="2" t="s">
        <v>1349</v>
      </c>
      <c r="AH15" s="2">
        <v>10000</v>
      </c>
      <c r="AI15" s="2">
        <v>210000</v>
      </c>
      <c r="AJ15" s="2">
        <v>27500</v>
      </c>
      <c r="AK15" s="2">
        <f t="shared" si="2"/>
        <v>247500</v>
      </c>
      <c r="AL15" s="2" t="s">
        <v>1390</v>
      </c>
      <c r="AM15" s="2" t="s">
        <v>78</v>
      </c>
      <c r="AN15" s="2" t="s">
        <v>1391</v>
      </c>
      <c r="AO15" s="2" t="s">
        <v>139</v>
      </c>
      <c r="AP15" s="2">
        <v>400000</v>
      </c>
      <c r="AQ15" s="2" t="s">
        <v>1397</v>
      </c>
      <c r="AR15" s="4" t="s">
        <v>1392</v>
      </c>
      <c r="AS15" s="2" t="s">
        <v>1393</v>
      </c>
      <c r="AT15" s="2" t="s">
        <v>1394</v>
      </c>
      <c r="AU15" s="2" t="s">
        <v>95</v>
      </c>
      <c r="AV15" s="2" t="s">
        <v>65</v>
      </c>
      <c r="AW15" s="2">
        <v>560078</v>
      </c>
      <c r="AX15" s="2" t="s">
        <v>1393</v>
      </c>
      <c r="AZ15" s="2">
        <v>7411276936</v>
      </c>
      <c r="BA15" s="2">
        <v>9844358643</v>
      </c>
      <c r="BB15" s="2">
        <v>9900857868</v>
      </c>
      <c r="BC15" s="3" t="s">
        <v>1395</v>
      </c>
      <c r="BD15" s="3" t="s">
        <v>1396</v>
      </c>
      <c r="BE15" s="2" t="s">
        <v>1409</v>
      </c>
    </row>
    <row r="16" spans="1:59" s="2" customFormat="1" ht="80.099999999999994" customHeight="1" x14ac:dyDescent="0.25">
      <c r="A16" s="2">
        <v>14</v>
      </c>
      <c r="B16" s="6">
        <v>257</v>
      </c>
      <c r="C16" s="2" t="s">
        <v>4443</v>
      </c>
      <c r="D16" s="6" t="s">
        <v>345</v>
      </c>
      <c r="F16" s="8" t="s">
        <v>1354</v>
      </c>
      <c r="G16" s="6" t="s">
        <v>38</v>
      </c>
      <c r="H16" s="6" t="s">
        <v>35</v>
      </c>
      <c r="I16" s="2" t="s">
        <v>68</v>
      </c>
      <c r="J16" s="2" t="s">
        <v>435</v>
      </c>
      <c r="K16" s="2" t="s">
        <v>1067</v>
      </c>
      <c r="L16" s="2" t="s">
        <v>82</v>
      </c>
      <c r="M16" s="2" t="s">
        <v>1398</v>
      </c>
      <c r="N16" s="2" t="s">
        <v>1399</v>
      </c>
      <c r="O16" s="2" t="s">
        <v>72</v>
      </c>
      <c r="P16" s="2" t="s">
        <v>62</v>
      </c>
      <c r="Q16" s="2" t="s">
        <v>185</v>
      </c>
      <c r="R16" s="2">
        <v>1618298</v>
      </c>
      <c r="S16" s="2">
        <v>2018</v>
      </c>
      <c r="T16" s="2" t="s">
        <v>616</v>
      </c>
      <c r="U16" s="2" t="s">
        <v>37</v>
      </c>
      <c r="V16" s="2" t="s">
        <v>833</v>
      </c>
      <c r="W16" s="2" t="s">
        <v>37</v>
      </c>
      <c r="X16" s="2" t="s">
        <v>37</v>
      </c>
      <c r="Y16" s="2">
        <f>75+83+83+77+69+65</f>
        <v>452</v>
      </c>
      <c r="Z16" s="2">
        <v>600</v>
      </c>
      <c r="AA16" s="2">
        <f t="shared" si="0"/>
        <v>75.333333333333329</v>
      </c>
      <c r="AB16" s="2">
        <f>83+83+77</f>
        <v>243</v>
      </c>
      <c r="AC16" s="2">
        <v>300</v>
      </c>
      <c r="AD16" s="2">
        <f t="shared" si="1"/>
        <v>81</v>
      </c>
      <c r="AE16" s="2" t="s">
        <v>1400</v>
      </c>
      <c r="AF16" s="2" t="s">
        <v>1349</v>
      </c>
      <c r="AG16" s="2" t="s">
        <v>1349</v>
      </c>
      <c r="AH16" s="2">
        <v>10000</v>
      </c>
      <c r="AI16" s="2">
        <v>210000</v>
      </c>
      <c r="AJ16" s="2">
        <v>27500</v>
      </c>
      <c r="AK16" s="2">
        <f t="shared" si="2"/>
        <v>247500</v>
      </c>
      <c r="AL16" s="2" t="s">
        <v>1401</v>
      </c>
      <c r="AM16" s="2" t="s">
        <v>78</v>
      </c>
      <c r="AN16" s="2" t="s">
        <v>1402</v>
      </c>
      <c r="AO16" s="2" t="s">
        <v>139</v>
      </c>
      <c r="AP16" s="2">
        <v>600000</v>
      </c>
      <c r="AQ16" s="2" t="s">
        <v>1403</v>
      </c>
      <c r="AR16" s="4" t="s">
        <v>1404</v>
      </c>
      <c r="AS16" s="2" t="s">
        <v>1405</v>
      </c>
      <c r="AT16" s="2" t="s">
        <v>1406</v>
      </c>
      <c r="AU16" s="2" t="s">
        <v>1399</v>
      </c>
      <c r="AV16" s="2" t="s">
        <v>833</v>
      </c>
      <c r="AW16" s="2">
        <v>305001</v>
      </c>
      <c r="AX16" s="2" t="s">
        <v>1405</v>
      </c>
      <c r="AY16" s="2" t="s">
        <v>1407</v>
      </c>
      <c r="AZ16" s="2">
        <v>9460713451</v>
      </c>
      <c r="BA16" s="2">
        <v>9414004051</v>
      </c>
      <c r="BB16" s="2">
        <v>9461004551</v>
      </c>
      <c r="BD16" s="3" t="s">
        <v>1408</v>
      </c>
      <c r="BE16" s="2" t="s">
        <v>2880</v>
      </c>
    </row>
    <row r="17" spans="1:59" s="2" customFormat="1" ht="80.099999999999994" customHeight="1" x14ac:dyDescent="0.25">
      <c r="A17" s="2">
        <v>15</v>
      </c>
      <c r="B17" s="6">
        <v>259</v>
      </c>
      <c r="C17" s="2" t="s">
        <v>4443</v>
      </c>
      <c r="D17" s="6" t="s">
        <v>345</v>
      </c>
      <c r="F17" s="8" t="s">
        <v>1355</v>
      </c>
      <c r="G17" s="6" t="s">
        <v>38</v>
      </c>
      <c r="H17" s="6" t="s">
        <v>35</v>
      </c>
      <c r="I17" s="2" t="s">
        <v>68</v>
      </c>
      <c r="J17" s="2" t="s">
        <v>36</v>
      </c>
      <c r="K17" s="2" t="s">
        <v>285</v>
      </c>
      <c r="L17" s="2" t="s">
        <v>1386</v>
      </c>
      <c r="M17" s="2" t="s">
        <v>1413</v>
      </c>
      <c r="N17" s="2" t="s">
        <v>1414</v>
      </c>
      <c r="O17" s="2" t="s">
        <v>83</v>
      </c>
      <c r="P17" s="2" t="s">
        <v>73</v>
      </c>
      <c r="Q17" s="2" t="s">
        <v>185</v>
      </c>
      <c r="R17" s="2">
        <v>1858257977</v>
      </c>
      <c r="S17" s="2">
        <v>2018</v>
      </c>
      <c r="T17" s="2" t="s">
        <v>75</v>
      </c>
      <c r="U17" s="2" t="s">
        <v>37</v>
      </c>
      <c r="V17" s="2" t="s">
        <v>76</v>
      </c>
      <c r="W17" s="2">
        <v>951</v>
      </c>
      <c r="X17" s="2">
        <f>W17/1000*100</f>
        <v>95.1</v>
      </c>
      <c r="Y17" s="2">
        <f>90+99+72+69+58+50+30+30</f>
        <v>498</v>
      </c>
      <c r="Z17" s="2">
        <v>530</v>
      </c>
      <c r="AA17" s="2">
        <f t="shared" si="0"/>
        <v>93.962264150943398</v>
      </c>
      <c r="AB17" s="2">
        <f>75+71+59+56+72+69+58+50+30+30</f>
        <v>570</v>
      </c>
      <c r="AC17" s="2">
        <v>600</v>
      </c>
      <c r="AD17" s="2">
        <f t="shared" si="1"/>
        <v>95</v>
      </c>
      <c r="AE17" s="2" t="s">
        <v>1415</v>
      </c>
      <c r="AF17" s="2" t="s">
        <v>576</v>
      </c>
      <c r="AG17" s="2" t="s">
        <v>1349</v>
      </c>
      <c r="AH17" s="2">
        <v>10000</v>
      </c>
      <c r="AI17" s="2">
        <v>210000</v>
      </c>
      <c r="AJ17" s="2">
        <v>27500</v>
      </c>
      <c r="AK17" s="2">
        <f t="shared" si="2"/>
        <v>247500</v>
      </c>
      <c r="AL17" s="2" t="s">
        <v>1416</v>
      </c>
      <c r="AM17" s="2" t="s">
        <v>78</v>
      </c>
      <c r="AN17" s="2" t="s">
        <v>1417</v>
      </c>
      <c r="AO17" s="2" t="s">
        <v>67</v>
      </c>
      <c r="AP17" s="2">
        <v>60000</v>
      </c>
      <c r="AQ17" s="2" t="s">
        <v>37</v>
      </c>
      <c r="AR17" s="4" t="s">
        <v>1418</v>
      </c>
      <c r="AS17" s="2" t="s">
        <v>1419</v>
      </c>
      <c r="AT17" s="2" t="s">
        <v>1420</v>
      </c>
      <c r="AU17" s="2" t="s">
        <v>1421</v>
      </c>
      <c r="AV17" s="2" t="s">
        <v>177</v>
      </c>
      <c r="AW17" s="2">
        <v>509127</v>
      </c>
      <c r="AX17" s="2" t="s">
        <v>1419</v>
      </c>
      <c r="AZ17" s="2">
        <v>8309220178</v>
      </c>
      <c r="BA17" s="2">
        <v>9912989348</v>
      </c>
      <c r="BB17" s="2">
        <v>9505668261</v>
      </c>
      <c r="BD17" s="3" t="s">
        <v>1422</v>
      </c>
      <c r="BE17" s="2" t="s">
        <v>1381</v>
      </c>
      <c r="BF17" s="2" t="s">
        <v>1382</v>
      </c>
    </row>
    <row r="18" spans="1:59" s="2" customFormat="1" ht="80.099999999999994" customHeight="1" x14ac:dyDescent="0.25">
      <c r="A18" s="2">
        <v>16</v>
      </c>
      <c r="B18" s="6">
        <v>261</v>
      </c>
      <c r="C18" s="2" t="s">
        <v>4443</v>
      </c>
      <c r="D18" s="6" t="s">
        <v>345</v>
      </c>
      <c r="F18" s="8" t="s">
        <v>1356</v>
      </c>
      <c r="G18" s="6" t="s">
        <v>38</v>
      </c>
      <c r="H18" s="6" t="s">
        <v>35</v>
      </c>
      <c r="I18" s="2" t="s">
        <v>68</v>
      </c>
      <c r="J18" s="2" t="s">
        <v>36</v>
      </c>
      <c r="K18" s="2" t="s">
        <v>58</v>
      </c>
      <c r="L18" s="2" t="s">
        <v>82</v>
      </c>
      <c r="M18" s="2" t="s">
        <v>1423</v>
      </c>
      <c r="N18" s="2" t="s">
        <v>1424</v>
      </c>
      <c r="O18" s="2" t="s">
        <v>61</v>
      </c>
      <c r="P18" s="2" t="s">
        <v>73</v>
      </c>
      <c r="Q18" s="2" t="s">
        <v>63</v>
      </c>
      <c r="R18" s="2">
        <v>413388</v>
      </c>
      <c r="S18" s="2">
        <v>2018</v>
      </c>
      <c r="T18" s="2" t="s">
        <v>64</v>
      </c>
      <c r="U18" s="2" t="s">
        <v>65</v>
      </c>
      <c r="V18" s="2" t="s">
        <v>37</v>
      </c>
      <c r="W18" s="2" t="s">
        <v>37</v>
      </c>
      <c r="X18" s="2" t="s">
        <v>37</v>
      </c>
      <c r="Y18" s="2">
        <v>528</v>
      </c>
      <c r="Z18" s="2">
        <v>600</v>
      </c>
      <c r="AA18" s="2">
        <f t="shared" si="0"/>
        <v>88</v>
      </c>
      <c r="AB18" s="2">
        <f>93+90+96</f>
        <v>279</v>
      </c>
      <c r="AC18" s="2">
        <v>300</v>
      </c>
      <c r="AD18" s="2">
        <f t="shared" si="1"/>
        <v>93</v>
      </c>
      <c r="AE18" s="2" t="s">
        <v>1425</v>
      </c>
      <c r="AF18" s="2" t="s">
        <v>1349</v>
      </c>
      <c r="AG18" s="2" t="s">
        <v>1349</v>
      </c>
      <c r="AH18" s="2">
        <v>10000</v>
      </c>
      <c r="AI18" s="2">
        <v>210000</v>
      </c>
      <c r="AJ18" s="2">
        <v>27500</v>
      </c>
      <c r="AK18" s="2">
        <f t="shared" si="2"/>
        <v>247500</v>
      </c>
      <c r="AL18" s="2" t="s">
        <v>1426</v>
      </c>
      <c r="AM18" s="2" t="s">
        <v>99</v>
      </c>
      <c r="AN18" s="2" t="s">
        <v>1427</v>
      </c>
      <c r="AO18" s="2" t="s">
        <v>1428</v>
      </c>
      <c r="AP18" s="2">
        <v>800000</v>
      </c>
      <c r="AQ18" s="2" t="s">
        <v>1429</v>
      </c>
      <c r="AR18" s="4" t="s">
        <v>1430</v>
      </c>
      <c r="AS18" s="2" t="s">
        <v>1431</v>
      </c>
      <c r="AT18" s="2" t="s">
        <v>1432</v>
      </c>
      <c r="AU18" s="2" t="s">
        <v>95</v>
      </c>
      <c r="AV18" s="2" t="s">
        <v>65</v>
      </c>
      <c r="AW18" s="2">
        <v>560076</v>
      </c>
      <c r="AX18" s="2" t="s">
        <v>1431</v>
      </c>
      <c r="AZ18" s="2">
        <v>8762013869</v>
      </c>
      <c r="BA18" s="2">
        <v>9341680705</v>
      </c>
      <c r="BB18" s="2">
        <v>9945577326</v>
      </c>
      <c r="BC18" s="3" t="s">
        <v>1433</v>
      </c>
      <c r="BD18" s="3" t="s">
        <v>1434</v>
      </c>
      <c r="BE18" s="2" t="s">
        <v>1409</v>
      </c>
    </row>
    <row r="19" spans="1:59" s="2" customFormat="1" ht="80.099999999999994" customHeight="1" x14ac:dyDescent="0.25">
      <c r="A19" s="2">
        <v>17</v>
      </c>
      <c r="B19" s="6">
        <v>262</v>
      </c>
      <c r="C19" s="2" t="s">
        <v>4443</v>
      </c>
      <c r="D19" s="6" t="s">
        <v>345</v>
      </c>
      <c r="F19" s="8" t="s">
        <v>1357</v>
      </c>
      <c r="G19" s="6" t="s">
        <v>38</v>
      </c>
      <c r="H19" s="6" t="s">
        <v>35</v>
      </c>
      <c r="I19" s="2" t="s">
        <v>68</v>
      </c>
      <c r="J19" s="2" t="s">
        <v>36</v>
      </c>
      <c r="K19" s="2" t="s">
        <v>157</v>
      </c>
      <c r="L19" s="2" t="s">
        <v>82</v>
      </c>
      <c r="M19" s="2" t="s">
        <v>615</v>
      </c>
      <c r="N19" s="2" t="s">
        <v>1435</v>
      </c>
      <c r="O19" s="2" t="s">
        <v>83</v>
      </c>
      <c r="P19" s="2" t="s">
        <v>137</v>
      </c>
      <c r="Q19" s="2" t="s">
        <v>185</v>
      </c>
      <c r="R19" s="4" t="s">
        <v>1436</v>
      </c>
      <c r="S19" s="2">
        <v>2017</v>
      </c>
      <c r="T19" s="2" t="s">
        <v>768</v>
      </c>
      <c r="U19" s="2" t="s">
        <v>65</v>
      </c>
      <c r="V19" s="2" t="s">
        <v>37</v>
      </c>
      <c r="W19" s="2" t="s">
        <v>37</v>
      </c>
      <c r="X19" s="2" t="s">
        <v>37</v>
      </c>
      <c r="Y19" s="2">
        <f>40+75+63+53+49</f>
        <v>280</v>
      </c>
      <c r="Z19" s="2">
        <v>500</v>
      </c>
      <c r="AA19" s="2">
        <f t="shared" si="0"/>
        <v>56.000000000000007</v>
      </c>
      <c r="AB19" s="2">
        <f>63+53+49</f>
        <v>165</v>
      </c>
      <c r="AC19" s="2">
        <v>300</v>
      </c>
      <c r="AD19" s="2">
        <f t="shared" si="1"/>
        <v>55.000000000000007</v>
      </c>
      <c r="AE19" s="2" t="s">
        <v>1437</v>
      </c>
      <c r="AF19" s="2" t="s">
        <v>1258</v>
      </c>
      <c r="AG19" s="2" t="s">
        <v>1349</v>
      </c>
      <c r="AH19" s="2">
        <v>10000</v>
      </c>
      <c r="AI19" s="2">
        <v>210000</v>
      </c>
      <c r="AJ19" s="2">
        <v>27500</v>
      </c>
      <c r="AK19" s="2">
        <f t="shared" si="2"/>
        <v>247500</v>
      </c>
      <c r="AL19" s="2" t="s">
        <v>1438</v>
      </c>
      <c r="AM19" s="2" t="s">
        <v>78</v>
      </c>
      <c r="AN19" s="2" t="s">
        <v>1439</v>
      </c>
      <c r="AO19" s="2" t="s">
        <v>1440</v>
      </c>
      <c r="AP19" s="2">
        <v>2400000</v>
      </c>
      <c r="AQ19" s="2" t="s">
        <v>1441</v>
      </c>
      <c r="AR19" s="4" t="s">
        <v>1442</v>
      </c>
      <c r="AS19" s="2" t="s">
        <v>1443</v>
      </c>
      <c r="AT19" s="2" t="s">
        <v>1444</v>
      </c>
      <c r="AU19" s="2" t="s">
        <v>95</v>
      </c>
      <c r="AV19" s="2" t="s">
        <v>65</v>
      </c>
      <c r="AW19" s="2">
        <v>560078</v>
      </c>
      <c r="AX19" s="2" t="s">
        <v>1443</v>
      </c>
      <c r="AY19" s="2" t="s">
        <v>1445</v>
      </c>
      <c r="AZ19" s="2">
        <v>9972689720</v>
      </c>
      <c r="BB19" s="2">
        <v>9880245354</v>
      </c>
      <c r="BC19" s="3" t="s">
        <v>1446</v>
      </c>
      <c r="BD19" s="3" t="s">
        <v>1447</v>
      </c>
      <c r="BE19" s="2" t="s">
        <v>1412</v>
      </c>
      <c r="BF19" s="2" t="s">
        <v>37</v>
      </c>
    </row>
    <row r="20" spans="1:59" s="2" customFormat="1" ht="80.099999999999994" customHeight="1" x14ac:dyDescent="0.25">
      <c r="A20" s="2">
        <v>18</v>
      </c>
      <c r="B20" s="6">
        <v>312</v>
      </c>
      <c r="C20" s="2" t="s">
        <v>4443</v>
      </c>
      <c r="D20" s="6" t="s">
        <v>345</v>
      </c>
      <c r="F20" s="8" t="s">
        <v>1661</v>
      </c>
      <c r="G20" s="6" t="s">
        <v>38</v>
      </c>
      <c r="H20" s="6" t="s">
        <v>35</v>
      </c>
      <c r="I20" s="2" t="s">
        <v>68</v>
      </c>
      <c r="J20" s="2" t="s">
        <v>36</v>
      </c>
      <c r="K20" s="2" t="s">
        <v>520</v>
      </c>
      <c r="L20" s="2" t="s">
        <v>82</v>
      </c>
      <c r="M20" s="2" t="s">
        <v>1663</v>
      </c>
      <c r="N20" s="2" t="s">
        <v>1664</v>
      </c>
      <c r="O20" s="2" t="s">
        <v>83</v>
      </c>
      <c r="P20" s="2" t="s">
        <v>85</v>
      </c>
      <c r="Q20" s="2" t="s">
        <v>185</v>
      </c>
      <c r="R20" s="2">
        <v>1806211127</v>
      </c>
      <c r="S20" s="2">
        <v>2018</v>
      </c>
      <c r="T20" s="2" t="s">
        <v>89</v>
      </c>
      <c r="U20" s="2" t="s">
        <v>37</v>
      </c>
      <c r="V20" s="2" t="s">
        <v>215</v>
      </c>
      <c r="W20" s="2">
        <v>906</v>
      </c>
      <c r="X20" s="2">
        <f>W20/1000*100</f>
        <v>90.600000000000009</v>
      </c>
      <c r="Y20" s="2">
        <f>75+98+71+75+58+45+26+29</f>
        <v>477</v>
      </c>
      <c r="Z20" s="2">
        <v>530</v>
      </c>
      <c r="AA20" s="2">
        <f t="shared" si="0"/>
        <v>90</v>
      </c>
      <c r="AB20" s="2">
        <f>68+73+58+47+71+75+58+45+26+29</f>
        <v>550</v>
      </c>
      <c r="AC20" s="2">
        <v>600</v>
      </c>
      <c r="AD20" s="2">
        <f t="shared" si="1"/>
        <v>91.666666666666657</v>
      </c>
      <c r="AE20" s="2" t="s">
        <v>1665</v>
      </c>
      <c r="AF20" s="2" t="s">
        <v>150</v>
      </c>
      <c r="AG20" s="2" t="s">
        <v>1658</v>
      </c>
      <c r="AH20" s="2">
        <v>10000</v>
      </c>
      <c r="AI20" s="2">
        <v>210000</v>
      </c>
      <c r="AJ20" s="2">
        <v>27500</v>
      </c>
      <c r="AK20" s="2">
        <f t="shared" si="2"/>
        <v>247500</v>
      </c>
      <c r="AL20" s="2" t="s">
        <v>1666</v>
      </c>
      <c r="AM20" s="2" t="s">
        <v>78</v>
      </c>
      <c r="AN20" s="2" t="s">
        <v>1667</v>
      </c>
      <c r="AO20" s="2" t="s">
        <v>67</v>
      </c>
      <c r="AP20" s="2">
        <v>50000</v>
      </c>
      <c r="AQ20" s="2" t="s">
        <v>1672</v>
      </c>
      <c r="AR20" s="4" t="s">
        <v>1668</v>
      </c>
      <c r="AS20" s="2" t="s">
        <v>1669</v>
      </c>
      <c r="AT20" s="2" t="s">
        <v>1670</v>
      </c>
      <c r="AU20" s="2" t="s">
        <v>256</v>
      </c>
      <c r="AV20" s="2" t="s">
        <v>215</v>
      </c>
      <c r="AW20" s="2">
        <v>522436</v>
      </c>
      <c r="AX20" s="2" t="s">
        <v>1669</v>
      </c>
      <c r="AZ20" s="2">
        <v>7093702128</v>
      </c>
      <c r="BA20" s="2">
        <v>9492903563</v>
      </c>
      <c r="BB20" s="2">
        <v>8985895365</v>
      </c>
      <c r="BE20" s="2" t="s">
        <v>1548</v>
      </c>
      <c r="BF20" s="2" t="s">
        <v>1671</v>
      </c>
    </row>
    <row r="21" spans="1:59" s="2" customFormat="1" ht="80.099999999999994" customHeight="1" x14ac:dyDescent="0.25">
      <c r="A21" s="2">
        <v>19</v>
      </c>
      <c r="B21" s="6">
        <v>313</v>
      </c>
      <c r="C21" s="2" t="s">
        <v>4443</v>
      </c>
      <c r="D21" s="6" t="s">
        <v>345</v>
      </c>
      <c r="F21" s="8" t="s">
        <v>1662</v>
      </c>
      <c r="G21" s="6" t="s">
        <v>38</v>
      </c>
      <c r="H21" s="6" t="s">
        <v>35</v>
      </c>
      <c r="I21" s="2" t="s">
        <v>68</v>
      </c>
      <c r="J21" s="2" t="s">
        <v>36</v>
      </c>
      <c r="K21" s="2" t="s">
        <v>407</v>
      </c>
      <c r="L21" s="2" t="s">
        <v>82</v>
      </c>
      <c r="M21" s="2" t="s">
        <v>714</v>
      </c>
      <c r="N21" s="2" t="s">
        <v>1673</v>
      </c>
      <c r="O21" s="2" t="s">
        <v>83</v>
      </c>
      <c r="P21" s="2" t="s">
        <v>85</v>
      </c>
      <c r="Q21" s="2" t="s">
        <v>185</v>
      </c>
      <c r="R21" s="2">
        <v>1805246376</v>
      </c>
      <c r="S21" s="2">
        <v>2018</v>
      </c>
      <c r="T21" s="2" t="s">
        <v>89</v>
      </c>
      <c r="U21" s="2" t="s">
        <v>37</v>
      </c>
      <c r="V21" s="2" t="s">
        <v>215</v>
      </c>
      <c r="W21" s="2">
        <v>857</v>
      </c>
      <c r="X21" s="2">
        <f>W21/1000*100</f>
        <v>85.7</v>
      </c>
      <c r="Y21" s="2">
        <f>90+98+68+64+53+37+29+28</f>
        <v>467</v>
      </c>
      <c r="Z21" s="2">
        <v>530</v>
      </c>
      <c r="AA21" s="2">
        <f t="shared" si="0"/>
        <v>88.113207547169807</v>
      </c>
      <c r="AB21" s="2">
        <f>67+56+46+51+68+64+53+37+29+28</f>
        <v>499</v>
      </c>
      <c r="AC21" s="2">
        <v>600</v>
      </c>
      <c r="AD21" s="2">
        <f t="shared" si="1"/>
        <v>83.166666666666671</v>
      </c>
      <c r="AE21" s="2" t="s">
        <v>1674</v>
      </c>
      <c r="AF21" s="2" t="s">
        <v>150</v>
      </c>
      <c r="AG21" s="2" t="s">
        <v>1658</v>
      </c>
      <c r="AH21" s="2">
        <v>10000</v>
      </c>
      <c r="AI21" s="2">
        <v>210000</v>
      </c>
      <c r="AJ21" s="2">
        <v>27500</v>
      </c>
      <c r="AK21" s="2">
        <f t="shared" si="2"/>
        <v>247500</v>
      </c>
      <c r="AL21" s="2" t="s">
        <v>1675</v>
      </c>
      <c r="AM21" s="2" t="s">
        <v>78</v>
      </c>
      <c r="AN21" s="2" t="s">
        <v>1676</v>
      </c>
      <c r="AO21" s="2" t="s">
        <v>67</v>
      </c>
      <c r="AP21" s="2">
        <v>50000</v>
      </c>
      <c r="AQ21" s="2" t="s">
        <v>1677</v>
      </c>
      <c r="AR21" s="4" t="s">
        <v>1678</v>
      </c>
      <c r="AS21" s="2" t="s">
        <v>1679</v>
      </c>
      <c r="AT21" s="2" t="s">
        <v>1680</v>
      </c>
      <c r="AU21" s="2" t="s">
        <v>256</v>
      </c>
      <c r="AV21" s="2" t="s">
        <v>215</v>
      </c>
      <c r="AW21" s="2">
        <v>522402</v>
      </c>
      <c r="AX21" s="2" t="s">
        <v>1679</v>
      </c>
      <c r="AY21" s="2" t="s">
        <v>37</v>
      </c>
      <c r="AZ21" s="2">
        <v>7032109998</v>
      </c>
      <c r="BA21" s="2">
        <v>9603310145</v>
      </c>
      <c r="BD21" s="3" t="s">
        <v>1681</v>
      </c>
      <c r="BE21" s="2" t="s">
        <v>1548</v>
      </c>
      <c r="BF21" s="2" t="s">
        <v>144</v>
      </c>
    </row>
    <row r="22" spans="1:59" s="2" customFormat="1" ht="80.099999999999994" customHeight="1" x14ac:dyDescent="0.25">
      <c r="A22" s="2">
        <v>20</v>
      </c>
      <c r="B22" s="6">
        <v>331</v>
      </c>
      <c r="C22" s="2" t="s">
        <v>4443</v>
      </c>
      <c r="D22" s="6" t="s">
        <v>345</v>
      </c>
      <c r="F22" s="8" t="s">
        <v>1736</v>
      </c>
      <c r="G22" s="6" t="s">
        <v>38</v>
      </c>
      <c r="H22" s="6" t="s">
        <v>35</v>
      </c>
      <c r="I22" s="2" t="s">
        <v>68</v>
      </c>
      <c r="J22" s="2" t="s">
        <v>36</v>
      </c>
      <c r="K22" s="2" t="s">
        <v>1784</v>
      </c>
      <c r="L22" s="2" t="s">
        <v>82</v>
      </c>
      <c r="M22" s="2" t="s">
        <v>1785</v>
      </c>
      <c r="N22" s="2" t="s">
        <v>755</v>
      </c>
      <c r="O22" s="2" t="s">
        <v>83</v>
      </c>
      <c r="P22" s="2" t="s">
        <v>73</v>
      </c>
      <c r="Q22" s="2" t="s">
        <v>185</v>
      </c>
      <c r="R22" s="2">
        <v>1805216619</v>
      </c>
      <c r="S22" s="2">
        <v>2018</v>
      </c>
      <c r="T22" s="2" t="s">
        <v>89</v>
      </c>
      <c r="U22" s="2" t="s">
        <v>37</v>
      </c>
      <c r="V22" s="2" t="s">
        <v>215</v>
      </c>
      <c r="W22" s="2">
        <v>942</v>
      </c>
      <c r="X22" s="2">
        <f>W22/1000*100</f>
        <v>94.199999999999989</v>
      </c>
      <c r="Y22" s="2">
        <f>92+98+74+69+53+57+28+27</f>
        <v>498</v>
      </c>
      <c r="Z22" s="2">
        <v>530</v>
      </c>
      <c r="AA22" s="2">
        <f t="shared" si="0"/>
        <v>93.962264150943398</v>
      </c>
      <c r="AB22" s="2">
        <f>75+73+56+57+74+69+53+57+28+27</f>
        <v>569</v>
      </c>
      <c r="AC22" s="2">
        <v>600</v>
      </c>
      <c r="AD22" s="2">
        <f t="shared" si="1"/>
        <v>94.833333333333343</v>
      </c>
      <c r="AE22" s="2" t="s">
        <v>1772</v>
      </c>
      <c r="AF22" s="2" t="s">
        <v>1118</v>
      </c>
      <c r="AG22" s="2" t="s">
        <v>1722</v>
      </c>
      <c r="AH22" s="2">
        <v>10000</v>
      </c>
      <c r="AI22" s="2">
        <v>210000</v>
      </c>
      <c r="AJ22" s="2">
        <v>27500</v>
      </c>
      <c r="AK22" s="2">
        <f t="shared" si="2"/>
        <v>247500</v>
      </c>
      <c r="AL22" s="2" t="s">
        <v>1786</v>
      </c>
      <c r="AM22" s="2" t="s">
        <v>87</v>
      </c>
      <c r="AN22" s="2" t="s">
        <v>1787</v>
      </c>
      <c r="AO22" s="2" t="s">
        <v>67</v>
      </c>
      <c r="AP22" s="2" t="s">
        <v>1788</v>
      </c>
      <c r="AQ22" s="2" t="s">
        <v>1794</v>
      </c>
      <c r="AR22" s="4" t="s">
        <v>1789</v>
      </c>
      <c r="AS22" s="2" t="s">
        <v>1791</v>
      </c>
      <c r="AT22" s="2" t="s">
        <v>1790</v>
      </c>
      <c r="AU22" s="2" t="s">
        <v>755</v>
      </c>
      <c r="AV22" s="2" t="s">
        <v>215</v>
      </c>
      <c r="AW22" s="2">
        <v>516237</v>
      </c>
      <c r="AX22" s="2" t="s">
        <v>1791</v>
      </c>
      <c r="AZ22" s="2">
        <v>9989978255</v>
      </c>
      <c r="BA22" s="2">
        <v>9989978255</v>
      </c>
      <c r="BB22" s="2">
        <v>9441822934</v>
      </c>
      <c r="BC22" s="3" t="s">
        <v>1792</v>
      </c>
      <c r="BD22" s="3" t="s">
        <v>1793</v>
      </c>
      <c r="BE22" s="2" t="s">
        <v>1381</v>
      </c>
      <c r="BF22" s="2" t="s">
        <v>677</v>
      </c>
    </row>
    <row r="23" spans="1:59" s="2" customFormat="1" ht="80.099999999999994" customHeight="1" x14ac:dyDescent="0.25">
      <c r="A23" s="2">
        <v>21</v>
      </c>
      <c r="B23" s="2">
        <v>340</v>
      </c>
      <c r="C23" s="2" t="s">
        <v>4443</v>
      </c>
      <c r="D23" s="2" t="s">
        <v>345</v>
      </c>
      <c r="F23" s="7" t="s">
        <v>1835</v>
      </c>
      <c r="G23" s="2" t="s">
        <v>38</v>
      </c>
      <c r="H23" s="2" t="s">
        <v>92</v>
      </c>
      <c r="I23" s="2" t="s">
        <v>68</v>
      </c>
      <c r="J23" s="2" t="s">
        <v>36</v>
      </c>
      <c r="K23" s="2" t="s">
        <v>1836</v>
      </c>
      <c r="L23" s="2" t="s">
        <v>82</v>
      </c>
      <c r="M23" s="2" t="s">
        <v>1837</v>
      </c>
      <c r="N23" s="2" t="s">
        <v>95</v>
      </c>
      <c r="O23" s="2" t="s">
        <v>61</v>
      </c>
      <c r="Q23" s="2" t="s">
        <v>63</v>
      </c>
      <c r="R23" s="2">
        <v>390951</v>
      </c>
      <c r="S23" s="2">
        <v>2018</v>
      </c>
      <c r="T23" s="2" t="s">
        <v>64</v>
      </c>
      <c r="U23" s="2" t="s">
        <v>65</v>
      </c>
      <c r="V23" s="2" t="s">
        <v>37</v>
      </c>
      <c r="W23" s="2" t="s">
        <v>37</v>
      </c>
      <c r="X23" s="2" t="s">
        <v>37</v>
      </c>
      <c r="Y23" s="2">
        <v>473</v>
      </c>
      <c r="Z23" s="2">
        <v>600</v>
      </c>
      <c r="AA23" s="2">
        <f t="shared" si="0"/>
        <v>78.833333333333329</v>
      </c>
      <c r="AB23" s="2">
        <f>90+60+88</f>
        <v>238</v>
      </c>
      <c r="AC23" s="2">
        <v>300</v>
      </c>
      <c r="AD23" s="2">
        <f t="shared" si="1"/>
        <v>79.333333333333329</v>
      </c>
      <c r="AE23" s="2" t="s">
        <v>1838</v>
      </c>
      <c r="AF23" s="2" t="s">
        <v>1023</v>
      </c>
      <c r="AG23" s="2" t="s">
        <v>1832</v>
      </c>
      <c r="AH23" s="2">
        <v>10000</v>
      </c>
      <c r="AI23" s="2">
        <v>210000</v>
      </c>
      <c r="AJ23" s="2">
        <v>27500</v>
      </c>
      <c r="AK23" s="2">
        <f t="shared" si="2"/>
        <v>247500</v>
      </c>
      <c r="AL23" s="2" t="s">
        <v>1839</v>
      </c>
      <c r="AM23" s="2" t="s">
        <v>78</v>
      </c>
      <c r="AN23" s="2" t="s">
        <v>1840</v>
      </c>
      <c r="AO23" s="2" t="s">
        <v>1841</v>
      </c>
      <c r="AP23" s="2">
        <v>1500000</v>
      </c>
      <c r="AQ23" s="2" t="s">
        <v>1842</v>
      </c>
      <c r="AR23" s="4" t="s">
        <v>1843</v>
      </c>
      <c r="AS23" s="2" t="s">
        <v>1844</v>
      </c>
      <c r="AT23" s="2" t="s">
        <v>1845</v>
      </c>
      <c r="AU23" s="2" t="s">
        <v>95</v>
      </c>
      <c r="AV23" s="2" t="s">
        <v>65</v>
      </c>
      <c r="AW23" s="2">
        <v>560062</v>
      </c>
      <c r="AX23" s="2" t="s">
        <v>1844</v>
      </c>
      <c r="AY23" s="2" t="s">
        <v>1846</v>
      </c>
      <c r="AZ23" s="2">
        <v>7619637941</v>
      </c>
      <c r="BA23" s="2">
        <v>9740650667</v>
      </c>
      <c r="BC23" s="3" t="s">
        <v>1847</v>
      </c>
      <c r="BD23" s="3" t="s">
        <v>1848</v>
      </c>
      <c r="BE23" s="2" t="s">
        <v>1609</v>
      </c>
      <c r="BF23" s="2" t="s">
        <v>37</v>
      </c>
    </row>
    <row r="24" spans="1:59" s="2" customFormat="1" ht="80.099999999999994" customHeight="1" x14ac:dyDescent="0.25">
      <c r="A24" s="2">
        <v>22</v>
      </c>
      <c r="B24" s="6">
        <v>347</v>
      </c>
      <c r="C24" s="2" t="s">
        <v>4443</v>
      </c>
      <c r="D24" s="6" t="s">
        <v>345</v>
      </c>
      <c r="F24" s="8" t="s">
        <v>1864</v>
      </c>
      <c r="G24" s="6" t="s">
        <v>1505</v>
      </c>
      <c r="H24" s="6" t="s">
        <v>35</v>
      </c>
      <c r="I24" s="2" t="s">
        <v>68</v>
      </c>
      <c r="J24" s="2" t="s">
        <v>36</v>
      </c>
      <c r="K24" s="2" t="s">
        <v>1866</v>
      </c>
      <c r="L24" s="2" t="s">
        <v>82</v>
      </c>
      <c r="M24" s="2" t="s">
        <v>1867</v>
      </c>
      <c r="N24" s="2" t="s">
        <v>1868</v>
      </c>
      <c r="O24" s="2" t="s">
        <v>226</v>
      </c>
      <c r="P24" s="2" t="s">
        <v>73</v>
      </c>
      <c r="Q24" s="2" t="s">
        <v>63</v>
      </c>
      <c r="R24" s="2">
        <v>461612</v>
      </c>
      <c r="S24" s="2">
        <v>2018</v>
      </c>
      <c r="T24" s="2" t="s">
        <v>64</v>
      </c>
      <c r="U24" s="2" t="s">
        <v>65</v>
      </c>
      <c r="V24" s="2" t="s">
        <v>37</v>
      </c>
      <c r="W24" s="2" t="s">
        <v>37</v>
      </c>
      <c r="X24" s="2" t="s">
        <v>37</v>
      </c>
      <c r="Y24" s="2">
        <v>529</v>
      </c>
      <c r="Z24" s="2">
        <v>600</v>
      </c>
      <c r="AA24" s="2">
        <f t="shared" si="0"/>
        <v>88.166666666666671</v>
      </c>
      <c r="AB24" s="2">
        <f>88+89+96</f>
        <v>273</v>
      </c>
      <c r="AC24" s="2">
        <v>300</v>
      </c>
      <c r="AD24" s="2">
        <f t="shared" si="1"/>
        <v>91</v>
      </c>
      <c r="AE24" s="2" t="s">
        <v>1869</v>
      </c>
      <c r="AF24" s="2" t="s">
        <v>790</v>
      </c>
      <c r="AG24" s="2" t="s">
        <v>1832</v>
      </c>
      <c r="AH24" s="2">
        <v>10000</v>
      </c>
      <c r="AI24" s="2">
        <v>200000</v>
      </c>
      <c r="AJ24" s="2">
        <v>27500</v>
      </c>
      <c r="AK24" s="2">
        <f t="shared" si="2"/>
        <v>237500</v>
      </c>
      <c r="AL24" s="2" t="s">
        <v>1870</v>
      </c>
      <c r="AM24" s="2" t="s">
        <v>87</v>
      </c>
      <c r="AN24" s="2" t="s">
        <v>1871</v>
      </c>
      <c r="AO24" s="2" t="s">
        <v>79</v>
      </c>
      <c r="AP24" s="2">
        <v>800000</v>
      </c>
      <c r="AQ24" s="2" t="s">
        <v>1876</v>
      </c>
      <c r="AR24" s="4" t="s">
        <v>1872</v>
      </c>
      <c r="AS24" s="2" t="s">
        <v>1873</v>
      </c>
      <c r="AT24" s="2" t="s">
        <v>780</v>
      </c>
      <c r="AU24" s="2" t="s">
        <v>95</v>
      </c>
      <c r="AV24" s="2" t="s">
        <v>65</v>
      </c>
      <c r="AW24" s="2">
        <v>560096</v>
      </c>
      <c r="AX24" s="2" t="s">
        <v>1873</v>
      </c>
      <c r="AY24" s="2" t="s">
        <v>1874</v>
      </c>
      <c r="AZ24" s="2">
        <v>8792884719</v>
      </c>
      <c r="BA24" s="2">
        <v>9880443346</v>
      </c>
      <c r="BB24" s="2">
        <v>9845424992</v>
      </c>
      <c r="BD24" s="3" t="s">
        <v>1875</v>
      </c>
      <c r="BE24" s="2" t="s">
        <v>1609</v>
      </c>
    </row>
    <row r="25" spans="1:59" s="2" customFormat="1" ht="80.099999999999994" customHeight="1" x14ac:dyDescent="0.25">
      <c r="A25" s="2">
        <v>23</v>
      </c>
      <c r="B25" s="2">
        <v>352</v>
      </c>
      <c r="C25" s="2" t="s">
        <v>4443</v>
      </c>
      <c r="D25" s="15" t="s">
        <v>345</v>
      </c>
      <c r="F25" s="16" t="s">
        <v>1888</v>
      </c>
      <c r="G25" s="15" t="s">
        <v>38</v>
      </c>
      <c r="H25" s="15" t="s">
        <v>35</v>
      </c>
      <c r="I25" s="2" t="s">
        <v>68</v>
      </c>
      <c r="J25" s="2" t="s">
        <v>36</v>
      </c>
      <c r="K25" s="2" t="s">
        <v>248</v>
      </c>
      <c r="L25" s="2" t="s">
        <v>70</v>
      </c>
      <c r="M25" s="2" t="s">
        <v>1889</v>
      </c>
      <c r="N25" s="2" t="s">
        <v>169</v>
      </c>
      <c r="O25" s="2" t="s">
        <v>83</v>
      </c>
      <c r="P25" s="2" t="s">
        <v>85</v>
      </c>
      <c r="Q25" s="2" t="s">
        <v>74</v>
      </c>
      <c r="R25" s="2">
        <v>1810213049</v>
      </c>
      <c r="S25" s="2">
        <v>2018</v>
      </c>
      <c r="T25" s="2" t="s">
        <v>89</v>
      </c>
      <c r="U25" s="2" t="s">
        <v>37</v>
      </c>
      <c r="V25" s="2" t="s">
        <v>215</v>
      </c>
      <c r="W25" s="2">
        <v>944</v>
      </c>
      <c r="X25" s="2">
        <f>W25/1000*100</f>
        <v>94.399999999999991</v>
      </c>
      <c r="Y25" s="2">
        <f>83+98+71+73+58+53+30+25</f>
        <v>491</v>
      </c>
      <c r="Z25" s="2">
        <v>530</v>
      </c>
      <c r="AA25" s="2">
        <f t="shared" si="0"/>
        <v>92.64150943396227</v>
      </c>
      <c r="AB25" s="2">
        <f>74+74+60+56+71+73+58+53+30+25</f>
        <v>574</v>
      </c>
      <c r="AC25" s="2">
        <v>600</v>
      </c>
      <c r="AD25" s="2">
        <f t="shared" si="1"/>
        <v>95.666666666666671</v>
      </c>
      <c r="AE25" s="2" t="s">
        <v>1890</v>
      </c>
      <c r="AF25" s="2" t="s">
        <v>790</v>
      </c>
      <c r="AG25" s="2" t="s">
        <v>1832</v>
      </c>
      <c r="AH25" s="2">
        <v>10000</v>
      </c>
      <c r="AI25" s="2">
        <v>210000</v>
      </c>
      <c r="AJ25" s="2">
        <v>27500</v>
      </c>
      <c r="AK25" s="2">
        <f t="shared" si="2"/>
        <v>247500</v>
      </c>
      <c r="AL25" s="2" t="s">
        <v>1891</v>
      </c>
      <c r="AM25" s="2" t="s">
        <v>99</v>
      </c>
      <c r="AN25" s="2" t="s">
        <v>1892</v>
      </c>
      <c r="AO25" s="2" t="s">
        <v>99</v>
      </c>
      <c r="AP25" s="2">
        <v>1200000</v>
      </c>
      <c r="AQ25" s="2" t="s">
        <v>1893</v>
      </c>
      <c r="AR25" s="4" t="s">
        <v>1894</v>
      </c>
      <c r="AS25" s="2" t="s">
        <v>1895</v>
      </c>
      <c r="AT25" s="2" t="s">
        <v>1896</v>
      </c>
      <c r="AU25" s="2" t="s">
        <v>169</v>
      </c>
      <c r="AV25" s="2" t="s">
        <v>215</v>
      </c>
      <c r="AW25" s="2">
        <v>518003</v>
      </c>
      <c r="AX25" s="2" t="s">
        <v>1895</v>
      </c>
      <c r="AZ25" s="2">
        <v>8985723651</v>
      </c>
      <c r="BA25" s="2">
        <v>9441082618</v>
      </c>
      <c r="BB25" s="2">
        <v>9491202618</v>
      </c>
      <c r="BC25" s="3" t="s">
        <v>1897</v>
      </c>
      <c r="BD25" s="3" t="s">
        <v>1898</v>
      </c>
      <c r="BE25" s="2" t="s">
        <v>879</v>
      </c>
      <c r="BF25" s="2" t="s">
        <v>113</v>
      </c>
    </row>
    <row r="26" spans="1:59" s="2" customFormat="1" ht="80.099999999999994" customHeight="1" x14ac:dyDescent="0.25">
      <c r="A26" s="2">
        <v>24</v>
      </c>
      <c r="B26" s="2">
        <v>354</v>
      </c>
      <c r="C26" s="2" t="s">
        <v>4443</v>
      </c>
      <c r="D26" s="6" t="s">
        <v>345</v>
      </c>
      <c r="F26" s="8" t="s">
        <v>1900</v>
      </c>
      <c r="G26" s="6" t="s">
        <v>91</v>
      </c>
      <c r="H26" s="6" t="s">
        <v>35</v>
      </c>
      <c r="I26" s="2" t="s">
        <v>68</v>
      </c>
      <c r="J26" s="2" t="s">
        <v>36</v>
      </c>
      <c r="K26" s="2" t="s">
        <v>1901</v>
      </c>
      <c r="L26" s="2" t="s">
        <v>82</v>
      </c>
      <c r="M26" s="2" t="s">
        <v>1902</v>
      </c>
      <c r="N26" s="2" t="s">
        <v>1903</v>
      </c>
      <c r="O26" s="2" t="s">
        <v>795</v>
      </c>
      <c r="P26" s="2" t="s">
        <v>431</v>
      </c>
      <c r="Q26" s="2" t="s">
        <v>74</v>
      </c>
      <c r="R26" s="2">
        <v>9108895</v>
      </c>
      <c r="S26" s="2">
        <v>2018</v>
      </c>
      <c r="T26" s="2" t="s">
        <v>616</v>
      </c>
      <c r="U26" s="2" t="s">
        <v>37</v>
      </c>
      <c r="V26" s="2" t="s">
        <v>1904</v>
      </c>
      <c r="W26" s="2" t="s">
        <v>37</v>
      </c>
      <c r="X26" s="2" t="s">
        <v>37</v>
      </c>
      <c r="Y26" s="2">
        <f>80+93+83+75+80</f>
        <v>411</v>
      </c>
      <c r="Z26" s="2">
        <v>500</v>
      </c>
      <c r="AA26" s="2">
        <f t="shared" si="0"/>
        <v>82.199999999999989</v>
      </c>
      <c r="AB26" s="2">
        <f>93+83+75</f>
        <v>251</v>
      </c>
      <c r="AC26" s="2">
        <v>300</v>
      </c>
      <c r="AD26" s="2">
        <f t="shared" si="1"/>
        <v>83.666666666666671</v>
      </c>
      <c r="AE26" s="2" t="s">
        <v>1905</v>
      </c>
      <c r="AF26" s="2" t="s">
        <v>1832</v>
      </c>
      <c r="AG26" s="2" t="s">
        <v>1832</v>
      </c>
      <c r="AH26" s="2">
        <v>10000</v>
      </c>
      <c r="AI26" s="2">
        <v>200000</v>
      </c>
      <c r="AJ26" s="2">
        <v>27500</v>
      </c>
      <c r="AK26" s="2">
        <f t="shared" si="2"/>
        <v>237500</v>
      </c>
      <c r="AL26" s="2" t="s">
        <v>1906</v>
      </c>
      <c r="AM26" s="2" t="s">
        <v>986</v>
      </c>
      <c r="AN26" s="2" t="s">
        <v>1907</v>
      </c>
      <c r="AO26" s="2" t="s">
        <v>37</v>
      </c>
      <c r="AP26" s="2">
        <v>300000</v>
      </c>
      <c r="AQ26" s="2" t="s">
        <v>1908</v>
      </c>
      <c r="AR26" s="4" t="s">
        <v>1909</v>
      </c>
      <c r="AS26" s="2" t="s">
        <v>1914</v>
      </c>
      <c r="AT26" s="2" t="s">
        <v>1911</v>
      </c>
      <c r="AU26" s="2" t="s">
        <v>1903</v>
      </c>
      <c r="AV26" s="2" t="s">
        <v>794</v>
      </c>
      <c r="AW26" s="2">
        <v>686636</v>
      </c>
      <c r="AX26" s="2" t="s">
        <v>1910</v>
      </c>
      <c r="AZ26" s="2">
        <v>9496397323</v>
      </c>
      <c r="BB26" s="2">
        <v>96892131500</v>
      </c>
      <c r="BC26" s="3" t="s">
        <v>1912</v>
      </c>
      <c r="BD26" s="3" t="s">
        <v>1913</v>
      </c>
      <c r="BE26" s="2" t="s">
        <v>1862</v>
      </c>
      <c r="BF26" s="2" t="s">
        <v>37</v>
      </c>
    </row>
    <row r="27" spans="1:59" s="2" customFormat="1" ht="80.099999999999994" customHeight="1" x14ac:dyDescent="0.25">
      <c r="A27" s="2">
        <v>25</v>
      </c>
      <c r="B27" s="2">
        <v>376</v>
      </c>
      <c r="C27" s="2" t="s">
        <v>4443</v>
      </c>
      <c r="D27" s="2" t="s">
        <v>345</v>
      </c>
      <c r="F27" s="7" t="s">
        <v>2031</v>
      </c>
      <c r="G27" s="2" t="s">
        <v>38</v>
      </c>
      <c r="H27" s="2" t="s">
        <v>92</v>
      </c>
      <c r="I27" s="2" t="s">
        <v>68</v>
      </c>
      <c r="J27" s="2" t="s">
        <v>36</v>
      </c>
      <c r="K27" s="2" t="s">
        <v>2032</v>
      </c>
      <c r="L27" s="2" t="s">
        <v>116</v>
      </c>
      <c r="M27" s="2" t="s">
        <v>2033</v>
      </c>
      <c r="N27" s="2" t="s">
        <v>95</v>
      </c>
      <c r="O27" s="2" t="s">
        <v>61</v>
      </c>
      <c r="P27" s="2" t="s">
        <v>73</v>
      </c>
      <c r="Q27" s="2" t="s">
        <v>63</v>
      </c>
      <c r="R27" s="2">
        <v>366285</v>
      </c>
      <c r="S27" s="2">
        <v>2016</v>
      </c>
      <c r="T27" s="2" t="s">
        <v>64</v>
      </c>
      <c r="U27" s="2" t="s">
        <v>65</v>
      </c>
      <c r="V27" s="2" t="s">
        <v>37</v>
      </c>
      <c r="W27" s="2" t="s">
        <v>37</v>
      </c>
      <c r="X27" s="2" t="s">
        <v>37</v>
      </c>
      <c r="Y27" s="2">
        <v>385</v>
      </c>
      <c r="Z27" s="2">
        <v>600</v>
      </c>
      <c r="AA27" s="2">
        <f t="shared" si="0"/>
        <v>64.166666666666671</v>
      </c>
      <c r="AB27" s="2">
        <f>50+64+51</f>
        <v>165</v>
      </c>
      <c r="AC27" s="2">
        <v>300</v>
      </c>
      <c r="AD27" s="2">
        <f t="shared" si="1"/>
        <v>55.000000000000007</v>
      </c>
      <c r="AE27" s="2" t="s">
        <v>2034</v>
      </c>
      <c r="AF27" s="2" t="s">
        <v>1349</v>
      </c>
      <c r="AG27" s="2" t="s">
        <v>2030</v>
      </c>
      <c r="AH27" s="2">
        <v>10000</v>
      </c>
      <c r="AI27" s="2">
        <v>210000</v>
      </c>
      <c r="AJ27" s="2">
        <v>27500</v>
      </c>
      <c r="AK27" s="2">
        <f t="shared" si="2"/>
        <v>247500</v>
      </c>
      <c r="AL27" s="2" t="s">
        <v>2035</v>
      </c>
      <c r="AM27" s="2" t="s">
        <v>99</v>
      </c>
      <c r="AN27" s="2" t="s">
        <v>2036</v>
      </c>
      <c r="AO27" s="2" t="s">
        <v>2037</v>
      </c>
      <c r="AP27" s="2">
        <v>24000</v>
      </c>
      <c r="AQ27" s="2" t="s">
        <v>2038</v>
      </c>
      <c r="AR27" s="4" t="s">
        <v>2039</v>
      </c>
      <c r="AS27" s="2" t="s">
        <v>2040</v>
      </c>
      <c r="AT27" s="2" t="s">
        <v>2041</v>
      </c>
      <c r="AU27" s="2" t="s">
        <v>2042</v>
      </c>
      <c r="AV27" s="2" t="s">
        <v>65</v>
      </c>
      <c r="AW27" s="2">
        <v>560068</v>
      </c>
      <c r="AX27" s="2" t="s">
        <v>2040</v>
      </c>
      <c r="AZ27" s="2">
        <v>7019574306</v>
      </c>
      <c r="BA27" s="2">
        <v>9844375725</v>
      </c>
      <c r="BB27" s="2">
        <v>7259244659</v>
      </c>
      <c r="BD27" s="3" t="s">
        <v>2043</v>
      </c>
      <c r="BE27" s="2" t="s">
        <v>4207</v>
      </c>
      <c r="BG27" s="2" t="s">
        <v>4206</v>
      </c>
    </row>
    <row r="28" spans="1:59" s="2" customFormat="1" ht="80.099999999999994" customHeight="1" x14ac:dyDescent="0.25">
      <c r="A28" s="2">
        <v>26</v>
      </c>
      <c r="B28" s="2">
        <v>396</v>
      </c>
      <c r="C28" s="2" t="s">
        <v>4443</v>
      </c>
      <c r="D28" s="2" t="s">
        <v>345</v>
      </c>
      <c r="F28" s="7" t="s">
        <v>2077</v>
      </c>
      <c r="G28" s="2" t="s">
        <v>38</v>
      </c>
      <c r="H28" s="2" t="s">
        <v>35</v>
      </c>
      <c r="I28" s="2" t="s">
        <v>68</v>
      </c>
      <c r="J28" s="2" t="s">
        <v>36</v>
      </c>
      <c r="K28" s="2" t="s">
        <v>2087</v>
      </c>
      <c r="L28" s="2" t="s">
        <v>82</v>
      </c>
      <c r="M28" s="2" t="s">
        <v>2088</v>
      </c>
      <c r="N28" s="2" t="s">
        <v>2089</v>
      </c>
      <c r="O28" s="2" t="s">
        <v>72</v>
      </c>
      <c r="P28" s="2" t="s">
        <v>85</v>
      </c>
      <c r="Q28" s="2" t="s">
        <v>185</v>
      </c>
      <c r="R28" s="2">
        <v>7613890</v>
      </c>
      <c r="S28" s="2">
        <v>2018</v>
      </c>
      <c r="T28" s="2" t="s">
        <v>616</v>
      </c>
      <c r="U28" s="2" t="s">
        <v>37</v>
      </c>
      <c r="V28" s="2" t="s">
        <v>188</v>
      </c>
      <c r="W28" s="2" t="s">
        <v>37</v>
      </c>
      <c r="X28" s="2" t="s">
        <v>37</v>
      </c>
      <c r="Y28" s="2">
        <f>66+45+56+53+79+81</f>
        <v>380</v>
      </c>
      <c r="Z28" s="2">
        <v>600</v>
      </c>
      <c r="AA28" s="2">
        <f t="shared" si="0"/>
        <v>63.333333333333329</v>
      </c>
      <c r="AB28" s="2">
        <f>45+56+53</f>
        <v>154</v>
      </c>
      <c r="AC28" s="2">
        <v>300</v>
      </c>
      <c r="AD28" s="2">
        <f t="shared" si="1"/>
        <v>51.333333333333329</v>
      </c>
      <c r="AE28" s="2" t="s">
        <v>1400</v>
      </c>
      <c r="AF28" s="2" t="s">
        <v>2073</v>
      </c>
      <c r="AG28" s="2" t="s">
        <v>2073</v>
      </c>
      <c r="AH28" s="2">
        <v>10000</v>
      </c>
      <c r="AI28" s="2">
        <v>210000</v>
      </c>
      <c r="AJ28" s="2">
        <v>27500</v>
      </c>
      <c r="AK28" s="2">
        <f t="shared" si="2"/>
        <v>247500</v>
      </c>
      <c r="AL28" s="2" t="s">
        <v>2090</v>
      </c>
      <c r="AM28" s="2" t="s">
        <v>78</v>
      </c>
      <c r="AN28" s="2" t="s">
        <v>2091</v>
      </c>
      <c r="AO28" s="2" t="s">
        <v>79</v>
      </c>
      <c r="AP28" s="2">
        <v>300000</v>
      </c>
      <c r="AQ28" s="2" t="s">
        <v>2092</v>
      </c>
      <c r="AR28" s="4" t="s">
        <v>2093</v>
      </c>
      <c r="AS28" s="2" t="s">
        <v>2094</v>
      </c>
      <c r="AT28" s="2" t="s">
        <v>2095</v>
      </c>
      <c r="AU28" s="2" t="s">
        <v>2089</v>
      </c>
      <c r="AV28" s="2" t="s">
        <v>188</v>
      </c>
      <c r="AW28" s="2">
        <v>841428</v>
      </c>
      <c r="AX28" s="2" t="s">
        <v>2094</v>
      </c>
      <c r="AY28" s="2" t="s">
        <v>37</v>
      </c>
      <c r="AZ28" s="2">
        <v>9852665666</v>
      </c>
      <c r="BA28" s="2">
        <v>9852636537</v>
      </c>
      <c r="BB28" s="2">
        <v>9852982439</v>
      </c>
      <c r="BC28" s="3" t="s">
        <v>2096</v>
      </c>
      <c r="BD28" s="3" t="s">
        <v>2097</v>
      </c>
      <c r="BE28" s="2" t="s">
        <v>4105</v>
      </c>
    </row>
    <row r="29" spans="1:59" s="19" customFormat="1" ht="80.099999999999994" customHeight="1" x14ac:dyDescent="0.25">
      <c r="A29" s="2">
        <v>27</v>
      </c>
      <c r="B29" s="2">
        <v>408</v>
      </c>
      <c r="C29" s="2" t="s">
        <v>4443</v>
      </c>
      <c r="D29" s="2" t="s">
        <v>345</v>
      </c>
      <c r="E29" s="2"/>
      <c r="F29" s="7" t="s">
        <v>2113</v>
      </c>
      <c r="G29" s="2" t="s">
        <v>38</v>
      </c>
      <c r="H29" s="2" t="s">
        <v>35</v>
      </c>
      <c r="I29" s="2" t="s">
        <v>68</v>
      </c>
      <c r="J29" s="2" t="s">
        <v>36</v>
      </c>
      <c r="K29" s="2" t="s">
        <v>1046</v>
      </c>
      <c r="L29" s="2" t="s">
        <v>82</v>
      </c>
      <c r="M29" s="2" t="s">
        <v>2114</v>
      </c>
      <c r="N29" s="2" t="s">
        <v>256</v>
      </c>
      <c r="O29" s="2" t="s">
        <v>83</v>
      </c>
      <c r="P29" s="2" t="s">
        <v>85</v>
      </c>
      <c r="Q29" s="2" t="s">
        <v>185</v>
      </c>
      <c r="R29" s="2">
        <v>4611261</v>
      </c>
      <c r="S29" s="2">
        <v>2018</v>
      </c>
      <c r="T29" s="2" t="s">
        <v>616</v>
      </c>
      <c r="U29" s="2" t="s">
        <v>37</v>
      </c>
      <c r="V29" s="2" t="s">
        <v>152</v>
      </c>
      <c r="W29" s="2" t="s">
        <v>37</v>
      </c>
      <c r="X29" s="2" t="s">
        <v>37</v>
      </c>
      <c r="Y29" s="2">
        <f>45+34+73+67+80</f>
        <v>299</v>
      </c>
      <c r="Z29" s="2">
        <v>500</v>
      </c>
      <c r="AA29" s="2">
        <f t="shared" si="0"/>
        <v>59.8</v>
      </c>
      <c r="AB29" s="2">
        <f>34+73+67</f>
        <v>174</v>
      </c>
      <c r="AC29" s="2">
        <v>300</v>
      </c>
      <c r="AD29" s="2">
        <f t="shared" si="1"/>
        <v>57.999999999999993</v>
      </c>
      <c r="AE29" s="2" t="s">
        <v>2115</v>
      </c>
      <c r="AF29" s="2" t="s">
        <v>1023</v>
      </c>
      <c r="AG29" s="2" t="s">
        <v>2103</v>
      </c>
      <c r="AH29" s="2">
        <v>10000</v>
      </c>
      <c r="AI29" s="2">
        <v>210000</v>
      </c>
      <c r="AJ29" s="2">
        <v>27500</v>
      </c>
      <c r="AK29" s="2">
        <f t="shared" si="2"/>
        <v>247500</v>
      </c>
      <c r="AL29" s="2" t="s">
        <v>2116</v>
      </c>
      <c r="AM29" s="2" t="s">
        <v>78</v>
      </c>
      <c r="AN29" s="2" t="s">
        <v>2123</v>
      </c>
      <c r="AO29" s="2" t="s">
        <v>139</v>
      </c>
      <c r="AP29" s="2">
        <v>250000</v>
      </c>
      <c r="AQ29" s="2" t="s">
        <v>2117</v>
      </c>
      <c r="AR29" s="4" t="s">
        <v>2118</v>
      </c>
      <c r="AS29" s="2" t="s">
        <v>2119</v>
      </c>
      <c r="AT29" s="2" t="s">
        <v>2120</v>
      </c>
      <c r="AU29" s="2" t="s">
        <v>256</v>
      </c>
      <c r="AV29" s="2" t="s">
        <v>215</v>
      </c>
      <c r="AW29" s="2">
        <v>522614</v>
      </c>
      <c r="AX29" s="2" t="s">
        <v>2119</v>
      </c>
      <c r="AY29" s="2" t="s">
        <v>2121</v>
      </c>
      <c r="AZ29" s="2">
        <v>9985018647</v>
      </c>
      <c r="BA29" s="2">
        <v>7799626514</v>
      </c>
      <c r="BB29" s="2">
        <v>9440534635</v>
      </c>
      <c r="BC29" s="3" t="s">
        <v>2124</v>
      </c>
      <c r="BD29" s="3" t="s">
        <v>2122</v>
      </c>
      <c r="BE29" s="2" t="s">
        <v>3096</v>
      </c>
      <c r="BF29" s="2"/>
      <c r="BG29" s="2"/>
    </row>
    <row r="30" spans="1:59" s="2" customFormat="1" ht="80.099999999999994" customHeight="1" x14ac:dyDescent="0.25">
      <c r="A30" s="2">
        <v>28</v>
      </c>
      <c r="B30" s="2">
        <v>424</v>
      </c>
      <c r="C30" s="2" t="s">
        <v>4443</v>
      </c>
      <c r="D30" s="2" t="s">
        <v>345</v>
      </c>
      <c r="F30" s="7" t="s">
        <v>2172</v>
      </c>
      <c r="G30" s="2" t="s">
        <v>38</v>
      </c>
      <c r="H30" s="2" t="s">
        <v>35</v>
      </c>
      <c r="I30" s="2" t="s">
        <v>68</v>
      </c>
      <c r="J30" s="2" t="s">
        <v>36</v>
      </c>
      <c r="K30" s="2" t="s">
        <v>2185</v>
      </c>
      <c r="L30" s="2" t="s">
        <v>82</v>
      </c>
      <c r="M30" s="2" t="s">
        <v>322</v>
      </c>
      <c r="N30" s="2" t="s">
        <v>2186</v>
      </c>
      <c r="O30" s="2" t="s">
        <v>72</v>
      </c>
      <c r="P30" s="2" t="s">
        <v>73</v>
      </c>
      <c r="Q30" s="2" t="s">
        <v>185</v>
      </c>
      <c r="R30" s="2">
        <v>7646093</v>
      </c>
      <c r="S30" s="2">
        <v>2018</v>
      </c>
      <c r="T30" s="2" t="s">
        <v>616</v>
      </c>
      <c r="U30" s="2" t="s">
        <v>37</v>
      </c>
      <c r="V30" s="2" t="s">
        <v>1762</v>
      </c>
      <c r="W30" s="2" t="s">
        <v>37</v>
      </c>
      <c r="X30" s="2" t="s">
        <v>37</v>
      </c>
      <c r="Y30" s="2">
        <f>79+82+84+60+77</f>
        <v>382</v>
      </c>
      <c r="Z30" s="2">
        <v>500</v>
      </c>
      <c r="AA30" s="2">
        <f t="shared" si="0"/>
        <v>76.400000000000006</v>
      </c>
      <c r="AB30" s="2">
        <f>82+84+60</f>
        <v>226</v>
      </c>
      <c r="AC30" s="2">
        <v>300</v>
      </c>
      <c r="AD30" s="2">
        <f t="shared" si="1"/>
        <v>75.333333333333329</v>
      </c>
      <c r="AE30" s="2" t="s">
        <v>1534</v>
      </c>
      <c r="AF30" s="2" t="s">
        <v>2160</v>
      </c>
      <c r="AG30" s="2" t="s">
        <v>2160</v>
      </c>
      <c r="AH30" s="2">
        <v>10000</v>
      </c>
      <c r="AI30" s="2">
        <v>210000</v>
      </c>
      <c r="AJ30" s="2">
        <v>27500</v>
      </c>
      <c r="AK30" s="2">
        <f t="shared" si="2"/>
        <v>247500</v>
      </c>
      <c r="AL30" s="2" t="s">
        <v>2187</v>
      </c>
      <c r="AM30" s="2" t="s">
        <v>78</v>
      </c>
      <c r="AN30" s="2" t="s">
        <v>2188</v>
      </c>
      <c r="AO30" s="2" t="s">
        <v>99</v>
      </c>
      <c r="AP30" s="2">
        <v>758000</v>
      </c>
      <c r="AQ30" s="2" t="s">
        <v>2189</v>
      </c>
      <c r="AR30" s="4" t="s">
        <v>2190</v>
      </c>
      <c r="AS30" s="2" t="s">
        <v>2191</v>
      </c>
      <c r="AT30" s="2" t="s">
        <v>2192</v>
      </c>
      <c r="AU30" s="2" t="s">
        <v>2186</v>
      </c>
      <c r="AV30" s="2" t="s">
        <v>1762</v>
      </c>
      <c r="AW30" s="2">
        <v>814133</v>
      </c>
      <c r="AX30" s="2" t="s">
        <v>2191</v>
      </c>
      <c r="AZ30" s="2">
        <v>7091100841</v>
      </c>
      <c r="BA30" s="2">
        <v>9801646800</v>
      </c>
      <c r="BB30" s="2">
        <v>7050573031</v>
      </c>
      <c r="BC30" s="3" t="s">
        <v>2193</v>
      </c>
      <c r="BE30" s="2" t="s">
        <v>2502</v>
      </c>
    </row>
    <row r="31" spans="1:59" s="2" customFormat="1" ht="80.099999999999994" customHeight="1" x14ac:dyDescent="0.25">
      <c r="A31" s="2">
        <v>29</v>
      </c>
      <c r="B31" s="2">
        <v>427</v>
      </c>
      <c r="C31" s="2" t="s">
        <v>4443</v>
      </c>
      <c r="D31" s="2" t="s">
        <v>345</v>
      </c>
      <c r="F31" s="7" t="s">
        <v>2204</v>
      </c>
      <c r="G31" s="2" t="s">
        <v>38</v>
      </c>
      <c r="H31" s="2" t="s">
        <v>35</v>
      </c>
      <c r="I31" s="2" t="s">
        <v>68</v>
      </c>
      <c r="J31" s="2" t="s">
        <v>36</v>
      </c>
      <c r="K31" s="2" t="s">
        <v>469</v>
      </c>
      <c r="L31" s="2" t="s">
        <v>82</v>
      </c>
      <c r="M31" s="2" t="s">
        <v>1371</v>
      </c>
      <c r="N31" s="2" t="s">
        <v>1111</v>
      </c>
      <c r="O31" s="2" t="s">
        <v>83</v>
      </c>
      <c r="Q31" s="2" t="s">
        <v>185</v>
      </c>
      <c r="R31" s="2">
        <v>1805212380</v>
      </c>
      <c r="S31" s="2">
        <v>2018</v>
      </c>
      <c r="T31" s="2" t="s">
        <v>89</v>
      </c>
      <c r="U31" s="2" t="s">
        <v>37</v>
      </c>
      <c r="V31" s="2" t="s">
        <v>215</v>
      </c>
      <c r="W31" s="2">
        <v>734</v>
      </c>
      <c r="X31" s="2">
        <f>W31/1000*100</f>
        <v>73.400000000000006</v>
      </c>
      <c r="Y31" s="2">
        <f>94+84+58+59+50+39+25+26</f>
        <v>435</v>
      </c>
      <c r="Z31" s="2">
        <v>530</v>
      </c>
      <c r="AA31" s="2">
        <f t="shared" si="0"/>
        <v>82.075471698113205</v>
      </c>
      <c r="AB31" s="2">
        <f>51+55+43+33+58+59+50+39+25+26</f>
        <v>439</v>
      </c>
      <c r="AC31" s="2">
        <v>600</v>
      </c>
      <c r="AD31" s="2">
        <f t="shared" si="1"/>
        <v>73.166666666666671</v>
      </c>
      <c r="AE31" s="2" t="s">
        <v>2205</v>
      </c>
      <c r="AF31" s="2" t="s">
        <v>2160</v>
      </c>
      <c r="AG31" s="2" t="s">
        <v>2160</v>
      </c>
      <c r="AL31" s="2" t="s">
        <v>2206</v>
      </c>
      <c r="AM31" s="2" t="s">
        <v>78</v>
      </c>
      <c r="AN31" s="2" t="s">
        <v>2207</v>
      </c>
      <c r="AO31" s="2" t="s">
        <v>139</v>
      </c>
      <c r="AP31" s="2">
        <v>50000</v>
      </c>
      <c r="AQ31" s="2" t="s">
        <v>2208</v>
      </c>
      <c r="AR31" s="4" t="s">
        <v>2209</v>
      </c>
      <c r="AS31" s="2" t="s">
        <v>2210</v>
      </c>
      <c r="AT31" s="2" t="s">
        <v>1111</v>
      </c>
      <c r="AU31" s="2" t="s">
        <v>84</v>
      </c>
      <c r="AV31" s="2" t="s">
        <v>215</v>
      </c>
      <c r="AW31" s="2">
        <v>515411</v>
      </c>
      <c r="AX31" s="2" t="s">
        <v>2211</v>
      </c>
      <c r="AY31" s="2" t="s">
        <v>37</v>
      </c>
      <c r="AZ31" s="2">
        <v>9640905304</v>
      </c>
      <c r="BA31" s="2">
        <v>9701704926</v>
      </c>
      <c r="BB31" s="2">
        <v>9000961418</v>
      </c>
      <c r="BC31" s="3" t="s">
        <v>2212</v>
      </c>
      <c r="BD31" s="3" t="s">
        <v>2213</v>
      </c>
      <c r="BE31" s="2" t="s">
        <v>2150</v>
      </c>
      <c r="BF31" s="2" t="s">
        <v>4326</v>
      </c>
    </row>
    <row r="32" spans="1:59" s="2" customFormat="1" ht="80.099999999999994" customHeight="1" x14ac:dyDescent="0.25">
      <c r="A32" s="2">
        <v>30</v>
      </c>
      <c r="B32" s="2">
        <v>433</v>
      </c>
      <c r="C32" s="2" t="s">
        <v>4443</v>
      </c>
      <c r="D32" s="2" t="s">
        <v>345</v>
      </c>
      <c r="F32" s="7" t="s">
        <v>2236</v>
      </c>
      <c r="G32" s="2" t="s">
        <v>38</v>
      </c>
      <c r="H32" s="2" t="s">
        <v>92</v>
      </c>
      <c r="I32" s="2" t="s">
        <v>68</v>
      </c>
      <c r="J32" s="2" t="s">
        <v>36</v>
      </c>
      <c r="K32" s="2" t="s">
        <v>921</v>
      </c>
      <c r="L32" s="2" t="s">
        <v>136</v>
      </c>
      <c r="M32" s="2" t="s">
        <v>2237</v>
      </c>
      <c r="N32" s="2" t="s">
        <v>95</v>
      </c>
      <c r="O32" s="2" t="s">
        <v>123</v>
      </c>
      <c r="P32" s="2" t="s">
        <v>37</v>
      </c>
      <c r="Q32" s="2" t="s">
        <v>63</v>
      </c>
      <c r="R32" s="2">
        <v>495107</v>
      </c>
      <c r="S32" s="2">
        <v>2018</v>
      </c>
      <c r="T32" s="2" t="s">
        <v>64</v>
      </c>
      <c r="U32" s="2" t="s">
        <v>65</v>
      </c>
      <c r="V32" s="2" t="s">
        <v>37</v>
      </c>
      <c r="W32" s="2" t="s">
        <v>37</v>
      </c>
      <c r="X32" s="2" t="s">
        <v>37</v>
      </c>
      <c r="Y32" s="2">
        <v>519</v>
      </c>
      <c r="Z32" s="2">
        <v>600</v>
      </c>
      <c r="AA32" s="2">
        <f t="shared" si="0"/>
        <v>86.5</v>
      </c>
      <c r="AB32" s="2">
        <f>85+88+92</f>
        <v>265</v>
      </c>
      <c r="AC32" s="2">
        <v>300</v>
      </c>
      <c r="AD32" s="2">
        <f t="shared" si="1"/>
        <v>88.333333333333329</v>
      </c>
      <c r="AE32" s="2" t="s">
        <v>1238</v>
      </c>
      <c r="AF32" s="2" t="s">
        <v>1722</v>
      </c>
      <c r="AG32" s="2" t="s">
        <v>2214</v>
      </c>
      <c r="AH32" s="2">
        <v>10000</v>
      </c>
      <c r="AI32" s="2">
        <v>210000</v>
      </c>
      <c r="AJ32" s="2">
        <v>27500</v>
      </c>
      <c r="AK32" s="2">
        <f>AH32+AI32+AJ32</f>
        <v>247500</v>
      </c>
      <c r="AL32" s="2" t="s">
        <v>2238</v>
      </c>
      <c r="AM32" s="2" t="s">
        <v>78</v>
      </c>
      <c r="AN32" s="2" t="s">
        <v>2239</v>
      </c>
      <c r="AO32" s="2" t="s">
        <v>139</v>
      </c>
      <c r="AP32" s="2">
        <v>150000</v>
      </c>
      <c r="AQ32" s="2" t="s">
        <v>2240</v>
      </c>
      <c r="AR32" s="4" t="s">
        <v>2241</v>
      </c>
      <c r="AS32" s="2" t="s">
        <v>2242</v>
      </c>
      <c r="AT32" s="2" t="s">
        <v>2243</v>
      </c>
      <c r="AU32" s="2" t="s">
        <v>95</v>
      </c>
      <c r="AV32" s="2" t="s">
        <v>65</v>
      </c>
      <c r="AW32" s="2">
        <v>560043</v>
      </c>
      <c r="AX32" s="2" t="s">
        <v>2244</v>
      </c>
      <c r="AY32" s="2" t="s">
        <v>37</v>
      </c>
      <c r="AZ32" s="2">
        <v>9538821485</v>
      </c>
      <c r="BA32" s="2">
        <v>9886571535</v>
      </c>
      <c r="BB32" s="2">
        <v>8884341190</v>
      </c>
      <c r="BD32" s="3" t="s">
        <v>2245</v>
      </c>
      <c r="BE32" s="2" t="s">
        <v>1609</v>
      </c>
      <c r="BF32" s="2" t="s">
        <v>37</v>
      </c>
    </row>
    <row r="33" spans="1:59" s="2" customFormat="1" ht="80.099999999999994" customHeight="1" x14ac:dyDescent="0.25">
      <c r="A33" s="2">
        <v>31</v>
      </c>
      <c r="B33" s="2">
        <v>449</v>
      </c>
      <c r="C33" s="2" t="s">
        <v>4443</v>
      </c>
      <c r="D33" s="6" t="s">
        <v>345</v>
      </c>
      <c r="F33" s="8" t="s">
        <v>2277</v>
      </c>
      <c r="G33" s="6" t="s">
        <v>38</v>
      </c>
      <c r="H33" s="6" t="s">
        <v>92</v>
      </c>
      <c r="I33" s="2" t="s">
        <v>68</v>
      </c>
      <c r="J33" s="2" t="s">
        <v>36</v>
      </c>
      <c r="K33" s="2" t="s">
        <v>2278</v>
      </c>
      <c r="L33" s="2" t="s">
        <v>82</v>
      </c>
      <c r="M33" s="2" t="s">
        <v>2279</v>
      </c>
      <c r="N33" s="2" t="s">
        <v>225</v>
      </c>
      <c r="O33" s="2" t="s">
        <v>226</v>
      </c>
      <c r="P33" s="2" t="s">
        <v>85</v>
      </c>
      <c r="Q33" s="2" t="s">
        <v>185</v>
      </c>
      <c r="R33" s="2">
        <v>4801105</v>
      </c>
      <c r="S33" s="2">
        <v>2018</v>
      </c>
      <c r="T33" s="2" t="s">
        <v>616</v>
      </c>
      <c r="U33" s="2" t="s">
        <v>37</v>
      </c>
      <c r="V33" s="2" t="s">
        <v>794</v>
      </c>
      <c r="W33" s="2" t="s">
        <v>37</v>
      </c>
      <c r="X33" s="2" t="s">
        <v>37</v>
      </c>
      <c r="Y33" s="2">
        <f>95+79+76+66+90</f>
        <v>406</v>
      </c>
      <c r="Z33" s="2">
        <v>500</v>
      </c>
      <c r="AA33" s="2">
        <f t="shared" si="0"/>
        <v>81.2</v>
      </c>
      <c r="AB33" s="2">
        <f>79+76+66</f>
        <v>221</v>
      </c>
      <c r="AC33" s="2">
        <v>300</v>
      </c>
      <c r="AD33" s="2">
        <f t="shared" si="1"/>
        <v>73.666666666666671</v>
      </c>
      <c r="AE33" s="2" t="s">
        <v>2280</v>
      </c>
      <c r="AF33" s="2" t="s">
        <v>2214</v>
      </c>
      <c r="AG33" s="2" t="s">
        <v>2275</v>
      </c>
      <c r="AH33" s="2">
        <v>10000</v>
      </c>
      <c r="AI33" s="2">
        <v>210000</v>
      </c>
      <c r="AJ33" s="2">
        <v>27500</v>
      </c>
      <c r="AK33" s="2">
        <f>AH33+AI33+AJ33</f>
        <v>247500</v>
      </c>
      <c r="AL33" s="2" t="s">
        <v>2281</v>
      </c>
      <c r="AM33" s="2" t="s">
        <v>78</v>
      </c>
      <c r="AN33" s="2" t="s">
        <v>2282</v>
      </c>
      <c r="AO33" s="2" t="s">
        <v>139</v>
      </c>
      <c r="AP33" s="2">
        <v>600000</v>
      </c>
      <c r="AQ33" s="2" t="s">
        <v>2289</v>
      </c>
      <c r="AR33" s="4" t="s">
        <v>2283</v>
      </c>
      <c r="AS33" s="2" t="s">
        <v>2284</v>
      </c>
      <c r="AT33" s="2" t="s">
        <v>2285</v>
      </c>
      <c r="AU33" s="2" t="s">
        <v>2286</v>
      </c>
      <c r="AV33" s="2" t="s">
        <v>794</v>
      </c>
      <c r="AW33" s="2">
        <v>695002</v>
      </c>
      <c r="AX33" s="2" t="s">
        <v>2284</v>
      </c>
      <c r="AZ33" s="2">
        <v>9539172855</v>
      </c>
      <c r="BA33" s="2">
        <v>9745418279</v>
      </c>
      <c r="BB33" s="2">
        <v>9539036663</v>
      </c>
      <c r="BC33" s="3" t="s">
        <v>2287</v>
      </c>
      <c r="BD33" s="3" t="s">
        <v>2288</v>
      </c>
      <c r="BE33" s="2" t="s">
        <v>3096</v>
      </c>
    </row>
    <row r="34" spans="1:59" s="2" customFormat="1" ht="80.099999999999994" customHeight="1" x14ac:dyDescent="0.25">
      <c r="A34" s="2">
        <v>32</v>
      </c>
      <c r="B34" s="2">
        <v>274</v>
      </c>
      <c r="C34" s="2" t="s">
        <v>4443</v>
      </c>
      <c r="D34" s="2" t="s">
        <v>345</v>
      </c>
      <c r="F34" s="7" t="s">
        <v>2290</v>
      </c>
      <c r="G34" s="2" t="s">
        <v>38</v>
      </c>
      <c r="H34" s="2" t="s">
        <v>35</v>
      </c>
      <c r="I34" s="2" t="s">
        <v>68</v>
      </c>
      <c r="J34" s="2" t="s">
        <v>36</v>
      </c>
      <c r="K34" s="2" t="s">
        <v>520</v>
      </c>
      <c r="L34" s="2" t="s">
        <v>82</v>
      </c>
      <c r="M34" s="2" t="s">
        <v>2291</v>
      </c>
      <c r="N34" s="2" t="s">
        <v>2292</v>
      </c>
      <c r="O34" s="2" t="s">
        <v>83</v>
      </c>
      <c r="P34" s="2" t="s">
        <v>37</v>
      </c>
      <c r="Q34" s="2" t="s">
        <v>185</v>
      </c>
      <c r="R34" s="2">
        <v>1805239631</v>
      </c>
      <c r="S34" s="2">
        <v>2018</v>
      </c>
      <c r="T34" s="2" t="s">
        <v>89</v>
      </c>
      <c r="U34" s="2" t="s">
        <v>37</v>
      </c>
      <c r="V34" s="2" t="s">
        <v>215</v>
      </c>
      <c r="W34" s="2">
        <v>959</v>
      </c>
      <c r="X34" s="2">
        <f>W34/1000*100</f>
        <v>95.899999999999991</v>
      </c>
      <c r="Y34" s="2">
        <f>94+97+71+67+57+55+30+30</f>
        <v>501</v>
      </c>
      <c r="Z34" s="2">
        <v>530</v>
      </c>
      <c r="AA34" s="2">
        <f t="shared" ref="AA34:AA58" si="3">Y34/Z34*100</f>
        <v>94.528301886792448</v>
      </c>
      <c r="AB34" s="2">
        <f>75+74+60+59+71+67+57+55+30+30</f>
        <v>578</v>
      </c>
      <c r="AC34" s="2">
        <v>600</v>
      </c>
      <c r="AD34" s="2">
        <f t="shared" ref="AD34:AD58" si="4">AB34/AC34*100</f>
        <v>96.333333333333343</v>
      </c>
      <c r="AE34" s="2" t="s">
        <v>2300</v>
      </c>
      <c r="AF34" s="2" t="s">
        <v>1349</v>
      </c>
      <c r="AG34" s="2" t="s">
        <v>2275</v>
      </c>
      <c r="AH34" s="2">
        <v>10000</v>
      </c>
      <c r="AI34" s="2">
        <v>210000</v>
      </c>
      <c r="AJ34" s="2">
        <v>27500</v>
      </c>
      <c r="AK34" s="2">
        <f t="shared" ref="AK34:AK58" si="5">AH34+AI34+AJ34</f>
        <v>247500</v>
      </c>
      <c r="AL34" s="2" t="s">
        <v>2293</v>
      </c>
      <c r="AM34" s="2" t="s">
        <v>87</v>
      </c>
      <c r="AN34" s="2" t="s">
        <v>2294</v>
      </c>
      <c r="AO34" s="2" t="s">
        <v>67</v>
      </c>
      <c r="AP34" s="2" t="s">
        <v>1188</v>
      </c>
      <c r="AQ34" s="2" t="s">
        <v>2295</v>
      </c>
      <c r="AR34" s="4" t="s">
        <v>2296</v>
      </c>
      <c r="AS34" s="2" t="s">
        <v>2297</v>
      </c>
      <c r="AT34" s="2" t="s">
        <v>2298</v>
      </c>
      <c r="AU34" s="2" t="s">
        <v>274</v>
      </c>
      <c r="AV34" s="2" t="s">
        <v>215</v>
      </c>
      <c r="AW34" s="2">
        <v>521185</v>
      </c>
      <c r="AX34" s="2" t="s">
        <v>2297</v>
      </c>
      <c r="AZ34" s="2">
        <v>6303011859</v>
      </c>
      <c r="BA34" s="2">
        <v>9502885721</v>
      </c>
      <c r="BB34" s="2">
        <v>9550245001</v>
      </c>
      <c r="BD34" s="3" t="s">
        <v>2299</v>
      </c>
      <c r="BE34" s="2" t="s">
        <v>2150</v>
      </c>
      <c r="BF34" s="2" t="s">
        <v>144</v>
      </c>
    </row>
    <row r="35" spans="1:59" s="19" customFormat="1" ht="80.099999999999994" customHeight="1" x14ac:dyDescent="0.25">
      <c r="A35" s="2">
        <v>33</v>
      </c>
      <c r="B35" s="2">
        <v>473</v>
      </c>
      <c r="C35" s="2" t="s">
        <v>4443</v>
      </c>
      <c r="D35" s="6" t="s">
        <v>345</v>
      </c>
      <c r="E35" s="2"/>
      <c r="F35" s="8" t="s">
        <v>2400</v>
      </c>
      <c r="G35" s="6" t="s">
        <v>38</v>
      </c>
      <c r="H35" s="6" t="s">
        <v>92</v>
      </c>
      <c r="I35" s="2" t="s">
        <v>68</v>
      </c>
      <c r="J35" s="2" t="s">
        <v>36</v>
      </c>
      <c r="K35" s="2" t="s">
        <v>1029</v>
      </c>
      <c r="L35" s="2" t="s">
        <v>214</v>
      </c>
      <c r="M35" s="2" t="s">
        <v>2401</v>
      </c>
      <c r="N35" s="2" t="s">
        <v>95</v>
      </c>
      <c r="O35" s="2" t="s">
        <v>61</v>
      </c>
      <c r="P35" s="2" t="s">
        <v>73</v>
      </c>
      <c r="Q35" s="2" t="s">
        <v>63</v>
      </c>
      <c r="R35" s="2">
        <v>867671</v>
      </c>
      <c r="S35" s="2">
        <v>2018</v>
      </c>
      <c r="T35" s="2" t="s">
        <v>64</v>
      </c>
      <c r="U35" s="2" t="s">
        <v>65</v>
      </c>
      <c r="V35" s="2" t="s">
        <v>37</v>
      </c>
      <c r="W35" s="2" t="s">
        <v>37</v>
      </c>
      <c r="X35" s="2" t="s">
        <v>37</v>
      </c>
      <c r="Y35" s="2">
        <v>542</v>
      </c>
      <c r="Z35" s="2">
        <v>600</v>
      </c>
      <c r="AA35" s="2">
        <f t="shared" si="3"/>
        <v>90.333333333333329</v>
      </c>
      <c r="AB35" s="2">
        <f>91+88+88</f>
        <v>267</v>
      </c>
      <c r="AC35" s="2">
        <v>300</v>
      </c>
      <c r="AD35" s="2">
        <f t="shared" si="4"/>
        <v>89</v>
      </c>
      <c r="AE35" s="2" t="s">
        <v>2402</v>
      </c>
      <c r="AF35" s="2" t="s">
        <v>2160</v>
      </c>
      <c r="AG35" s="2" t="s">
        <v>2348</v>
      </c>
      <c r="AH35" s="2">
        <v>10000</v>
      </c>
      <c r="AI35" s="2">
        <v>210000</v>
      </c>
      <c r="AJ35" s="2">
        <v>27500</v>
      </c>
      <c r="AK35" s="2">
        <f t="shared" si="5"/>
        <v>247500</v>
      </c>
      <c r="AL35" s="2" t="s">
        <v>2403</v>
      </c>
      <c r="AM35" s="2" t="s">
        <v>208</v>
      </c>
      <c r="AN35" s="2" t="s">
        <v>2404</v>
      </c>
      <c r="AO35" s="2" t="s">
        <v>208</v>
      </c>
      <c r="AP35" s="2">
        <v>400000</v>
      </c>
      <c r="AQ35" s="2" t="s">
        <v>2405</v>
      </c>
      <c r="AR35" s="4" t="s">
        <v>2406</v>
      </c>
      <c r="AS35" s="2" t="s">
        <v>2407</v>
      </c>
      <c r="AT35" s="2" t="s">
        <v>2408</v>
      </c>
      <c r="AU35" s="2" t="s">
        <v>2409</v>
      </c>
      <c r="AV35" s="2" t="s">
        <v>95</v>
      </c>
      <c r="AW35" s="2">
        <v>562123</v>
      </c>
      <c r="AX35" s="2" t="s">
        <v>2407</v>
      </c>
      <c r="AY35" s="2"/>
      <c r="AZ35" s="2">
        <v>9035152243</v>
      </c>
      <c r="BA35" s="2">
        <v>9845181976</v>
      </c>
      <c r="BB35" s="2">
        <v>9035152243</v>
      </c>
      <c r="BC35" s="2"/>
      <c r="BD35" s="3" t="s">
        <v>2410</v>
      </c>
      <c r="BE35" s="2" t="s">
        <v>1939</v>
      </c>
      <c r="BF35" s="2" t="s">
        <v>37</v>
      </c>
      <c r="BG35" s="2"/>
    </row>
    <row r="36" spans="1:59" s="2" customFormat="1" ht="80.099999999999994" customHeight="1" x14ac:dyDescent="0.25">
      <c r="A36" s="2">
        <v>34</v>
      </c>
      <c r="B36" s="2">
        <v>486</v>
      </c>
      <c r="C36" s="2" t="s">
        <v>4443</v>
      </c>
      <c r="D36" s="11" t="s">
        <v>345</v>
      </c>
      <c r="F36" s="12" t="s">
        <v>2458</v>
      </c>
      <c r="G36" s="11" t="s">
        <v>38</v>
      </c>
      <c r="H36" s="11" t="s">
        <v>35</v>
      </c>
      <c r="I36" s="2" t="s">
        <v>68</v>
      </c>
      <c r="J36" s="2" t="s">
        <v>158</v>
      </c>
      <c r="K36" s="2" t="s">
        <v>159</v>
      </c>
      <c r="L36" s="2" t="s">
        <v>1386</v>
      </c>
      <c r="M36" s="2" t="s">
        <v>939</v>
      </c>
      <c r="N36" s="2" t="s">
        <v>95</v>
      </c>
      <c r="O36" s="2" t="s">
        <v>123</v>
      </c>
      <c r="P36" s="2" t="s">
        <v>85</v>
      </c>
      <c r="Q36" s="2" t="s">
        <v>63</v>
      </c>
      <c r="R36" s="2">
        <v>418998</v>
      </c>
      <c r="S36" s="2">
        <v>2018</v>
      </c>
      <c r="T36" s="2" t="s">
        <v>64</v>
      </c>
      <c r="U36" s="2" t="s">
        <v>65</v>
      </c>
      <c r="V36" s="2" t="s">
        <v>37</v>
      </c>
      <c r="W36" s="2" t="s">
        <v>37</v>
      </c>
      <c r="X36" s="2" t="s">
        <v>37</v>
      </c>
      <c r="Y36" s="2">
        <v>406</v>
      </c>
      <c r="Z36" s="2">
        <v>600</v>
      </c>
      <c r="AA36" s="2">
        <f t="shared" si="3"/>
        <v>67.666666666666657</v>
      </c>
      <c r="AB36" s="2">
        <f>68+61+38</f>
        <v>167</v>
      </c>
      <c r="AC36" s="2">
        <v>300</v>
      </c>
      <c r="AD36" s="2">
        <f t="shared" si="4"/>
        <v>55.666666666666664</v>
      </c>
      <c r="AE36" s="2" t="s">
        <v>2461</v>
      </c>
      <c r="AF36" s="2" t="s">
        <v>2446</v>
      </c>
      <c r="AG36" s="2" t="s">
        <v>2446</v>
      </c>
      <c r="AH36" s="2">
        <v>10000</v>
      </c>
      <c r="AI36" s="2">
        <v>210000</v>
      </c>
      <c r="AJ36" s="2">
        <v>27500</v>
      </c>
      <c r="AK36" s="2">
        <f t="shared" si="5"/>
        <v>247500</v>
      </c>
      <c r="AL36" s="2" t="s">
        <v>2462</v>
      </c>
      <c r="AM36" s="2" t="s">
        <v>78</v>
      </c>
      <c r="AN36" s="2" t="s">
        <v>2463</v>
      </c>
      <c r="AO36" s="2" t="s">
        <v>912</v>
      </c>
      <c r="AP36" s="2">
        <v>50000</v>
      </c>
      <c r="AQ36" s="2" t="s">
        <v>2464</v>
      </c>
      <c r="AR36" s="4" t="s">
        <v>2465</v>
      </c>
      <c r="AS36" s="2" t="s">
        <v>2466</v>
      </c>
      <c r="AT36" s="2" t="s">
        <v>2467</v>
      </c>
      <c r="AU36" s="2" t="s">
        <v>95</v>
      </c>
      <c r="AV36" s="2" t="s">
        <v>65</v>
      </c>
      <c r="AW36" s="2">
        <v>560062</v>
      </c>
      <c r="AX36" s="2" t="s">
        <v>2466</v>
      </c>
      <c r="AZ36" s="2">
        <v>9113528489</v>
      </c>
      <c r="BA36" s="2">
        <v>9845926060</v>
      </c>
      <c r="BB36" s="2">
        <v>6360812849</v>
      </c>
      <c r="BD36" s="3" t="s">
        <v>2468</v>
      </c>
      <c r="BE36" s="2" t="s">
        <v>1939</v>
      </c>
      <c r="BF36" s="2" t="s">
        <v>37</v>
      </c>
    </row>
    <row r="37" spans="1:59" s="38" customFormat="1" ht="80.099999999999994" customHeight="1" x14ac:dyDescent="0.25">
      <c r="A37" s="38">
        <v>35</v>
      </c>
      <c r="B37" s="38">
        <v>487</v>
      </c>
      <c r="C37" s="38" t="s">
        <v>4443</v>
      </c>
      <c r="D37" s="39" t="s">
        <v>345</v>
      </c>
      <c r="F37" s="40" t="s">
        <v>2459</v>
      </c>
      <c r="G37" s="39" t="s">
        <v>38</v>
      </c>
      <c r="H37" s="39" t="s">
        <v>35</v>
      </c>
      <c r="I37" s="38" t="s">
        <v>68</v>
      </c>
      <c r="J37" s="38" t="s">
        <v>158</v>
      </c>
      <c r="K37" s="38" t="s">
        <v>2469</v>
      </c>
      <c r="L37" s="38" t="s">
        <v>82</v>
      </c>
      <c r="M37" s="38" t="s">
        <v>2470</v>
      </c>
      <c r="N37" s="38" t="s">
        <v>684</v>
      </c>
      <c r="O37" s="38" t="s">
        <v>72</v>
      </c>
      <c r="P37" s="38" t="s">
        <v>62</v>
      </c>
      <c r="Q37" s="38" t="s">
        <v>185</v>
      </c>
      <c r="R37" s="38">
        <v>4644143</v>
      </c>
      <c r="S37" s="38">
        <v>2018</v>
      </c>
      <c r="T37" s="38" t="s">
        <v>616</v>
      </c>
      <c r="U37" s="38" t="s">
        <v>37</v>
      </c>
      <c r="V37" s="38" t="s">
        <v>215</v>
      </c>
      <c r="W37" s="38" t="s">
        <v>37</v>
      </c>
      <c r="X37" s="38" t="s">
        <v>37</v>
      </c>
      <c r="Y37" s="38">
        <f>77+78+91+87+85</f>
        <v>418</v>
      </c>
      <c r="Z37" s="38">
        <v>500</v>
      </c>
      <c r="AA37" s="38">
        <f t="shared" si="3"/>
        <v>83.6</v>
      </c>
      <c r="AB37" s="38">
        <f>78+91+87</f>
        <v>256</v>
      </c>
      <c r="AC37" s="38">
        <v>300</v>
      </c>
      <c r="AD37" s="38">
        <f t="shared" si="4"/>
        <v>85.333333333333343</v>
      </c>
      <c r="AE37" s="38" t="s">
        <v>2471</v>
      </c>
      <c r="AF37" s="38" t="s">
        <v>2348</v>
      </c>
      <c r="AG37" s="38" t="s">
        <v>2446</v>
      </c>
      <c r="AH37" s="38">
        <v>10000</v>
      </c>
      <c r="AI37" s="38">
        <v>210000</v>
      </c>
      <c r="AJ37" s="38">
        <v>27500</v>
      </c>
      <c r="AK37" s="38">
        <f t="shared" si="5"/>
        <v>247500</v>
      </c>
      <c r="AL37" s="38" t="s">
        <v>2472</v>
      </c>
      <c r="AM37" s="38" t="s">
        <v>78</v>
      </c>
      <c r="AN37" s="38" t="s">
        <v>2473</v>
      </c>
      <c r="AO37" s="38" t="s">
        <v>912</v>
      </c>
      <c r="AP37" s="38">
        <v>300000</v>
      </c>
      <c r="AQ37" s="38" t="s">
        <v>2474</v>
      </c>
      <c r="AR37" s="41" t="s">
        <v>2475</v>
      </c>
      <c r="AS37" s="38" t="s">
        <v>2476</v>
      </c>
      <c r="AT37" s="38" t="s">
        <v>2477</v>
      </c>
      <c r="AU37" s="38" t="s">
        <v>432</v>
      </c>
      <c r="AV37" s="38" t="s">
        <v>247</v>
      </c>
      <c r="AW37" s="38">
        <v>768203</v>
      </c>
      <c r="AX37" s="38" t="s">
        <v>2476</v>
      </c>
      <c r="AY37" s="38" t="s">
        <v>37</v>
      </c>
      <c r="AZ37" s="38">
        <v>7327001597</v>
      </c>
      <c r="BA37" s="38">
        <v>9090493803</v>
      </c>
      <c r="BB37" s="38">
        <v>9090038117</v>
      </c>
      <c r="BC37" s="42" t="s">
        <v>2478</v>
      </c>
      <c r="BD37" s="42" t="s">
        <v>2479</v>
      </c>
      <c r="BE37" s="38" t="s">
        <v>1939</v>
      </c>
      <c r="BF37" s="38" t="s">
        <v>230</v>
      </c>
    </row>
    <row r="38" spans="1:59" s="2" customFormat="1" ht="80.099999999999994" customHeight="1" x14ac:dyDescent="0.25">
      <c r="A38" s="2">
        <v>36</v>
      </c>
      <c r="B38" s="6">
        <v>495</v>
      </c>
      <c r="C38" s="2" t="s">
        <v>4443</v>
      </c>
      <c r="D38" s="6" t="s">
        <v>345</v>
      </c>
      <c r="F38" s="8" t="s">
        <v>2513</v>
      </c>
      <c r="G38" s="6" t="s">
        <v>91</v>
      </c>
      <c r="H38" s="6" t="s">
        <v>92</v>
      </c>
      <c r="I38" s="2" t="s">
        <v>68</v>
      </c>
      <c r="J38" s="2" t="s">
        <v>36</v>
      </c>
      <c r="K38" s="2" t="s">
        <v>2518</v>
      </c>
      <c r="L38" s="2" t="s">
        <v>70</v>
      </c>
      <c r="M38" s="2" t="s">
        <v>2519</v>
      </c>
      <c r="N38" s="2" t="s">
        <v>161</v>
      </c>
      <c r="O38" s="2" t="s">
        <v>83</v>
      </c>
      <c r="P38" s="2" t="s">
        <v>85</v>
      </c>
      <c r="Q38" s="2" t="s">
        <v>185</v>
      </c>
      <c r="R38" s="2">
        <v>4627572</v>
      </c>
      <c r="S38" s="2">
        <v>2018</v>
      </c>
      <c r="T38" s="2" t="s">
        <v>616</v>
      </c>
      <c r="U38" s="2" t="s">
        <v>65</v>
      </c>
      <c r="V38" s="2" t="s">
        <v>37</v>
      </c>
      <c r="W38" s="2" t="s">
        <v>37</v>
      </c>
      <c r="X38" s="2" t="s">
        <v>37</v>
      </c>
      <c r="Y38" s="2">
        <f>74+64+56+53+90</f>
        <v>337</v>
      </c>
      <c r="Z38" s="2">
        <v>500</v>
      </c>
      <c r="AA38" s="2">
        <f t="shared" si="3"/>
        <v>67.400000000000006</v>
      </c>
      <c r="AB38" s="2">
        <f>64+56+53</f>
        <v>173</v>
      </c>
      <c r="AC38" s="2">
        <v>300</v>
      </c>
      <c r="AD38" s="2">
        <f t="shared" si="4"/>
        <v>57.666666666666664</v>
      </c>
      <c r="AE38" s="2" t="s">
        <v>2520</v>
      </c>
      <c r="AF38" s="2" t="s">
        <v>2493</v>
      </c>
      <c r="AG38" s="2" t="s">
        <v>2493</v>
      </c>
      <c r="AH38" s="2">
        <v>10000</v>
      </c>
      <c r="AI38" s="2">
        <v>200000</v>
      </c>
      <c r="AJ38" s="2">
        <v>27500</v>
      </c>
      <c r="AK38" s="2">
        <f t="shared" si="5"/>
        <v>237500</v>
      </c>
      <c r="AL38" s="2" t="s">
        <v>2521</v>
      </c>
      <c r="AM38" s="2" t="s">
        <v>78</v>
      </c>
      <c r="AN38" s="2" t="s">
        <v>2522</v>
      </c>
      <c r="AO38" s="2" t="s">
        <v>187</v>
      </c>
      <c r="AP38" s="2">
        <v>2000000</v>
      </c>
      <c r="AQ38" s="2" t="s">
        <v>2523</v>
      </c>
      <c r="AR38" s="4" t="s">
        <v>2524</v>
      </c>
      <c r="AS38" s="2" t="s">
        <v>2525</v>
      </c>
      <c r="AT38" s="2" t="s">
        <v>2526</v>
      </c>
      <c r="AU38" s="2" t="s">
        <v>95</v>
      </c>
      <c r="AV38" s="2" t="s">
        <v>65</v>
      </c>
      <c r="AW38" s="2">
        <v>560013</v>
      </c>
      <c r="AX38" s="2" t="s">
        <v>2525</v>
      </c>
      <c r="AY38" s="2" t="s">
        <v>2527</v>
      </c>
      <c r="AZ38" s="2">
        <v>7795977982</v>
      </c>
      <c r="BA38" s="2">
        <v>9849725547</v>
      </c>
      <c r="BB38" s="2">
        <v>9845743547</v>
      </c>
      <c r="BC38" s="3" t="s">
        <v>2528</v>
      </c>
      <c r="BD38" s="3" t="s">
        <v>2529</v>
      </c>
      <c r="BE38" s="2" t="s">
        <v>3379</v>
      </c>
    </row>
    <row r="39" spans="1:59" s="2" customFormat="1" ht="80.099999999999994" customHeight="1" x14ac:dyDescent="0.25">
      <c r="A39" s="2">
        <v>37</v>
      </c>
      <c r="B39" s="2">
        <v>501</v>
      </c>
      <c r="C39" s="2" t="s">
        <v>4443</v>
      </c>
      <c r="D39" s="2" t="s">
        <v>345</v>
      </c>
      <c r="F39" s="7" t="s">
        <v>2542</v>
      </c>
      <c r="G39" s="2" t="s">
        <v>38</v>
      </c>
      <c r="H39" s="2" t="s">
        <v>35</v>
      </c>
      <c r="I39" s="2" t="s">
        <v>68</v>
      </c>
      <c r="J39" s="2" t="s">
        <v>36</v>
      </c>
      <c r="K39" s="2" t="s">
        <v>1804</v>
      </c>
      <c r="L39" s="2" t="s">
        <v>82</v>
      </c>
      <c r="M39" s="2" t="s">
        <v>2544</v>
      </c>
      <c r="N39" s="2" t="s">
        <v>1988</v>
      </c>
      <c r="O39" s="2" t="s">
        <v>795</v>
      </c>
      <c r="P39" s="2" t="s">
        <v>73</v>
      </c>
      <c r="Q39" s="2" t="s">
        <v>185</v>
      </c>
      <c r="R39" s="2">
        <v>5414799</v>
      </c>
      <c r="S39" s="2">
        <v>2018</v>
      </c>
      <c r="T39" s="2" t="s">
        <v>1361</v>
      </c>
      <c r="U39" s="2" t="s">
        <v>37</v>
      </c>
      <c r="V39" s="2" t="s">
        <v>794</v>
      </c>
      <c r="W39" s="2">
        <f>170+167+129+124+130+89</f>
        <v>809</v>
      </c>
      <c r="X39" s="2">
        <f>W39/1200*100</f>
        <v>67.416666666666671</v>
      </c>
      <c r="Y39" s="2">
        <f>90+72+86+78+80+41</f>
        <v>447</v>
      </c>
      <c r="Z39" s="2">
        <v>600</v>
      </c>
      <c r="AA39" s="2">
        <f t="shared" si="3"/>
        <v>74.5</v>
      </c>
      <c r="AB39" s="2">
        <f>129+124+89</f>
        <v>342</v>
      </c>
      <c r="AC39" s="2">
        <v>600</v>
      </c>
      <c r="AD39" s="2">
        <f t="shared" si="4"/>
        <v>56.999999999999993</v>
      </c>
      <c r="AE39" s="2" t="s">
        <v>2545</v>
      </c>
      <c r="AF39" s="2" t="s">
        <v>2493</v>
      </c>
      <c r="AG39" s="2" t="s">
        <v>2493</v>
      </c>
      <c r="AH39" s="2">
        <v>10000</v>
      </c>
      <c r="AI39" s="2">
        <v>210000</v>
      </c>
      <c r="AJ39" s="2">
        <v>27500</v>
      </c>
      <c r="AK39" s="2">
        <f t="shared" si="5"/>
        <v>247500</v>
      </c>
      <c r="AL39" s="2" t="s">
        <v>2546</v>
      </c>
      <c r="AM39" s="2" t="s">
        <v>78</v>
      </c>
      <c r="AN39" s="2" t="s">
        <v>2547</v>
      </c>
      <c r="AO39" s="2" t="s">
        <v>2548</v>
      </c>
      <c r="AP39" s="2">
        <v>100000</v>
      </c>
      <c r="AQ39" s="2" t="s">
        <v>2549</v>
      </c>
      <c r="AR39" s="4" t="s">
        <v>2554</v>
      </c>
      <c r="AS39" s="2" t="s">
        <v>2551</v>
      </c>
      <c r="AT39" s="2" t="s">
        <v>2550</v>
      </c>
      <c r="AU39" s="2" t="s">
        <v>1988</v>
      </c>
      <c r="AV39" s="2" t="s">
        <v>794</v>
      </c>
      <c r="AX39" s="2" t="s">
        <v>2551</v>
      </c>
      <c r="AY39" s="2">
        <v>4972866069</v>
      </c>
      <c r="AZ39" s="2">
        <v>9744127828</v>
      </c>
      <c r="BA39" s="2">
        <v>9744316158</v>
      </c>
      <c r="BC39" s="3" t="s">
        <v>2552</v>
      </c>
      <c r="BD39" s="3" t="s">
        <v>2553</v>
      </c>
      <c r="BE39" s="2" t="s">
        <v>1862</v>
      </c>
      <c r="BF39" s="2" t="s">
        <v>37</v>
      </c>
    </row>
    <row r="40" spans="1:59" s="38" customFormat="1" ht="80.099999999999994" customHeight="1" x14ac:dyDescent="0.25">
      <c r="A40" s="38">
        <v>38</v>
      </c>
      <c r="B40" s="38">
        <v>522</v>
      </c>
      <c r="C40" s="38" t="s">
        <v>4443</v>
      </c>
      <c r="D40" s="38" t="s">
        <v>345</v>
      </c>
      <c r="F40" s="43" t="s">
        <v>2612</v>
      </c>
      <c r="G40" s="38" t="s">
        <v>38</v>
      </c>
      <c r="H40" s="38" t="s">
        <v>35</v>
      </c>
      <c r="I40" s="38" t="s">
        <v>68</v>
      </c>
      <c r="J40" s="38" t="s">
        <v>36</v>
      </c>
      <c r="K40" s="38" t="s">
        <v>2629</v>
      </c>
      <c r="L40" s="38" t="s">
        <v>82</v>
      </c>
      <c r="M40" s="38" t="s">
        <v>348</v>
      </c>
      <c r="N40" s="38" t="s">
        <v>2630</v>
      </c>
      <c r="O40" s="38" t="s">
        <v>2631</v>
      </c>
      <c r="P40" s="38" t="s">
        <v>85</v>
      </c>
      <c r="Q40" s="38" t="s">
        <v>185</v>
      </c>
      <c r="R40" s="38">
        <v>3626385</v>
      </c>
      <c r="S40" s="38">
        <v>2018</v>
      </c>
      <c r="T40" s="38" t="s">
        <v>616</v>
      </c>
      <c r="U40" s="38" t="s">
        <v>37</v>
      </c>
      <c r="V40" s="38" t="s">
        <v>1829</v>
      </c>
      <c r="W40" s="38" t="s">
        <v>37</v>
      </c>
      <c r="X40" s="38" t="s">
        <v>37</v>
      </c>
      <c r="Y40" s="38">
        <f>85+33+65+66+89</f>
        <v>338</v>
      </c>
      <c r="Z40" s="38">
        <v>500</v>
      </c>
      <c r="AA40" s="38">
        <f t="shared" si="3"/>
        <v>67.600000000000009</v>
      </c>
      <c r="AB40" s="38">
        <f>33+65+66</f>
        <v>164</v>
      </c>
      <c r="AC40" s="38">
        <v>300</v>
      </c>
      <c r="AD40" s="38">
        <f t="shared" si="4"/>
        <v>54.666666666666664</v>
      </c>
      <c r="AE40" s="38" t="s">
        <v>2632</v>
      </c>
      <c r="AF40" s="38" t="s">
        <v>2610</v>
      </c>
      <c r="AG40" s="38" t="s">
        <v>2610</v>
      </c>
      <c r="AH40" s="38">
        <v>10000</v>
      </c>
      <c r="AI40" s="38">
        <v>210000</v>
      </c>
      <c r="AJ40" s="38">
        <v>27500</v>
      </c>
      <c r="AK40" s="38">
        <f t="shared" si="5"/>
        <v>247500</v>
      </c>
      <c r="AL40" s="38" t="s">
        <v>2633</v>
      </c>
      <c r="AM40" s="38" t="s">
        <v>1724</v>
      </c>
      <c r="AN40" s="38" t="s">
        <v>2634</v>
      </c>
      <c r="AO40" s="38" t="s">
        <v>115</v>
      </c>
      <c r="AP40" s="38">
        <v>160000</v>
      </c>
      <c r="AQ40" s="38" t="s">
        <v>2635</v>
      </c>
      <c r="AR40" s="41" t="s">
        <v>2636</v>
      </c>
      <c r="AS40" s="38" t="s">
        <v>2637</v>
      </c>
      <c r="AT40" s="38" t="s">
        <v>2638</v>
      </c>
      <c r="AU40" s="38" t="s">
        <v>2639</v>
      </c>
      <c r="AV40" s="38" t="s">
        <v>1829</v>
      </c>
      <c r="AW40" s="38">
        <v>786171</v>
      </c>
      <c r="AX40" s="38" t="s">
        <v>2637</v>
      </c>
      <c r="AY40" s="38" t="s">
        <v>2640</v>
      </c>
      <c r="AZ40" s="38">
        <v>9678309347</v>
      </c>
      <c r="BA40" s="38">
        <v>7896266928</v>
      </c>
      <c r="BB40" s="38">
        <v>9678309347</v>
      </c>
      <c r="BC40" s="42" t="s">
        <v>2641</v>
      </c>
      <c r="BD40" s="42" t="s">
        <v>2642</v>
      </c>
      <c r="BE40" s="38" t="s">
        <v>2643</v>
      </c>
      <c r="BF40" s="38" t="s">
        <v>2644</v>
      </c>
    </row>
    <row r="41" spans="1:59" s="2" customFormat="1" ht="90.75" customHeight="1" x14ac:dyDescent="0.25">
      <c r="A41" s="2">
        <v>39</v>
      </c>
      <c r="B41" s="6">
        <v>555</v>
      </c>
      <c r="C41" s="2" t="s">
        <v>4443</v>
      </c>
      <c r="D41" s="6" t="s">
        <v>345</v>
      </c>
      <c r="F41" s="8" t="s">
        <v>2787</v>
      </c>
      <c r="G41" s="6" t="s">
        <v>38</v>
      </c>
      <c r="H41" s="6" t="s">
        <v>92</v>
      </c>
      <c r="I41" s="2" t="s">
        <v>68</v>
      </c>
      <c r="J41" s="2" t="s">
        <v>36</v>
      </c>
      <c r="K41" s="2" t="s">
        <v>2792</v>
      </c>
      <c r="L41" s="2" t="s">
        <v>82</v>
      </c>
      <c r="M41" s="2" t="s">
        <v>1171</v>
      </c>
      <c r="N41" s="2" t="s">
        <v>1773</v>
      </c>
      <c r="O41" s="2" t="s">
        <v>72</v>
      </c>
      <c r="P41" s="2" t="s">
        <v>73</v>
      </c>
      <c r="Q41" s="2" t="s">
        <v>185</v>
      </c>
      <c r="R41" s="2">
        <v>5651865</v>
      </c>
      <c r="S41" s="2">
        <v>2017</v>
      </c>
      <c r="T41" s="2" t="s">
        <v>616</v>
      </c>
      <c r="U41" s="2" t="s">
        <v>37</v>
      </c>
      <c r="V41" s="2" t="s">
        <v>80</v>
      </c>
      <c r="W41" s="2" t="s">
        <v>37</v>
      </c>
      <c r="X41" s="2" t="s">
        <v>37</v>
      </c>
      <c r="Y41" s="2">
        <f>91+56+79+75+74</f>
        <v>375</v>
      </c>
      <c r="Z41" s="2">
        <v>500</v>
      </c>
      <c r="AA41" s="2">
        <f t="shared" si="3"/>
        <v>75</v>
      </c>
      <c r="AB41" s="2">
        <f>79+75+74</f>
        <v>228</v>
      </c>
      <c r="AC41" s="2">
        <v>300</v>
      </c>
      <c r="AD41" s="2">
        <f t="shared" si="4"/>
        <v>76</v>
      </c>
      <c r="AE41" s="2" t="s">
        <v>2794</v>
      </c>
      <c r="AF41" s="2" t="s">
        <v>2793</v>
      </c>
      <c r="AG41" s="2" t="s">
        <v>2793</v>
      </c>
      <c r="AH41" s="2">
        <v>10000</v>
      </c>
      <c r="AI41" s="2">
        <v>210000</v>
      </c>
      <c r="AJ41" s="2">
        <v>27500</v>
      </c>
      <c r="AK41" s="2">
        <f t="shared" si="5"/>
        <v>247500</v>
      </c>
      <c r="AL41" s="2" t="s">
        <v>2795</v>
      </c>
      <c r="AM41" s="2" t="s">
        <v>78</v>
      </c>
      <c r="AN41" s="2" t="s">
        <v>2796</v>
      </c>
      <c r="AO41" s="2" t="s">
        <v>2797</v>
      </c>
      <c r="AP41" s="2">
        <v>256356</v>
      </c>
      <c r="AQ41" s="2" t="s">
        <v>2798</v>
      </c>
      <c r="AR41" s="4" t="s">
        <v>2799</v>
      </c>
      <c r="AS41" s="2" t="s">
        <v>2800</v>
      </c>
      <c r="AT41" s="2" t="s">
        <v>2801</v>
      </c>
      <c r="AU41" s="2" t="s">
        <v>2657</v>
      </c>
      <c r="AV41" s="2" t="s">
        <v>2802</v>
      </c>
      <c r="AW41" s="2">
        <v>273008</v>
      </c>
      <c r="AX41" s="2" t="s">
        <v>2800</v>
      </c>
      <c r="AZ41" s="2">
        <v>8887713300</v>
      </c>
      <c r="BA41" s="2">
        <v>9453903481</v>
      </c>
      <c r="BB41" s="2">
        <v>9455020036</v>
      </c>
      <c r="BC41" s="3" t="s">
        <v>2803</v>
      </c>
      <c r="BD41" s="3" t="s">
        <v>2804</v>
      </c>
      <c r="BE41" s="2" t="s">
        <v>1862</v>
      </c>
      <c r="BF41" s="2" t="s">
        <v>37</v>
      </c>
    </row>
    <row r="42" spans="1:59" s="2" customFormat="1" ht="80.099999999999994" customHeight="1" x14ac:dyDescent="0.25">
      <c r="A42" s="2">
        <v>40</v>
      </c>
      <c r="B42" s="6">
        <v>562</v>
      </c>
      <c r="C42" s="2" t="s">
        <v>4443</v>
      </c>
      <c r="D42" s="6" t="s">
        <v>345</v>
      </c>
      <c r="F42" s="8" t="s">
        <v>2790</v>
      </c>
      <c r="G42" s="6" t="s">
        <v>38</v>
      </c>
      <c r="H42" s="6" t="s">
        <v>92</v>
      </c>
      <c r="I42" s="2" t="s">
        <v>68</v>
      </c>
      <c r="J42" s="2" t="s">
        <v>36</v>
      </c>
      <c r="K42" s="2" t="s">
        <v>207</v>
      </c>
      <c r="L42" s="2" t="s">
        <v>82</v>
      </c>
      <c r="M42" s="2" t="s">
        <v>2827</v>
      </c>
      <c r="N42" s="2" t="s">
        <v>250</v>
      </c>
      <c r="O42" s="2" t="s">
        <v>83</v>
      </c>
      <c r="P42" s="2" t="s">
        <v>562</v>
      </c>
      <c r="Q42" s="2" t="s">
        <v>185</v>
      </c>
      <c r="R42" s="2">
        <v>1809216726</v>
      </c>
      <c r="S42" s="2">
        <v>2018</v>
      </c>
      <c r="T42" s="2" t="s">
        <v>89</v>
      </c>
      <c r="U42" s="2" t="s">
        <v>37</v>
      </c>
      <c r="V42" s="2" t="s">
        <v>215</v>
      </c>
      <c r="W42" s="2">
        <v>982</v>
      </c>
      <c r="X42" s="2">
        <f>W42/1000*100</f>
        <v>98.2</v>
      </c>
      <c r="Y42" s="2">
        <f>96+99+75+75+60+60+27+30</f>
        <v>522</v>
      </c>
      <c r="Z42" s="2">
        <v>530</v>
      </c>
      <c r="AA42" s="2">
        <f t="shared" si="3"/>
        <v>98.490566037735846</v>
      </c>
      <c r="AB42" s="2">
        <f>75+75+60+58+75+75+60+27+60+30</f>
        <v>595</v>
      </c>
      <c r="AC42" s="2">
        <v>600</v>
      </c>
      <c r="AD42" s="2">
        <f t="shared" si="4"/>
        <v>99.166666666666671</v>
      </c>
      <c r="AE42" s="2" t="s">
        <v>2828</v>
      </c>
      <c r="AF42" s="2" t="s">
        <v>2793</v>
      </c>
      <c r="AG42" s="2" t="s">
        <v>2793</v>
      </c>
      <c r="AH42" s="2">
        <v>10000</v>
      </c>
      <c r="AI42" s="2">
        <v>210000</v>
      </c>
      <c r="AJ42" s="2">
        <v>27500</v>
      </c>
      <c r="AK42" s="2">
        <f t="shared" si="5"/>
        <v>247500</v>
      </c>
      <c r="AL42" s="2" t="s">
        <v>2829</v>
      </c>
      <c r="AM42" s="2" t="s">
        <v>78</v>
      </c>
      <c r="AN42" s="2" t="s">
        <v>2830</v>
      </c>
      <c r="AO42" s="2" t="s">
        <v>139</v>
      </c>
      <c r="AP42" s="2">
        <v>100000</v>
      </c>
      <c r="AQ42" s="2" t="s">
        <v>2831</v>
      </c>
      <c r="AR42" s="4" t="s">
        <v>2832</v>
      </c>
      <c r="AS42" s="2" t="s">
        <v>2835</v>
      </c>
      <c r="AT42" s="2" t="s">
        <v>2833</v>
      </c>
      <c r="AU42" s="2" t="s">
        <v>631</v>
      </c>
      <c r="AV42" s="2" t="s">
        <v>215</v>
      </c>
      <c r="AW42" s="2">
        <v>517501</v>
      </c>
      <c r="AX42" s="2" t="s">
        <v>2835</v>
      </c>
      <c r="AZ42" s="2">
        <v>7093336649</v>
      </c>
      <c r="BA42" s="2">
        <v>8501915116</v>
      </c>
      <c r="BD42" s="3" t="s">
        <v>2834</v>
      </c>
      <c r="BE42" s="2" t="s">
        <v>3392</v>
      </c>
      <c r="BF42" s="2" t="s">
        <v>491</v>
      </c>
    </row>
    <row r="43" spans="1:59" s="2" customFormat="1" ht="80.099999999999994" customHeight="1" x14ac:dyDescent="0.25">
      <c r="A43" s="2">
        <v>41</v>
      </c>
      <c r="B43" s="2">
        <v>583</v>
      </c>
      <c r="C43" s="2" t="s">
        <v>4443</v>
      </c>
      <c r="D43" s="2" t="s">
        <v>345</v>
      </c>
      <c r="F43" s="7" t="s">
        <v>2881</v>
      </c>
      <c r="G43" s="2" t="s">
        <v>1505</v>
      </c>
      <c r="H43" s="2" t="s">
        <v>92</v>
      </c>
      <c r="I43" s="2" t="s">
        <v>68</v>
      </c>
      <c r="J43" s="2" t="s">
        <v>36</v>
      </c>
      <c r="K43" s="2" t="s">
        <v>2882</v>
      </c>
      <c r="L43" s="2" t="s">
        <v>286</v>
      </c>
      <c r="M43" s="2" t="s">
        <v>1257</v>
      </c>
      <c r="N43" s="2" t="s">
        <v>783</v>
      </c>
      <c r="O43" s="2" t="s">
        <v>83</v>
      </c>
      <c r="P43" s="2" t="s">
        <v>85</v>
      </c>
      <c r="Q43" s="2" t="s">
        <v>185</v>
      </c>
      <c r="R43" s="2">
        <v>1858223599</v>
      </c>
      <c r="S43" s="2">
        <v>2018</v>
      </c>
      <c r="T43" s="2" t="s">
        <v>75</v>
      </c>
      <c r="U43" s="2" t="s">
        <v>37</v>
      </c>
      <c r="V43" s="2" t="s">
        <v>76</v>
      </c>
      <c r="W43" s="2">
        <v>975</v>
      </c>
      <c r="X43" s="2">
        <f>W43/1000*100</f>
        <v>97.5</v>
      </c>
      <c r="Y43" s="2">
        <f>95+99+74+68+60+56+30+30</f>
        <v>512</v>
      </c>
      <c r="Z43" s="2">
        <v>530</v>
      </c>
      <c r="AA43" s="2">
        <f t="shared" si="3"/>
        <v>96.603773584905667</v>
      </c>
      <c r="AB43" s="2">
        <f>75+74+60+59+74+68+60+56+30+30</f>
        <v>586</v>
      </c>
      <c r="AC43" s="2">
        <v>600</v>
      </c>
      <c r="AD43" s="2">
        <f t="shared" si="4"/>
        <v>97.666666666666671</v>
      </c>
      <c r="AE43" s="2" t="s">
        <v>2893</v>
      </c>
      <c r="AF43" s="2" t="s">
        <v>718</v>
      </c>
      <c r="AG43" s="2" t="s">
        <v>2883</v>
      </c>
      <c r="AH43" s="2">
        <v>10000</v>
      </c>
      <c r="AI43" s="2">
        <v>200000</v>
      </c>
      <c r="AJ43" s="2">
        <v>27500</v>
      </c>
      <c r="AK43" s="2">
        <f t="shared" si="5"/>
        <v>237500</v>
      </c>
      <c r="AL43" s="2" t="s">
        <v>2884</v>
      </c>
      <c r="AM43" s="2" t="s">
        <v>78</v>
      </c>
      <c r="AN43" s="2" t="s">
        <v>2885</v>
      </c>
      <c r="AO43" s="2" t="s">
        <v>139</v>
      </c>
      <c r="AP43" s="2">
        <v>700000</v>
      </c>
      <c r="AQ43" s="2" t="s">
        <v>2886</v>
      </c>
      <c r="AR43" s="4" t="s">
        <v>2887</v>
      </c>
      <c r="AS43" s="2" t="s">
        <v>2888</v>
      </c>
      <c r="AT43" s="2" t="s">
        <v>783</v>
      </c>
      <c r="AU43" s="2" t="s">
        <v>1112</v>
      </c>
      <c r="AV43" s="2" t="s">
        <v>215</v>
      </c>
      <c r="AW43" s="2">
        <v>515671</v>
      </c>
      <c r="AX43" s="2" t="s">
        <v>2888</v>
      </c>
      <c r="AZ43" s="2">
        <v>9440984159</v>
      </c>
      <c r="BA43" s="2">
        <v>7842314448</v>
      </c>
      <c r="BB43" s="2" t="s">
        <v>37</v>
      </c>
      <c r="BD43" s="3" t="s">
        <v>2889</v>
      </c>
      <c r="BE43" s="2" t="s">
        <v>4372</v>
      </c>
      <c r="BF43" s="2" t="s">
        <v>379</v>
      </c>
    </row>
    <row r="44" spans="1:59" s="2" customFormat="1" ht="80.099999999999994" customHeight="1" x14ac:dyDescent="0.25">
      <c r="A44" s="2">
        <v>42</v>
      </c>
      <c r="B44" s="2">
        <v>587</v>
      </c>
      <c r="C44" s="2" t="s">
        <v>4443</v>
      </c>
      <c r="D44" s="2" t="s">
        <v>345</v>
      </c>
      <c r="F44" s="7" t="s">
        <v>2902</v>
      </c>
      <c r="G44" s="2" t="s">
        <v>38</v>
      </c>
      <c r="H44" s="2" t="s">
        <v>35</v>
      </c>
      <c r="I44" s="2" t="s">
        <v>68</v>
      </c>
      <c r="J44" s="2" t="s">
        <v>36</v>
      </c>
      <c r="K44" s="2" t="s">
        <v>854</v>
      </c>
      <c r="L44" s="2" t="s">
        <v>82</v>
      </c>
      <c r="M44" s="2" t="s">
        <v>2903</v>
      </c>
      <c r="N44" s="2" t="s">
        <v>188</v>
      </c>
      <c r="O44" s="2" t="s">
        <v>72</v>
      </c>
      <c r="Q44" s="2" t="s">
        <v>63</v>
      </c>
      <c r="R44" s="2">
        <v>385462</v>
      </c>
      <c r="S44" s="2">
        <v>2018</v>
      </c>
      <c r="T44" s="2" t="s">
        <v>64</v>
      </c>
      <c r="U44" s="2" t="s">
        <v>65</v>
      </c>
      <c r="V44" s="2" t="s">
        <v>37</v>
      </c>
      <c r="W44" s="2" t="s">
        <v>37</v>
      </c>
      <c r="X44" s="2" t="s">
        <v>37</v>
      </c>
      <c r="Y44" s="2">
        <v>483</v>
      </c>
      <c r="Z44" s="2">
        <v>600</v>
      </c>
      <c r="AA44" s="2">
        <f t="shared" si="3"/>
        <v>80.5</v>
      </c>
      <c r="AB44" s="2">
        <f>78+72+58</f>
        <v>208</v>
      </c>
      <c r="AC44" s="2">
        <v>300</v>
      </c>
      <c r="AD44" s="2">
        <f t="shared" si="4"/>
        <v>69.333333333333343</v>
      </c>
      <c r="AE44" s="2" t="s">
        <v>2904</v>
      </c>
      <c r="AF44" s="2" t="s">
        <v>2883</v>
      </c>
      <c r="AG44" s="2" t="s">
        <v>2883</v>
      </c>
      <c r="AH44" s="2">
        <v>10000</v>
      </c>
      <c r="AI44" s="2">
        <v>210000</v>
      </c>
      <c r="AJ44" s="2">
        <v>27500</v>
      </c>
      <c r="AK44" s="2">
        <f t="shared" si="5"/>
        <v>247500</v>
      </c>
      <c r="AL44" s="2" t="s">
        <v>2905</v>
      </c>
      <c r="AM44" s="2" t="s">
        <v>78</v>
      </c>
      <c r="AN44" s="2" t="s">
        <v>2906</v>
      </c>
      <c r="AO44" s="2" t="s">
        <v>2907</v>
      </c>
      <c r="AP44" s="2">
        <v>400000</v>
      </c>
      <c r="AQ44" s="2" t="s">
        <v>2908</v>
      </c>
      <c r="AR44" s="4" t="s">
        <v>2909</v>
      </c>
      <c r="AS44" s="2" t="s">
        <v>2910</v>
      </c>
      <c r="AT44" s="2" t="s">
        <v>2911</v>
      </c>
      <c r="AU44" s="2" t="s">
        <v>95</v>
      </c>
      <c r="AV44" s="2" t="s">
        <v>65</v>
      </c>
      <c r="AW44" s="2">
        <v>560023</v>
      </c>
      <c r="AX44" s="2" t="s">
        <v>2910</v>
      </c>
      <c r="AY44" s="2" t="s">
        <v>37</v>
      </c>
      <c r="AZ44" s="2">
        <v>7022489616</v>
      </c>
      <c r="BA44" s="2">
        <v>9880974368</v>
      </c>
      <c r="BB44" s="2">
        <v>9483469757</v>
      </c>
      <c r="BD44" s="3" t="s">
        <v>2912</v>
      </c>
      <c r="BE44" s="2" t="s">
        <v>2502</v>
      </c>
    </row>
    <row r="45" spans="1:59" s="2" customFormat="1" ht="80.099999999999994" customHeight="1" x14ac:dyDescent="0.25">
      <c r="A45" s="2">
        <v>43</v>
      </c>
      <c r="B45" s="2">
        <v>615</v>
      </c>
      <c r="C45" s="2" t="s">
        <v>4443</v>
      </c>
      <c r="D45" s="2" t="s">
        <v>345</v>
      </c>
      <c r="F45" s="7" t="s">
        <v>3037</v>
      </c>
      <c r="G45" s="2" t="s">
        <v>38</v>
      </c>
      <c r="H45" s="2" t="s">
        <v>35</v>
      </c>
      <c r="I45" s="2" t="s">
        <v>68</v>
      </c>
      <c r="J45" s="2" t="s">
        <v>36</v>
      </c>
      <c r="K45" s="2" t="s">
        <v>884</v>
      </c>
      <c r="L45" s="2" t="s">
        <v>82</v>
      </c>
      <c r="M45" s="2" t="s">
        <v>3038</v>
      </c>
      <c r="N45" s="2" t="s">
        <v>482</v>
      </c>
      <c r="O45" s="2" t="s">
        <v>83</v>
      </c>
      <c r="P45" s="2" t="s">
        <v>73</v>
      </c>
      <c r="Q45" s="2" t="s">
        <v>185</v>
      </c>
      <c r="R45" s="2">
        <v>1810218403</v>
      </c>
      <c r="S45" s="2">
        <v>2018</v>
      </c>
      <c r="T45" s="2" t="s">
        <v>89</v>
      </c>
      <c r="U45" s="2" t="s">
        <v>37</v>
      </c>
      <c r="V45" s="2" t="s">
        <v>215</v>
      </c>
      <c r="W45" s="2">
        <v>954</v>
      </c>
      <c r="X45" s="2">
        <f>W45/1000*100</f>
        <v>95.399999999999991</v>
      </c>
      <c r="Y45" s="2">
        <f>93+99+75+70+60+55+30+30</f>
        <v>512</v>
      </c>
      <c r="Z45" s="2">
        <v>530</v>
      </c>
      <c r="AA45" s="2">
        <f t="shared" si="3"/>
        <v>96.603773584905667</v>
      </c>
      <c r="AB45" s="2">
        <f>75+74+55+50+75+70+60+55+30+30</f>
        <v>574</v>
      </c>
      <c r="AC45" s="2">
        <v>600</v>
      </c>
      <c r="AD45" s="2">
        <f t="shared" si="4"/>
        <v>95.666666666666671</v>
      </c>
      <c r="AE45" s="2" t="s">
        <v>3039</v>
      </c>
      <c r="AF45" s="2" t="s">
        <v>3023</v>
      </c>
      <c r="AG45" s="2" t="s">
        <v>3023</v>
      </c>
      <c r="AH45" s="2">
        <v>10000</v>
      </c>
      <c r="AI45" s="2">
        <v>210000</v>
      </c>
      <c r="AJ45" s="2">
        <v>27500</v>
      </c>
      <c r="AK45" s="2">
        <f t="shared" si="5"/>
        <v>247500</v>
      </c>
      <c r="AL45" s="2" t="s">
        <v>3040</v>
      </c>
      <c r="AM45" s="2" t="s">
        <v>78</v>
      </c>
      <c r="AN45" s="2" t="s">
        <v>3041</v>
      </c>
      <c r="AO45" s="2" t="s">
        <v>139</v>
      </c>
      <c r="AP45" s="2">
        <v>45000</v>
      </c>
      <c r="AQ45" s="2" t="s">
        <v>3042</v>
      </c>
      <c r="AR45" s="4" t="s">
        <v>3043</v>
      </c>
      <c r="AS45" s="2" t="s">
        <v>3044</v>
      </c>
      <c r="AT45" s="2" t="s">
        <v>3045</v>
      </c>
      <c r="AU45" s="2" t="s">
        <v>169</v>
      </c>
      <c r="AV45" s="2" t="s">
        <v>215</v>
      </c>
      <c r="AW45" s="2">
        <v>518222</v>
      </c>
      <c r="AX45" s="2" t="s">
        <v>3044</v>
      </c>
      <c r="AZ45" s="2">
        <v>8639200985</v>
      </c>
      <c r="BA45" s="2">
        <v>9951353497</v>
      </c>
      <c r="BC45" s="3" t="s">
        <v>3046</v>
      </c>
      <c r="BD45" s="3" t="s">
        <v>3047</v>
      </c>
      <c r="BE45" s="2" t="s">
        <v>879</v>
      </c>
      <c r="BF45" s="2" t="s">
        <v>113</v>
      </c>
    </row>
    <row r="46" spans="1:59" s="2" customFormat="1" ht="80.099999999999994" customHeight="1" x14ac:dyDescent="0.25">
      <c r="A46" s="2">
        <v>44</v>
      </c>
      <c r="B46" s="2">
        <v>641</v>
      </c>
      <c r="C46" s="2" t="s">
        <v>4443</v>
      </c>
      <c r="D46" s="2" t="s">
        <v>345</v>
      </c>
      <c r="F46" s="7" t="s">
        <v>3097</v>
      </c>
      <c r="G46" s="2" t="s">
        <v>38</v>
      </c>
      <c r="H46" s="2" t="s">
        <v>35</v>
      </c>
      <c r="I46" s="2" t="s">
        <v>68</v>
      </c>
      <c r="J46" s="2" t="s">
        <v>36</v>
      </c>
      <c r="K46" s="2" t="s">
        <v>2017</v>
      </c>
      <c r="L46" s="2" t="s">
        <v>82</v>
      </c>
      <c r="M46" s="2" t="s">
        <v>3098</v>
      </c>
      <c r="N46" s="2" t="s">
        <v>3099</v>
      </c>
      <c r="O46" s="2" t="s">
        <v>72</v>
      </c>
      <c r="P46" s="2" t="s">
        <v>85</v>
      </c>
      <c r="Q46" s="2" t="s">
        <v>185</v>
      </c>
      <c r="R46" s="2">
        <v>4640594</v>
      </c>
      <c r="S46" s="2">
        <v>2018</v>
      </c>
      <c r="T46" s="2" t="s">
        <v>616</v>
      </c>
      <c r="U46" s="2" t="s">
        <v>37</v>
      </c>
      <c r="V46" s="2" t="s">
        <v>215</v>
      </c>
      <c r="W46" s="2" t="s">
        <v>37</v>
      </c>
      <c r="X46" s="2" t="s">
        <v>37</v>
      </c>
      <c r="Y46" s="2">
        <f>76+81+95+77+57</f>
        <v>386</v>
      </c>
      <c r="Z46" s="2">
        <v>500</v>
      </c>
      <c r="AA46" s="2">
        <f t="shared" si="3"/>
        <v>77.2</v>
      </c>
      <c r="AB46" s="2">
        <f>81+95+77</f>
        <v>253</v>
      </c>
      <c r="AC46" s="2">
        <v>300</v>
      </c>
      <c r="AD46" s="2">
        <f t="shared" si="4"/>
        <v>84.333333333333343</v>
      </c>
      <c r="AE46" s="2" t="s">
        <v>3100</v>
      </c>
      <c r="AF46" s="2" t="s">
        <v>1023</v>
      </c>
      <c r="AG46" s="2" t="s">
        <v>3101</v>
      </c>
      <c r="AH46" s="2">
        <v>10000</v>
      </c>
      <c r="AI46" s="2">
        <v>210000</v>
      </c>
      <c r="AJ46" s="2">
        <v>27500</v>
      </c>
      <c r="AK46" s="2">
        <f t="shared" si="5"/>
        <v>247500</v>
      </c>
      <c r="AL46" s="2" t="s">
        <v>3102</v>
      </c>
      <c r="AM46" s="2" t="s">
        <v>78</v>
      </c>
      <c r="AN46" s="2" t="s">
        <v>3103</v>
      </c>
      <c r="AO46" s="2" t="s">
        <v>139</v>
      </c>
      <c r="AP46" s="2">
        <v>240000</v>
      </c>
      <c r="AQ46" s="2" t="s">
        <v>3104</v>
      </c>
      <c r="AR46" s="4" t="s">
        <v>3105</v>
      </c>
      <c r="AS46" s="2" t="s">
        <v>3106</v>
      </c>
      <c r="AT46" s="2" t="s">
        <v>3099</v>
      </c>
      <c r="AU46" s="2" t="s">
        <v>3107</v>
      </c>
      <c r="AV46" s="2" t="s">
        <v>450</v>
      </c>
      <c r="AW46" s="2">
        <v>731234</v>
      </c>
      <c r="AX46" s="2" t="s">
        <v>3106</v>
      </c>
      <c r="AY46" s="2" t="s">
        <v>37</v>
      </c>
      <c r="AZ46" s="2">
        <v>8637054700</v>
      </c>
      <c r="BA46" s="2">
        <v>9434249402</v>
      </c>
      <c r="BB46" s="2">
        <v>9153112370</v>
      </c>
      <c r="BC46" s="3" t="s">
        <v>3108</v>
      </c>
      <c r="BD46" s="3" t="s">
        <v>3109</v>
      </c>
      <c r="BE46" s="2" t="s">
        <v>1862</v>
      </c>
      <c r="BF46" s="2" t="s">
        <v>37</v>
      </c>
    </row>
    <row r="47" spans="1:59" s="2" customFormat="1" ht="80.099999999999994" customHeight="1" x14ac:dyDescent="0.25">
      <c r="A47" s="2">
        <v>45</v>
      </c>
      <c r="B47" s="6">
        <v>665</v>
      </c>
      <c r="C47" s="2" t="s">
        <v>4443</v>
      </c>
      <c r="D47" s="6" t="s">
        <v>345</v>
      </c>
      <c r="F47" s="8" t="s">
        <v>3175</v>
      </c>
      <c r="G47" s="6" t="s">
        <v>38</v>
      </c>
      <c r="H47" s="6" t="s">
        <v>35</v>
      </c>
      <c r="I47" s="2" t="s">
        <v>68</v>
      </c>
      <c r="J47" s="2" t="s">
        <v>36</v>
      </c>
      <c r="K47" s="2" t="s">
        <v>157</v>
      </c>
      <c r="L47" s="2" t="s">
        <v>82</v>
      </c>
      <c r="M47" s="2" t="s">
        <v>1220</v>
      </c>
      <c r="N47" s="2" t="s">
        <v>2276</v>
      </c>
      <c r="O47" s="2" t="s">
        <v>72</v>
      </c>
      <c r="P47" s="2" t="s">
        <v>1360</v>
      </c>
      <c r="Q47" s="2" t="s">
        <v>185</v>
      </c>
      <c r="R47" s="2">
        <v>2626351</v>
      </c>
      <c r="S47" s="2">
        <v>2018</v>
      </c>
      <c r="T47" s="2" t="s">
        <v>616</v>
      </c>
      <c r="U47" s="2" t="s">
        <v>37</v>
      </c>
      <c r="V47" s="2" t="s">
        <v>564</v>
      </c>
      <c r="W47" s="2" t="s">
        <v>37</v>
      </c>
      <c r="X47" s="2" t="s">
        <v>37</v>
      </c>
      <c r="Y47" s="2">
        <f>89+81+92+83+88+61</f>
        <v>494</v>
      </c>
      <c r="Z47" s="2">
        <v>600</v>
      </c>
      <c r="AA47" s="2">
        <f t="shared" si="3"/>
        <v>82.333333333333343</v>
      </c>
      <c r="AB47" s="2">
        <f>81+92+83</f>
        <v>256</v>
      </c>
      <c r="AC47" s="2">
        <v>300</v>
      </c>
      <c r="AD47" s="2">
        <f t="shared" si="4"/>
        <v>85.333333333333343</v>
      </c>
      <c r="AE47" s="2" t="s">
        <v>3191</v>
      </c>
      <c r="AF47" s="2" t="s">
        <v>3163</v>
      </c>
      <c r="AG47" s="2" t="s">
        <v>3163</v>
      </c>
      <c r="AH47" s="2">
        <v>10000</v>
      </c>
      <c r="AI47" s="2">
        <v>210000</v>
      </c>
      <c r="AJ47" s="2">
        <v>27500</v>
      </c>
      <c r="AK47" s="2">
        <f t="shared" si="5"/>
        <v>247500</v>
      </c>
      <c r="AL47" s="2" t="s">
        <v>3192</v>
      </c>
      <c r="AM47" s="2" t="s">
        <v>99</v>
      </c>
      <c r="AN47" s="2" t="s">
        <v>3193</v>
      </c>
      <c r="AO47" s="2" t="s">
        <v>3194</v>
      </c>
      <c r="AP47" s="2">
        <v>1200000</v>
      </c>
      <c r="AQ47" s="2" t="s">
        <v>3195</v>
      </c>
      <c r="AR47" s="4" t="s">
        <v>3196</v>
      </c>
      <c r="AS47" s="2" t="s">
        <v>3197</v>
      </c>
      <c r="AT47" s="2" t="s">
        <v>3198</v>
      </c>
      <c r="AU47" s="2" t="s">
        <v>3199</v>
      </c>
      <c r="AV47" s="2" t="s">
        <v>80</v>
      </c>
      <c r="AW47" s="2">
        <v>201206</v>
      </c>
      <c r="AX47" s="2" t="s">
        <v>3200</v>
      </c>
      <c r="AZ47" s="2">
        <v>9971994986</v>
      </c>
      <c r="BB47" s="2">
        <v>9971150487</v>
      </c>
      <c r="BC47" s="3" t="s">
        <v>3201</v>
      </c>
      <c r="BD47" s="3" t="s">
        <v>3202</v>
      </c>
      <c r="BE47" s="2" t="s">
        <v>1862</v>
      </c>
      <c r="BF47" s="2" t="s">
        <v>37</v>
      </c>
    </row>
    <row r="48" spans="1:59" s="2" customFormat="1" ht="80.099999999999994" customHeight="1" x14ac:dyDescent="0.25">
      <c r="A48" s="2">
        <v>46</v>
      </c>
      <c r="B48" s="6">
        <v>667</v>
      </c>
      <c r="C48" s="2" t="s">
        <v>4443</v>
      </c>
      <c r="D48" s="6" t="s">
        <v>345</v>
      </c>
      <c r="F48" s="8" t="s">
        <v>3176</v>
      </c>
      <c r="G48" s="6" t="s">
        <v>91</v>
      </c>
      <c r="H48" s="6" t="s">
        <v>92</v>
      </c>
      <c r="I48" s="2" t="s">
        <v>68</v>
      </c>
      <c r="J48" s="2" t="s">
        <v>36</v>
      </c>
      <c r="K48" s="2" t="s">
        <v>1337</v>
      </c>
      <c r="L48" s="2" t="s">
        <v>82</v>
      </c>
      <c r="M48" s="2" t="s">
        <v>2774</v>
      </c>
      <c r="N48" s="2" t="s">
        <v>80</v>
      </c>
      <c r="O48" s="2" t="s">
        <v>72</v>
      </c>
      <c r="P48" s="2" t="s">
        <v>85</v>
      </c>
      <c r="Q48" s="2" t="s">
        <v>185</v>
      </c>
      <c r="R48" s="2" t="s">
        <v>3203</v>
      </c>
      <c r="S48" s="2">
        <v>2018</v>
      </c>
      <c r="T48" s="2" t="s">
        <v>1099</v>
      </c>
      <c r="U48" s="2" t="s">
        <v>37</v>
      </c>
      <c r="V48" s="2" t="s">
        <v>1100</v>
      </c>
      <c r="W48" s="2" t="s">
        <v>37</v>
      </c>
      <c r="X48" s="2" t="s">
        <v>37</v>
      </c>
      <c r="Y48" s="2">
        <v>482</v>
      </c>
      <c r="Z48" s="2">
        <v>650</v>
      </c>
      <c r="AA48" s="2">
        <f t="shared" si="3"/>
        <v>74.15384615384616</v>
      </c>
      <c r="AB48" s="2">
        <f>63+76+64</f>
        <v>203</v>
      </c>
      <c r="AC48" s="2">
        <v>300</v>
      </c>
      <c r="AD48" s="2">
        <f t="shared" si="4"/>
        <v>67.666666666666657</v>
      </c>
      <c r="AE48" s="2" t="s">
        <v>3204</v>
      </c>
      <c r="AF48" s="2" t="s">
        <v>3163</v>
      </c>
      <c r="AG48" s="2" t="s">
        <v>3163</v>
      </c>
      <c r="AH48" s="2">
        <v>10000</v>
      </c>
      <c r="AI48" s="2">
        <v>200000</v>
      </c>
      <c r="AJ48" s="2">
        <v>27500</v>
      </c>
      <c r="AK48" s="2">
        <f t="shared" si="5"/>
        <v>237500</v>
      </c>
      <c r="AL48" s="2" t="s">
        <v>3205</v>
      </c>
      <c r="AM48" s="2" t="s">
        <v>3206</v>
      </c>
      <c r="AN48" s="2" t="s">
        <v>3207</v>
      </c>
      <c r="AO48" s="2" t="s">
        <v>3208</v>
      </c>
      <c r="AP48" s="2">
        <v>1200000</v>
      </c>
      <c r="AQ48" s="2" t="s">
        <v>3213</v>
      </c>
      <c r="AR48" s="4" t="s">
        <v>3209</v>
      </c>
      <c r="AS48" s="2" t="s">
        <v>3210</v>
      </c>
      <c r="AT48" s="2" t="s">
        <v>908</v>
      </c>
      <c r="AU48" s="2" t="s">
        <v>969</v>
      </c>
      <c r="AV48" s="2" t="s">
        <v>1101</v>
      </c>
      <c r="AW48" s="2">
        <v>421505</v>
      </c>
      <c r="AX48" s="2" t="s">
        <v>3210</v>
      </c>
      <c r="AY48" s="2" t="s">
        <v>37</v>
      </c>
      <c r="AZ48" s="2">
        <v>8652825080</v>
      </c>
      <c r="BA48" s="2">
        <v>9867947528</v>
      </c>
      <c r="BB48" s="2">
        <v>9819535770</v>
      </c>
      <c r="BC48" s="3" t="s">
        <v>3211</v>
      </c>
      <c r="BD48" s="3" t="s">
        <v>3212</v>
      </c>
      <c r="BE48" s="2" t="s">
        <v>1862</v>
      </c>
      <c r="BF48" s="2" t="s">
        <v>37</v>
      </c>
    </row>
    <row r="49" spans="1:59" s="2" customFormat="1" ht="80.099999999999994" customHeight="1" x14ac:dyDescent="0.25">
      <c r="A49" s="2">
        <v>47</v>
      </c>
      <c r="B49" s="6">
        <v>681</v>
      </c>
      <c r="C49" s="2" t="s">
        <v>4443</v>
      </c>
      <c r="D49" s="6" t="s">
        <v>345</v>
      </c>
      <c r="F49" s="8" t="s">
        <v>3299</v>
      </c>
      <c r="G49" s="6" t="s">
        <v>38</v>
      </c>
      <c r="H49" s="6" t="s">
        <v>35</v>
      </c>
      <c r="I49" s="2" t="s">
        <v>68</v>
      </c>
      <c r="J49" s="2" t="s">
        <v>36</v>
      </c>
      <c r="K49" s="2" t="s">
        <v>3300</v>
      </c>
      <c r="L49" s="2" t="s">
        <v>82</v>
      </c>
      <c r="M49" s="2" t="s">
        <v>3301</v>
      </c>
      <c r="N49" s="2" t="s">
        <v>1251</v>
      </c>
      <c r="O49" s="2" t="s">
        <v>72</v>
      </c>
      <c r="P49" s="2" t="s">
        <v>137</v>
      </c>
      <c r="Q49" s="2" t="s">
        <v>185</v>
      </c>
      <c r="R49" s="2">
        <v>1628837</v>
      </c>
      <c r="S49" s="2">
        <v>2018</v>
      </c>
      <c r="T49" s="2" t="s">
        <v>616</v>
      </c>
      <c r="U49" s="2" t="s">
        <v>37</v>
      </c>
      <c r="V49" s="2" t="s">
        <v>833</v>
      </c>
      <c r="W49" s="2" t="s">
        <v>37</v>
      </c>
      <c r="X49" s="2" t="s">
        <v>37</v>
      </c>
      <c r="Y49" s="2">
        <f>73+46+62+62+56</f>
        <v>299</v>
      </c>
      <c r="Z49" s="2">
        <v>500</v>
      </c>
      <c r="AA49" s="2">
        <f t="shared" si="3"/>
        <v>59.8</v>
      </c>
      <c r="AB49" s="2">
        <f>46+62+62</f>
        <v>170</v>
      </c>
      <c r="AC49" s="2">
        <v>300</v>
      </c>
      <c r="AD49" s="2">
        <f t="shared" si="4"/>
        <v>56.666666666666664</v>
      </c>
      <c r="AE49" s="2" t="s">
        <v>3302</v>
      </c>
      <c r="AF49" s="2" t="s">
        <v>3163</v>
      </c>
      <c r="AG49" s="2" t="s">
        <v>3163</v>
      </c>
      <c r="AH49" s="2">
        <v>10000</v>
      </c>
      <c r="AI49" s="2">
        <v>210000</v>
      </c>
      <c r="AJ49" s="2">
        <v>27500</v>
      </c>
      <c r="AK49" s="2">
        <f t="shared" si="5"/>
        <v>247500</v>
      </c>
      <c r="AL49" s="2" t="s">
        <v>3303</v>
      </c>
      <c r="AM49" s="2" t="s">
        <v>78</v>
      </c>
      <c r="AN49" s="2" t="s">
        <v>3304</v>
      </c>
      <c r="AO49" s="2" t="s">
        <v>429</v>
      </c>
      <c r="AP49" s="2">
        <v>700000</v>
      </c>
      <c r="AQ49" s="2" t="s">
        <v>3305</v>
      </c>
      <c r="AR49" s="4" t="s">
        <v>3306</v>
      </c>
      <c r="AS49" s="2" t="s">
        <v>3307</v>
      </c>
      <c r="AT49" s="2" t="s">
        <v>3308</v>
      </c>
      <c r="AU49" s="2" t="s">
        <v>1251</v>
      </c>
      <c r="AV49" s="2" t="s">
        <v>833</v>
      </c>
      <c r="AW49" s="2">
        <v>334003</v>
      </c>
      <c r="AX49" s="2" t="s">
        <v>3307</v>
      </c>
      <c r="AY49" s="2">
        <v>2240374</v>
      </c>
      <c r="AZ49" s="2">
        <v>8290061117</v>
      </c>
      <c r="BA49" s="2">
        <v>9413388376</v>
      </c>
      <c r="BB49" s="2">
        <v>9414188376</v>
      </c>
      <c r="BC49" s="3" t="s">
        <v>3309</v>
      </c>
      <c r="BD49" s="3" t="s">
        <v>3310</v>
      </c>
      <c r="BE49" s="2" t="s">
        <v>1862</v>
      </c>
      <c r="BF49" s="2" t="s">
        <v>37</v>
      </c>
    </row>
    <row r="50" spans="1:59" s="2" customFormat="1" ht="80.099999999999994" customHeight="1" x14ac:dyDescent="0.25">
      <c r="A50" s="2">
        <v>48</v>
      </c>
      <c r="B50" s="6">
        <v>706</v>
      </c>
      <c r="C50" s="2" t="s">
        <v>4443</v>
      </c>
      <c r="D50" s="6" t="s">
        <v>345</v>
      </c>
      <c r="F50" s="8" t="s">
        <v>3371</v>
      </c>
      <c r="G50" s="6" t="s">
        <v>1505</v>
      </c>
      <c r="H50" s="6" t="s">
        <v>35</v>
      </c>
      <c r="I50" s="2" t="s">
        <v>68</v>
      </c>
      <c r="J50" s="2" t="s">
        <v>36</v>
      </c>
      <c r="K50" s="2" t="s">
        <v>93</v>
      </c>
      <c r="L50" s="2" t="s">
        <v>82</v>
      </c>
      <c r="M50" s="2" t="s">
        <v>3428</v>
      </c>
      <c r="N50" s="2" t="s">
        <v>3429</v>
      </c>
      <c r="O50" s="2" t="s">
        <v>795</v>
      </c>
      <c r="P50" s="2" t="s">
        <v>85</v>
      </c>
      <c r="Q50" s="2" t="s">
        <v>185</v>
      </c>
      <c r="R50" s="2">
        <v>4802983</v>
      </c>
      <c r="S50" s="2">
        <v>2018</v>
      </c>
      <c r="T50" s="2" t="s">
        <v>616</v>
      </c>
      <c r="U50" s="2" t="s">
        <v>37</v>
      </c>
      <c r="V50" s="2" t="s">
        <v>833</v>
      </c>
      <c r="W50" s="2" t="s">
        <v>37</v>
      </c>
      <c r="X50" s="2" t="s">
        <v>37</v>
      </c>
      <c r="Y50" s="2">
        <f>85+67+81+67+29</f>
        <v>329</v>
      </c>
      <c r="Z50" s="2">
        <v>500</v>
      </c>
      <c r="AA50" s="2">
        <f t="shared" si="3"/>
        <v>65.8</v>
      </c>
      <c r="AB50" s="2">
        <f>67+81+67</f>
        <v>215</v>
      </c>
      <c r="AC50" s="2">
        <v>300</v>
      </c>
      <c r="AD50" s="2">
        <f t="shared" si="4"/>
        <v>71.666666666666671</v>
      </c>
      <c r="AE50" s="2" t="s">
        <v>3430</v>
      </c>
      <c r="AF50" s="2" t="s">
        <v>3319</v>
      </c>
      <c r="AG50" s="2" t="s">
        <v>3319</v>
      </c>
      <c r="AH50" s="2">
        <v>10000</v>
      </c>
      <c r="AI50" s="2">
        <v>200000</v>
      </c>
      <c r="AJ50" s="2">
        <v>27500</v>
      </c>
      <c r="AK50" s="2">
        <f t="shared" si="5"/>
        <v>237500</v>
      </c>
      <c r="AL50" s="2" t="s">
        <v>3431</v>
      </c>
      <c r="AM50" s="2" t="s">
        <v>1440</v>
      </c>
      <c r="AN50" s="2" t="s">
        <v>3432</v>
      </c>
      <c r="AO50" s="2" t="s">
        <v>139</v>
      </c>
      <c r="AP50" s="2">
        <v>600000</v>
      </c>
      <c r="AQ50" s="2" t="s">
        <v>3433</v>
      </c>
      <c r="AR50" s="4" t="s">
        <v>3434</v>
      </c>
      <c r="AS50" s="2" t="s">
        <v>3435</v>
      </c>
      <c r="AT50" s="2" t="s">
        <v>3436</v>
      </c>
      <c r="AU50" s="2" t="s">
        <v>2286</v>
      </c>
      <c r="AV50" s="2" t="s">
        <v>794</v>
      </c>
      <c r="AW50" s="2">
        <v>695008</v>
      </c>
      <c r="AX50" s="2" t="s">
        <v>3435</v>
      </c>
      <c r="AY50" s="2" t="s">
        <v>3437</v>
      </c>
      <c r="AZ50" s="2">
        <v>9521279717</v>
      </c>
      <c r="BA50" s="2">
        <v>7907256910</v>
      </c>
      <c r="BB50" s="2">
        <v>9037203811</v>
      </c>
      <c r="BC50" s="3" t="s">
        <v>3438</v>
      </c>
      <c r="BD50" s="3" t="s">
        <v>3439</v>
      </c>
      <c r="BE50" s="2" t="s">
        <v>1862</v>
      </c>
      <c r="BF50" s="2" t="s">
        <v>37</v>
      </c>
    </row>
    <row r="51" spans="1:59" s="2" customFormat="1" ht="80.099999999999994" customHeight="1" x14ac:dyDescent="0.25">
      <c r="A51" s="2">
        <v>49</v>
      </c>
      <c r="B51" s="6">
        <v>726</v>
      </c>
      <c r="C51" s="2" t="s">
        <v>4443</v>
      </c>
      <c r="D51" s="6" t="s">
        <v>345</v>
      </c>
      <c r="F51" s="8" t="s">
        <v>3458</v>
      </c>
      <c r="G51" s="6" t="s">
        <v>38</v>
      </c>
      <c r="H51" s="6" t="s">
        <v>35</v>
      </c>
      <c r="I51" s="2" t="s">
        <v>68</v>
      </c>
      <c r="J51" s="2" t="s">
        <v>36</v>
      </c>
      <c r="K51" s="2" t="s">
        <v>207</v>
      </c>
      <c r="L51" s="2" t="s">
        <v>82</v>
      </c>
      <c r="M51" s="2" t="s">
        <v>687</v>
      </c>
      <c r="N51" s="2" t="s">
        <v>1568</v>
      </c>
      <c r="O51" s="2" t="s">
        <v>83</v>
      </c>
      <c r="P51" s="2" t="s">
        <v>3053</v>
      </c>
      <c r="Q51" s="2" t="s">
        <v>185</v>
      </c>
      <c r="R51" s="2">
        <v>1808223160</v>
      </c>
      <c r="S51" s="2">
        <v>2018</v>
      </c>
      <c r="T51" s="2" t="s">
        <v>89</v>
      </c>
      <c r="U51" s="2" t="s">
        <v>37</v>
      </c>
      <c r="V51" s="2" t="s">
        <v>215</v>
      </c>
      <c r="W51" s="2">
        <v>747</v>
      </c>
      <c r="X51" s="2">
        <f>W51/1000*100</f>
        <v>74.7</v>
      </c>
      <c r="Y51" s="2">
        <f>83+52+58+40+37+45+28+27</f>
        <v>370</v>
      </c>
      <c r="Z51" s="2">
        <v>530</v>
      </c>
      <c r="AA51" s="2">
        <f t="shared" si="3"/>
        <v>69.811320754716974</v>
      </c>
      <c r="AB51" s="2">
        <f>71+70+53+53+58+40+37+45+28+27</f>
        <v>482</v>
      </c>
      <c r="AC51" s="2">
        <v>600</v>
      </c>
      <c r="AD51" s="2">
        <f t="shared" si="4"/>
        <v>80.333333333333329</v>
      </c>
      <c r="AE51" s="2" t="s">
        <v>3527</v>
      </c>
      <c r="AF51" s="2" t="s">
        <v>2348</v>
      </c>
      <c r="AG51" s="2" t="s">
        <v>3497</v>
      </c>
      <c r="AH51" s="2">
        <v>10000</v>
      </c>
      <c r="AI51" s="2">
        <v>210000</v>
      </c>
      <c r="AJ51" s="2">
        <v>27500</v>
      </c>
      <c r="AK51" s="2">
        <f t="shared" si="5"/>
        <v>247500</v>
      </c>
      <c r="AL51" s="2" t="s">
        <v>3528</v>
      </c>
      <c r="AM51" s="2" t="s">
        <v>78</v>
      </c>
      <c r="AN51" s="2" t="s">
        <v>3529</v>
      </c>
      <c r="AO51" s="2" t="s">
        <v>2842</v>
      </c>
      <c r="AP51" s="2">
        <v>500000</v>
      </c>
      <c r="AQ51" s="2" t="s">
        <v>3530</v>
      </c>
      <c r="AR51" s="4" t="s">
        <v>3531</v>
      </c>
      <c r="AS51" s="2" t="s">
        <v>3532</v>
      </c>
      <c r="AT51" s="2" t="s">
        <v>3533</v>
      </c>
      <c r="AU51" s="2" t="s">
        <v>1568</v>
      </c>
      <c r="AV51" s="2" t="s">
        <v>215</v>
      </c>
      <c r="AW51" s="2">
        <v>524004</v>
      </c>
      <c r="AX51" s="2" t="s">
        <v>3532</v>
      </c>
      <c r="AY51" s="2" t="s">
        <v>3534</v>
      </c>
      <c r="AZ51" s="2">
        <v>770262727</v>
      </c>
      <c r="BA51" s="2">
        <v>9849049473</v>
      </c>
      <c r="BB51" s="2">
        <v>9989111770</v>
      </c>
      <c r="BD51" s="3" t="s">
        <v>3535</v>
      </c>
      <c r="BE51" s="2" t="s">
        <v>3452</v>
      </c>
      <c r="BF51" s="2" t="s">
        <v>144</v>
      </c>
    </row>
    <row r="52" spans="1:59" s="2" customFormat="1" ht="80.099999999999994" customHeight="1" x14ac:dyDescent="0.25">
      <c r="A52" s="2">
        <v>50</v>
      </c>
      <c r="B52" s="6">
        <v>773</v>
      </c>
      <c r="C52" s="2" t="s">
        <v>4443</v>
      </c>
      <c r="D52" s="6" t="s">
        <v>345</v>
      </c>
      <c r="F52" s="8" t="s">
        <v>3468</v>
      </c>
      <c r="G52" s="6" t="s">
        <v>38</v>
      </c>
      <c r="H52" s="6" t="s">
        <v>92</v>
      </c>
      <c r="I52" s="2" t="s">
        <v>68</v>
      </c>
      <c r="J52" s="2" t="s">
        <v>435</v>
      </c>
      <c r="K52" s="2" t="s">
        <v>3628</v>
      </c>
      <c r="L52" s="2" t="s">
        <v>82</v>
      </c>
      <c r="M52" s="2" t="s">
        <v>3629</v>
      </c>
      <c r="N52" s="2" t="s">
        <v>1251</v>
      </c>
      <c r="O52" s="2" t="s">
        <v>72</v>
      </c>
      <c r="P52" s="2" t="s">
        <v>62</v>
      </c>
      <c r="Q52" s="2" t="s">
        <v>185</v>
      </c>
      <c r="R52" s="2">
        <v>1625284</v>
      </c>
      <c r="S52" s="2">
        <v>2018</v>
      </c>
      <c r="T52" s="2" t="s">
        <v>616</v>
      </c>
      <c r="U52" s="2" t="s">
        <v>37</v>
      </c>
      <c r="V52" s="2" t="s">
        <v>833</v>
      </c>
      <c r="Y52" s="2">
        <f>74+38+71+74+72</f>
        <v>329</v>
      </c>
      <c r="Z52" s="2">
        <v>500</v>
      </c>
      <c r="AA52" s="2">
        <f t="shared" si="3"/>
        <v>65.8</v>
      </c>
      <c r="AB52" s="2">
        <f>38+71+74</f>
        <v>183</v>
      </c>
      <c r="AC52" s="2">
        <v>300</v>
      </c>
      <c r="AD52" s="2">
        <f t="shared" si="4"/>
        <v>61</v>
      </c>
      <c r="AE52" s="2" t="s">
        <v>3630</v>
      </c>
      <c r="AF52" s="2" t="s">
        <v>2653</v>
      </c>
      <c r="AG52" s="2" t="s">
        <v>3497</v>
      </c>
      <c r="AH52" s="2">
        <v>10000</v>
      </c>
      <c r="AI52" s="2">
        <v>210000</v>
      </c>
      <c r="AJ52" s="2">
        <v>27500</v>
      </c>
      <c r="AK52" s="2">
        <f t="shared" si="5"/>
        <v>247500</v>
      </c>
      <c r="AL52" s="2" t="s">
        <v>3631</v>
      </c>
      <c r="AM52" s="2" t="s">
        <v>87</v>
      </c>
      <c r="AN52" s="2" t="s">
        <v>3639</v>
      </c>
      <c r="AO52" s="2" t="s">
        <v>3632</v>
      </c>
      <c r="AP52" s="2" t="s">
        <v>3633</v>
      </c>
      <c r="AQ52" s="2" t="s">
        <v>3634</v>
      </c>
      <c r="AR52" s="4" t="s">
        <v>3635</v>
      </c>
      <c r="AS52" s="2" t="s">
        <v>3636</v>
      </c>
      <c r="AT52" s="2" t="s">
        <v>3637</v>
      </c>
      <c r="AU52" s="2" t="s">
        <v>1251</v>
      </c>
      <c r="AV52" s="2" t="s">
        <v>833</v>
      </c>
      <c r="AX52" s="2" t="s">
        <v>3636</v>
      </c>
      <c r="AZ52" s="2">
        <v>9116582739</v>
      </c>
      <c r="BA52" s="2">
        <v>9829655089</v>
      </c>
      <c r="BB52" s="2">
        <v>9462017528</v>
      </c>
      <c r="BD52" s="3" t="s">
        <v>3638</v>
      </c>
      <c r="BE52" s="2" t="s">
        <v>1862</v>
      </c>
      <c r="BF52" s="2" t="s">
        <v>37</v>
      </c>
    </row>
    <row r="53" spans="1:59" s="2" customFormat="1" ht="80.099999999999994" customHeight="1" x14ac:dyDescent="0.25">
      <c r="A53" s="2">
        <v>51</v>
      </c>
      <c r="B53" s="6">
        <v>794</v>
      </c>
      <c r="C53" s="2" t="s">
        <v>4443</v>
      </c>
      <c r="D53" s="6" t="s">
        <v>345</v>
      </c>
      <c r="F53" s="8" t="s">
        <v>3476</v>
      </c>
      <c r="G53" s="6" t="s">
        <v>38</v>
      </c>
      <c r="H53" s="6" t="s">
        <v>35</v>
      </c>
      <c r="I53" s="2" t="s">
        <v>68</v>
      </c>
      <c r="J53" s="2" t="s">
        <v>36</v>
      </c>
      <c r="K53" s="2" t="s">
        <v>207</v>
      </c>
      <c r="L53" s="2" t="s">
        <v>82</v>
      </c>
      <c r="M53" s="2" t="s">
        <v>3710</v>
      </c>
      <c r="N53" s="2" t="s">
        <v>76</v>
      </c>
      <c r="O53" s="2" t="s">
        <v>83</v>
      </c>
      <c r="P53" s="2" t="s">
        <v>85</v>
      </c>
      <c r="Q53" s="2" t="s">
        <v>185</v>
      </c>
      <c r="R53" s="2">
        <v>1858215533</v>
      </c>
      <c r="S53" s="2">
        <v>2018</v>
      </c>
      <c r="T53" s="2" t="s">
        <v>75</v>
      </c>
      <c r="U53" s="2" t="s">
        <v>37</v>
      </c>
      <c r="V53" s="2" t="s">
        <v>76</v>
      </c>
      <c r="W53" s="2">
        <v>826</v>
      </c>
      <c r="X53" s="2">
        <f>W53/1000*100</f>
        <v>82.6</v>
      </c>
      <c r="Y53" s="2">
        <f>86+82+75+66+58+60+29+30</f>
        <v>486</v>
      </c>
      <c r="Z53" s="2">
        <v>530</v>
      </c>
      <c r="AA53" s="2">
        <f t="shared" si="3"/>
        <v>91.698113207547166</v>
      </c>
      <c r="AB53" s="2">
        <f>53+47+46+40+75+66+58+60+29+30</f>
        <v>504</v>
      </c>
      <c r="AC53" s="2">
        <v>600</v>
      </c>
      <c r="AD53" s="2">
        <f t="shared" si="4"/>
        <v>84</v>
      </c>
      <c r="AE53" s="2" t="s">
        <v>1833</v>
      </c>
      <c r="AF53" s="2" t="s">
        <v>1722</v>
      </c>
      <c r="AG53" s="2" t="s">
        <v>3681</v>
      </c>
      <c r="AH53" s="2">
        <v>10000</v>
      </c>
      <c r="AI53" s="2">
        <v>210000</v>
      </c>
      <c r="AJ53" s="2">
        <v>27500</v>
      </c>
      <c r="AK53" s="2">
        <f t="shared" si="5"/>
        <v>247500</v>
      </c>
      <c r="AL53" s="2" t="s">
        <v>3711</v>
      </c>
      <c r="AM53" s="2" t="s">
        <v>844</v>
      </c>
      <c r="AN53" s="2" t="s">
        <v>3712</v>
      </c>
      <c r="AP53" s="2">
        <v>150000</v>
      </c>
      <c r="AQ53" s="2" t="s">
        <v>3713</v>
      </c>
      <c r="AR53" s="4" t="s">
        <v>3718</v>
      </c>
      <c r="AS53" s="2" t="s">
        <v>3714</v>
      </c>
      <c r="AT53" s="2" t="s">
        <v>3715</v>
      </c>
      <c r="AU53" s="2" t="s">
        <v>3716</v>
      </c>
      <c r="AV53" s="2" t="s">
        <v>76</v>
      </c>
      <c r="AX53" s="2" t="s">
        <v>3714</v>
      </c>
      <c r="AZ53" s="2">
        <v>9705176624</v>
      </c>
      <c r="BD53" s="3" t="s">
        <v>3717</v>
      </c>
      <c r="BE53" s="2" t="s">
        <v>3452</v>
      </c>
      <c r="BF53" s="2" t="s">
        <v>144</v>
      </c>
    </row>
    <row r="54" spans="1:59" s="2" customFormat="1" ht="80.099999999999994" customHeight="1" x14ac:dyDescent="0.25">
      <c r="A54" s="2">
        <v>52</v>
      </c>
      <c r="B54" s="6">
        <v>798</v>
      </c>
      <c r="C54" s="2" t="s">
        <v>4443</v>
      </c>
      <c r="D54" s="6" t="s">
        <v>345</v>
      </c>
      <c r="F54" s="8" t="s">
        <v>3479</v>
      </c>
      <c r="G54" s="6" t="s">
        <v>38</v>
      </c>
      <c r="H54" s="6" t="s">
        <v>92</v>
      </c>
      <c r="I54" s="2" t="s">
        <v>68</v>
      </c>
      <c r="J54" s="2" t="s">
        <v>36</v>
      </c>
      <c r="K54" s="2" t="s">
        <v>157</v>
      </c>
      <c r="L54" s="2" t="s">
        <v>82</v>
      </c>
      <c r="M54" s="2" t="s">
        <v>3740</v>
      </c>
      <c r="N54" s="2" t="s">
        <v>969</v>
      </c>
      <c r="O54" s="2" t="s">
        <v>72</v>
      </c>
      <c r="P54" s="2" t="s">
        <v>85</v>
      </c>
      <c r="Q54" s="2" t="s">
        <v>185</v>
      </c>
      <c r="R54" s="2">
        <v>747712</v>
      </c>
      <c r="S54" s="2">
        <v>2018</v>
      </c>
      <c r="T54" s="2" t="s">
        <v>64</v>
      </c>
      <c r="U54" s="2" t="s">
        <v>65</v>
      </c>
      <c r="V54" s="2" t="s">
        <v>37</v>
      </c>
      <c r="W54" s="2" t="s">
        <v>37</v>
      </c>
      <c r="X54" s="2" t="s">
        <v>37</v>
      </c>
      <c r="Y54" s="2">
        <v>516</v>
      </c>
      <c r="Z54" s="2">
        <v>600</v>
      </c>
      <c r="AA54" s="2">
        <f t="shared" si="3"/>
        <v>86</v>
      </c>
      <c r="AB54" s="2">
        <f>86+85+84</f>
        <v>255</v>
      </c>
      <c r="AC54" s="2">
        <v>300</v>
      </c>
      <c r="AD54" s="2">
        <f t="shared" si="4"/>
        <v>85</v>
      </c>
      <c r="AE54" s="2" t="s">
        <v>3741</v>
      </c>
      <c r="AF54" s="2" t="s">
        <v>2103</v>
      </c>
      <c r="AG54" s="2" t="s">
        <v>3681</v>
      </c>
      <c r="AH54" s="2">
        <v>10000</v>
      </c>
      <c r="AI54" s="2">
        <v>210000</v>
      </c>
      <c r="AJ54" s="2">
        <v>27500</v>
      </c>
      <c r="AK54" s="2">
        <f t="shared" si="5"/>
        <v>247500</v>
      </c>
      <c r="AL54" s="2" t="s">
        <v>3742</v>
      </c>
      <c r="AM54" s="2" t="s">
        <v>3744</v>
      </c>
      <c r="AN54" s="2" t="s">
        <v>3743</v>
      </c>
      <c r="AO54" s="2" t="s">
        <v>3745</v>
      </c>
      <c r="AP54" s="2">
        <v>2000000</v>
      </c>
      <c r="AQ54" s="2" t="s">
        <v>3746</v>
      </c>
      <c r="AR54" s="4" t="s">
        <v>3747</v>
      </c>
      <c r="AS54" s="2" t="s">
        <v>3748</v>
      </c>
      <c r="AT54" s="2" t="s">
        <v>3749</v>
      </c>
      <c r="AU54" s="2" t="s">
        <v>60</v>
      </c>
      <c r="AV54" s="2" t="s">
        <v>65</v>
      </c>
      <c r="AW54" s="2">
        <v>570030</v>
      </c>
      <c r="AX54" s="2" t="s">
        <v>3748</v>
      </c>
      <c r="AY54" s="2" t="s">
        <v>3750</v>
      </c>
      <c r="AZ54" s="2">
        <v>9844716014</v>
      </c>
      <c r="BA54" s="2">
        <v>9844180551</v>
      </c>
      <c r="BB54" s="2">
        <v>9844716001</v>
      </c>
      <c r="BC54" s="3" t="s">
        <v>3751</v>
      </c>
      <c r="BD54" s="3" t="s">
        <v>3752</v>
      </c>
      <c r="BE54" s="2" t="s">
        <v>1862</v>
      </c>
      <c r="BF54" s="2" t="s">
        <v>37</v>
      </c>
    </row>
    <row r="55" spans="1:59" s="2" customFormat="1" ht="80.099999999999994" customHeight="1" x14ac:dyDescent="0.25">
      <c r="A55" s="2">
        <v>53</v>
      </c>
      <c r="B55" s="6">
        <v>742</v>
      </c>
      <c r="C55" s="2" t="s">
        <v>4443</v>
      </c>
      <c r="D55" s="6" t="s">
        <v>345</v>
      </c>
      <c r="F55" s="8" t="s">
        <v>3490</v>
      </c>
      <c r="G55" s="6" t="s">
        <v>38</v>
      </c>
      <c r="H55" s="6" t="s">
        <v>35</v>
      </c>
      <c r="I55" s="2" t="s">
        <v>68</v>
      </c>
      <c r="J55" s="2" t="s">
        <v>36</v>
      </c>
      <c r="K55" s="2" t="s">
        <v>207</v>
      </c>
      <c r="L55" s="2" t="s">
        <v>82</v>
      </c>
      <c r="M55" s="2" t="s">
        <v>2772</v>
      </c>
      <c r="N55" s="2" t="s">
        <v>3849</v>
      </c>
      <c r="O55" s="2" t="s">
        <v>83</v>
      </c>
      <c r="P55" s="2" t="s">
        <v>85</v>
      </c>
      <c r="Q55" s="2" t="s">
        <v>185</v>
      </c>
      <c r="R55" s="2">
        <v>1859237463</v>
      </c>
      <c r="S55" s="2">
        <v>2018</v>
      </c>
      <c r="T55" s="2" t="s">
        <v>75</v>
      </c>
      <c r="U55" s="2" t="s">
        <v>37</v>
      </c>
      <c r="V55" s="2" t="s">
        <v>76</v>
      </c>
      <c r="W55" s="2">
        <v>853</v>
      </c>
      <c r="X55" s="2">
        <f>W55/1000*100</f>
        <v>85.3</v>
      </c>
      <c r="Y55" s="2">
        <f>80+94+57+32+54+60+29+29</f>
        <v>435</v>
      </c>
      <c r="Z55" s="2">
        <v>530</v>
      </c>
      <c r="AA55" s="2">
        <f t="shared" si="3"/>
        <v>82.075471698113205</v>
      </c>
      <c r="AB55" s="2">
        <f>68+72+41+48+57+32+54+29+60+29</f>
        <v>490</v>
      </c>
      <c r="AC55" s="2">
        <v>600</v>
      </c>
      <c r="AD55" s="2">
        <f t="shared" si="4"/>
        <v>81.666666666666671</v>
      </c>
      <c r="AE55" s="2" t="s">
        <v>3850</v>
      </c>
      <c r="AF55" s="2" t="s">
        <v>2160</v>
      </c>
      <c r="AG55" s="2" t="s">
        <v>3840</v>
      </c>
      <c r="AH55" s="2">
        <v>10000</v>
      </c>
      <c r="AI55" s="2">
        <v>210000</v>
      </c>
      <c r="AJ55" s="2">
        <v>27500</v>
      </c>
      <c r="AK55" s="2">
        <f t="shared" si="5"/>
        <v>247500</v>
      </c>
      <c r="AL55" s="2" t="s">
        <v>3851</v>
      </c>
      <c r="AM55" s="2" t="s">
        <v>78</v>
      </c>
      <c r="AN55" s="2" t="s">
        <v>3852</v>
      </c>
      <c r="AO55" s="2" t="s">
        <v>139</v>
      </c>
      <c r="AP55" s="2">
        <v>200000</v>
      </c>
      <c r="AQ55" s="2" t="s">
        <v>3853</v>
      </c>
      <c r="AR55" s="4" t="s">
        <v>3854</v>
      </c>
      <c r="AS55" s="2" t="s">
        <v>3855</v>
      </c>
      <c r="AT55" s="2" t="s">
        <v>3849</v>
      </c>
      <c r="AU55" s="2" t="s">
        <v>755</v>
      </c>
      <c r="AV55" s="2" t="s">
        <v>215</v>
      </c>
      <c r="AW55" s="2">
        <v>516151</v>
      </c>
      <c r="AX55" s="2" t="s">
        <v>3855</v>
      </c>
      <c r="AZ55" s="2">
        <v>9493374011</v>
      </c>
      <c r="BA55" s="2">
        <v>6303606262</v>
      </c>
      <c r="BB55" s="2">
        <v>9440931260</v>
      </c>
      <c r="BD55" s="3" t="s">
        <v>3856</v>
      </c>
      <c r="BE55" s="2" t="s">
        <v>3858</v>
      </c>
      <c r="BF55" s="2" t="s">
        <v>3857</v>
      </c>
    </row>
    <row r="56" spans="1:59" s="2" customFormat="1" ht="80.099999999999994" customHeight="1" x14ac:dyDescent="0.25">
      <c r="A56" s="2">
        <v>54</v>
      </c>
      <c r="B56" s="6">
        <v>835</v>
      </c>
      <c r="C56" s="2" t="s">
        <v>4443</v>
      </c>
      <c r="D56" s="6" t="s">
        <v>345</v>
      </c>
      <c r="F56" s="8" t="s">
        <v>3847</v>
      </c>
      <c r="G56" s="6" t="s">
        <v>38</v>
      </c>
      <c r="H56" s="6" t="s">
        <v>35</v>
      </c>
      <c r="I56" s="2" t="s">
        <v>68</v>
      </c>
      <c r="J56" s="2" t="s">
        <v>36</v>
      </c>
      <c r="K56" s="2" t="s">
        <v>206</v>
      </c>
      <c r="L56" s="2" t="s">
        <v>151</v>
      </c>
      <c r="M56" s="2" t="s">
        <v>3939</v>
      </c>
      <c r="N56" s="2" t="s">
        <v>3940</v>
      </c>
      <c r="O56" s="2" t="s">
        <v>83</v>
      </c>
      <c r="Q56" s="2" t="s">
        <v>185</v>
      </c>
      <c r="R56" s="2">
        <v>1810220216</v>
      </c>
      <c r="S56" s="2">
        <v>2018</v>
      </c>
      <c r="T56" s="2" t="s">
        <v>89</v>
      </c>
      <c r="U56" s="2" t="s">
        <v>37</v>
      </c>
      <c r="V56" s="2" t="s">
        <v>215</v>
      </c>
      <c r="W56" s="2">
        <v>724</v>
      </c>
      <c r="X56" s="2">
        <f>W56/1000*100</f>
        <v>72.399999999999991</v>
      </c>
      <c r="Y56" s="2">
        <f>73+90+41+64+35+39+29+27</f>
        <v>398</v>
      </c>
      <c r="Z56" s="2">
        <v>530</v>
      </c>
      <c r="AA56" s="2">
        <f t="shared" si="3"/>
        <v>75.094339622641513</v>
      </c>
      <c r="AB56" s="2">
        <f>36+51+51+56+41+64+35+39+29+27</f>
        <v>429</v>
      </c>
      <c r="AC56" s="2">
        <v>600</v>
      </c>
      <c r="AD56" s="2">
        <f t="shared" si="4"/>
        <v>71.5</v>
      </c>
      <c r="AE56" s="2" t="s">
        <v>3941</v>
      </c>
      <c r="AF56" s="2" t="s">
        <v>2793</v>
      </c>
      <c r="AG56" s="2" t="s">
        <v>3949</v>
      </c>
      <c r="AH56" s="2">
        <v>10000</v>
      </c>
      <c r="AI56" s="2">
        <v>210000</v>
      </c>
      <c r="AJ56" s="2">
        <v>27500</v>
      </c>
      <c r="AK56" s="2">
        <f t="shared" si="5"/>
        <v>247500</v>
      </c>
      <c r="AL56" s="2" t="s">
        <v>3942</v>
      </c>
      <c r="AM56" s="2" t="s">
        <v>78</v>
      </c>
      <c r="AN56" s="2" t="s">
        <v>3943</v>
      </c>
      <c r="AO56" s="2" t="s">
        <v>67</v>
      </c>
      <c r="AP56" s="2">
        <v>100000</v>
      </c>
      <c r="AQ56" s="2" t="s">
        <v>3944</v>
      </c>
      <c r="AR56" s="4" t="s">
        <v>3945</v>
      </c>
      <c r="AS56" s="2" t="s">
        <v>3946</v>
      </c>
      <c r="AT56" s="2" t="s">
        <v>3947</v>
      </c>
      <c r="AU56" s="2" t="s">
        <v>169</v>
      </c>
      <c r="AV56" s="2" t="s">
        <v>215</v>
      </c>
      <c r="AX56" s="2" t="s">
        <v>3946</v>
      </c>
      <c r="AZ56" s="2">
        <v>8185991561</v>
      </c>
      <c r="BA56" s="2">
        <v>9440365482</v>
      </c>
      <c r="BB56" s="2">
        <v>7989321284</v>
      </c>
      <c r="BD56" s="3" t="s">
        <v>3948</v>
      </c>
      <c r="BE56" s="2" t="s">
        <v>4374</v>
      </c>
      <c r="BF56" s="2" t="s">
        <v>4373</v>
      </c>
    </row>
    <row r="57" spans="1:59" s="6" customFormat="1" ht="80.099999999999994" customHeight="1" x14ac:dyDescent="0.25">
      <c r="A57" s="2">
        <v>55</v>
      </c>
      <c r="B57" s="2">
        <v>916</v>
      </c>
      <c r="C57" s="2" t="s">
        <v>4443</v>
      </c>
      <c r="D57" s="2" t="s">
        <v>345</v>
      </c>
      <c r="E57" s="2"/>
      <c r="F57" s="7" t="s">
        <v>4161</v>
      </c>
      <c r="G57" s="2" t="s">
        <v>1505</v>
      </c>
      <c r="H57" s="2" t="s">
        <v>92</v>
      </c>
      <c r="I57" s="2" t="s">
        <v>68</v>
      </c>
      <c r="J57" s="2" t="s">
        <v>36</v>
      </c>
      <c r="K57" s="2" t="s">
        <v>37</v>
      </c>
      <c r="L57" s="2" t="s">
        <v>82</v>
      </c>
      <c r="M57" s="2" t="s">
        <v>1115</v>
      </c>
      <c r="N57" s="2" t="s">
        <v>3271</v>
      </c>
      <c r="O57" s="2" t="s">
        <v>795</v>
      </c>
      <c r="P57" s="2" t="s">
        <v>85</v>
      </c>
      <c r="Q57" s="2" t="s">
        <v>63</v>
      </c>
      <c r="R57" s="2">
        <v>419189</v>
      </c>
      <c r="S57" s="2">
        <v>2018</v>
      </c>
      <c r="T57" s="2" t="s">
        <v>64</v>
      </c>
      <c r="U57" s="2" t="s">
        <v>65</v>
      </c>
      <c r="V57" s="2" t="s">
        <v>37</v>
      </c>
      <c r="W57" s="2" t="s">
        <v>37</v>
      </c>
      <c r="X57" s="2" t="s">
        <v>37</v>
      </c>
      <c r="Y57" s="2">
        <v>441</v>
      </c>
      <c r="Z57" s="2">
        <v>600</v>
      </c>
      <c r="AA57" s="2">
        <f t="shared" si="3"/>
        <v>73.5</v>
      </c>
      <c r="AB57" s="2">
        <f>66+69+73</f>
        <v>208</v>
      </c>
      <c r="AC57" s="2">
        <v>300</v>
      </c>
      <c r="AD57" s="2">
        <f t="shared" si="4"/>
        <v>69.333333333333343</v>
      </c>
      <c r="AE57" s="2" t="s">
        <v>4162</v>
      </c>
      <c r="AF57" s="2" t="s">
        <v>2949</v>
      </c>
      <c r="AG57" s="2" t="s">
        <v>4159</v>
      </c>
      <c r="AH57" s="2">
        <v>10000</v>
      </c>
      <c r="AI57" s="2">
        <v>200000</v>
      </c>
      <c r="AJ57" s="2">
        <v>27500</v>
      </c>
      <c r="AK57" s="2">
        <f t="shared" si="5"/>
        <v>237500</v>
      </c>
      <c r="AL57" s="2" t="s">
        <v>4163</v>
      </c>
      <c r="AM57" s="2" t="s">
        <v>924</v>
      </c>
      <c r="AN57" s="2" t="s">
        <v>4164</v>
      </c>
      <c r="AO57" s="2"/>
      <c r="AP57" s="2">
        <v>350000</v>
      </c>
      <c r="AQ57" s="2" t="s">
        <v>4165</v>
      </c>
      <c r="AR57" s="4" t="s">
        <v>4166</v>
      </c>
      <c r="AS57" s="2" t="s">
        <v>4167</v>
      </c>
      <c r="AT57" s="2" t="s">
        <v>4168</v>
      </c>
      <c r="AU57" s="2" t="s">
        <v>95</v>
      </c>
      <c r="AV57" s="2" t="s">
        <v>65</v>
      </c>
      <c r="AW57" s="2">
        <v>560029</v>
      </c>
      <c r="AX57" s="2" t="s">
        <v>4167</v>
      </c>
      <c r="AY57" s="2"/>
      <c r="AZ57" s="2">
        <v>9900764729</v>
      </c>
      <c r="BA57" s="2"/>
      <c r="BB57" s="2">
        <v>9916952566</v>
      </c>
      <c r="BC57" s="2"/>
      <c r="BD57" s="3" t="s">
        <v>4169</v>
      </c>
      <c r="BE57" s="2" t="s">
        <v>3382</v>
      </c>
      <c r="BF57" s="2" t="s">
        <v>37</v>
      </c>
      <c r="BG57" s="2"/>
    </row>
    <row r="58" spans="1:59" s="6" customFormat="1" ht="80.099999999999994" customHeight="1" x14ac:dyDescent="0.25">
      <c r="A58" s="2">
        <v>56</v>
      </c>
      <c r="B58" s="6">
        <v>953</v>
      </c>
      <c r="C58" s="2" t="s">
        <v>4443</v>
      </c>
      <c r="D58" s="2" t="s">
        <v>345</v>
      </c>
      <c r="F58" s="7" t="s">
        <v>4284</v>
      </c>
      <c r="G58" s="2" t="s">
        <v>38</v>
      </c>
      <c r="H58" s="2" t="s">
        <v>35</v>
      </c>
      <c r="I58" s="6" t="s">
        <v>68</v>
      </c>
      <c r="J58" s="6" t="s">
        <v>36</v>
      </c>
      <c r="K58" s="6" t="s">
        <v>3829</v>
      </c>
      <c r="L58" s="6" t="s">
        <v>82</v>
      </c>
      <c r="M58" s="6" t="s">
        <v>1115</v>
      </c>
      <c r="N58" s="6" t="s">
        <v>3565</v>
      </c>
      <c r="O58" s="6" t="s">
        <v>123</v>
      </c>
      <c r="P58" s="6" t="s">
        <v>62</v>
      </c>
      <c r="Q58" s="6" t="s">
        <v>185</v>
      </c>
      <c r="R58" s="6">
        <v>4617832</v>
      </c>
      <c r="S58" s="6">
        <v>2018</v>
      </c>
      <c r="T58" s="6" t="s">
        <v>616</v>
      </c>
      <c r="U58" s="6" t="s">
        <v>37</v>
      </c>
      <c r="V58" s="6" t="s">
        <v>152</v>
      </c>
      <c r="W58" s="6" t="s">
        <v>37</v>
      </c>
      <c r="X58" s="6" t="s">
        <v>37</v>
      </c>
      <c r="Y58" s="6">
        <f>94+49+89+73+80</f>
        <v>385</v>
      </c>
      <c r="Z58" s="6">
        <v>500</v>
      </c>
      <c r="AA58" s="6">
        <f t="shared" si="3"/>
        <v>77</v>
      </c>
      <c r="AB58" s="6">
        <f>49+89+73</f>
        <v>211</v>
      </c>
      <c r="AC58" s="6">
        <v>300</v>
      </c>
      <c r="AD58" s="6">
        <f t="shared" si="4"/>
        <v>70.333333333333343</v>
      </c>
      <c r="AE58" s="6" t="s">
        <v>4285</v>
      </c>
      <c r="AF58" s="6" t="s">
        <v>4190</v>
      </c>
      <c r="AG58" s="6" t="s">
        <v>4286</v>
      </c>
      <c r="AH58" s="35">
        <v>10000</v>
      </c>
      <c r="AI58" s="6">
        <v>210000</v>
      </c>
      <c r="AJ58" s="35">
        <v>27500</v>
      </c>
      <c r="AK58" s="6">
        <f t="shared" si="5"/>
        <v>247500</v>
      </c>
      <c r="AL58" s="6" t="s">
        <v>4287</v>
      </c>
      <c r="AM58" s="6" t="s">
        <v>87</v>
      </c>
      <c r="AN58" s="6" t="s">
        <v>4288</v>
      </c>
      <c r="AO58" s="6" t="s">
        <v>4289</v>
      </c>
      <c r="AP58" s="6">
        <v>1000000</v>
      </c>
      <c r="AQ58" s="6" t="s">
        <v>4290</v>
      </c>
      <c r="AR58" s="13" t="s">
        <v>4291</v>
      </c>
      <c r="AS58" s="6" t="s">
        <v>4292</v>
      </c>
      <c r="AT58" s="6" t="s">
        <v>4293</v>
      </c>
      <c r="AU58" s="6" t="s">
        <v>3565</v>
      </c>
      <c r="AV58" s="6" t="s">
        <v>152</v>
      </c>
      <c r="AW58" s="6">
        <v>639113</v>
      </c>
      <c r="AX58" s="6" t="s">
        <v>4292</v>
      </c>
      <c r="AZ58" s="6">
        <v>9629007580</v>
      </c>
      <c r="BA58" s="6">
        <v>9902092474</v>
      </c>
      <c r="BB58" s="6">
        <v>9965648822</v>
      </c>
      <c r="BC58" s="14" t="s">
        <v>4295</v>
      </c>
      <c r="BD58" s="14" t="s">
        <v>4294</v>
      </c>
      <c r="BE58" s="2" t="s">
        <v>3960</v>
      </c>
      <c r="BF58" s="2" t="s">
        <v>37</v>
      </c>
    </row>
    <row r="59" spans="1:59" s="2" customFormat="1" ht="80.099999999999994" customHeight="1" x14ac:dyDescent="0.25">
      <c r="A59" s="2">
        <v>57</v>
      </c>
      <c r="B59" s="2">
        <v>318</v>
      </c>
      <c r="C59" s="2" t="s">
        <v>4443</v>
      </c>
      <c r="D59" s="2" t="s">
        <v>345</v>
      </c>
      <c r="F59" s="8" t="s">
        <v>1685</v>
      </c>
      <c r="G59" s="6" t="s">
        <v>38</v>
      </c>
      <c r="H59" s="2" t="s">
        <v>35</v>
      </c>
      <c r="I59" s="2" t="s">
        <v>68</v>
      </c>
      <c r="J59" s="2" t="s">
        <v>36</v>
      </c>
      <c r="K59" s="2" t="s">
        <v>148</v>
      </c>
      <c r="L59" s="2" t="s">
        <v>82</v>
      </c>
      <c r="M59" s="2" t="s">
        <v>1686</v>
      </c>
      <c r="N59" s="2" t="s">
        <v>1687</v>
      </c>
      <c r="O59" s="2" t="s">
        <v>83</v>
      </c>
      <c r="Q59" s="2" t="s">
        <v>185</v>
      </c>
      <c r="R59" s="2">
        <v>4645428</v>
      </c>
      <c r="S59" s="2">
        <v>2018</v>
      </c>
      <c r="T59" s="2" t="s">
        <v>616</v>
      </c>
      <c r="U59" s="2" t="s">
        <v>37</v>
      </c>
      <c r="V59" s="2" t="s">
        <v>215</v>
      </c>
      <c r="W59" s="2" t="s">
        <v>37</v>
      </c>
      <c r="X59" s="2" t="s">
        <v>37</v>
      </c>
      <c r="Y59" s="2">
        <f>64+95+74+91+91</f>
        <v>415</v>
      </c>
      <c r="Z59" s="2">
        <v>500</v>
      </c>
      <c r="AA59" s="2">
        <f>Y59/Z59*100</f>
        <v>83</v>
      </c>
      <c r="AB59" s="2">
        <f>95+74+91</f>
        <v>260</v>
      </c>
      <c r="AC59" s="2">
        <v>300</v>
      </c>
      <c r="AD59" s="2">
        <f>AB59/AC59*100</f>
        <v>86.666666666666671</v>
      </c>
      <c r="AE59" s="2" t="s">
        <v>1612</v>
      </c>
      <c r="AF59" s="2" t="s">
        <v>1658</v>
      </c>
      <c r="AG59" s="2" t="s">
        <v>1658</v>
      </c>
      <c r="AH59" s="2">
        <v>10000</v>
      </c>
      <c r="AI59" s="6">
        <v>210000</v>
      </c>
      <c r="AJ59" s="2">
        <v>27500</v>
      </c>
      <c r="AK59" s="2">
        <f>AH59+AI59+AJ59</f>
        <v>247500</v>
      </c>
      <c r="AL59" s="2" t="s">
        <v>1688</v>
      </c>
      <c r="AM59" s="2" t="s">
        <v>78</v>
      </c>
      <c r="AN59" s="2" t="s">
        <v>1689</v>
      </c>
      <c r="AO59" s="2" t="s">
        <v>139</v>
      </c>
      <c r="AP59" s="2">
        <v>400000</v>
      </c>
      <c r="AQ59" s="2" t="s">
        <v>1690</v>
      </c>
      <c r="AR59" s="4" t="s">
        <v>1691</v>
      </c>
      <c r="AS59" s="2" t="s">
        <v>1692</v>
      </c>
      <c r="AT59" s="2" t="s">
        <v>1687</v>
      </c>
      <c r="AU59" s="2" t="s">
        <v>1693</v>
      </c>
      <c r="AV59" s="2" t="s">
        <v>215</v>
      </c>
      <c r="AW59" s="2">
        <v>533101</v>
      </c>
      <c r="AX59" s="2" t="s">
        <v>1692</v>
      </c>
      <c r="AY59" s="2" t="s">
        <v>37</v>
      </c>
      <c r="AZ59" s="2">
        <v>7989360653</v>
      </c>
      <c r="BA59" s="2">
        <v>9866409050</v>
      </c>
      <c r="BB59" s="2">
        <v>7382261721</v>
      </c>
      <c r="BD59" s="3" t="s">
        <v>1694</v>
      </c>
      <c r="BE59" s="25" t="s">
        <v>1022</v>
      </c>
      <c r="BF59" s="25" t="s">
        <v>1350</v>
      </c>
    </row>
    <row r="60" spans="1:59" s="2" customFormat="1" ht="78" customHeight="1" x14ac:dyDescent="0.25">
      <c r="A60" s="2">
        <v>58</v>
      </c>
      <c r="B60" s="2">
        <v>1014</v>
      </c>
      <c r="C60" s="2" t="s">
        <v>4443</v>
      </c>
      <c r="D60" s="6" t="s">
        <v>345</v>
      </c>
      <c r="F60" s="8" t="s">
        <v>4381</v>
      </c>
      <c r="G60" s="2" t="s">
        <v>4382</v>
      </c>
      <c r="H60" s="2" t="s">
        <v>35</v>
      </c>
      <c r="I60" s="2" t="s">
        <v>68</v>
      </c>
      <c r="J60" s="2" t="s">
        <v>36</v>
      </c>
      <c r="K60" s="2" t="s">
        <v>37</v>
      </c>
      <c r="L60" s="2" t="s">
        <v>82</v>
      </c>
      <c r="M60" s="2" t="s">
        <v>493</v>
      </c>
      <c r="N60" s="2" t="s">
        <v>794</v>
      </c>
      <c r="O60" s="2" t="s">
        <v>795</v>
      </c>
      <c r="P60" s="2" t="s">
        <v>73</v>
      </c>
      <c r="Q60" s="2" t="s">
        <v>185</v>
      </c>
      <c r="S60" s="2">
        <v>2018</v>
      </c>
      <c r="T60" s="2" t="s">
        <v>4411</v>
      </c>
      <c r="U60" s="2" t="s">
        <v>37</v>
      </c>
      <c r="V60" s="2" t="s">
        <v>4412</v>
      </c>
      <c r="W60" s="2">
        <v>6.5</v>
      </c>
      <c r="AE60" s="2" t="s">
        <v>4426</v>
      </c>
      <c r="AG60" s="2" t="s">
        <v>4383</v>
      </c>
      <c r="AH60" s="2" t="s">
        <v>3514</v>
      </c>
      <c r="AI60" s="2" t="s">
        <v>3515</v>
      </c>
      <c r="AL60" s="2" t="s">
        <v>4413</v>
      </c>
      <c r="AM60" s="2" t="s">
        <v>78</v>
      </c>
      <c r="AN60" s="2" t="s">
        <v>4414</v>
      </c>
      <c r="AO60" s="2" t="s">
        <v>4415</v>
      </c>
      <c r="AP60" s="2">
        <v>35000</v>
      </c>
      <c r="AR60" s="4" t="s">
        <v>4416</v>
      </c>
      <c r="AS60" s="2" t="s">
        <v>4417</v>
      </c>
      <c r="AT60" s="2" t="s">
        <v>4418</v>
      </c>
      <c r="AU60" s="2" t="s">
        <v>4419</v>
      </c>
      <c r="AV60" s="2" t="s">
        <v>4420</v>
      </c>
      <c r="AW60" s="2">
        <v>673016</v>
      </c>
      <c r="AX60" s="2" t="s">
        <v>4417</v>
      </c>
      <c r="AY60" s="2" t="s">
        <v>4421</v>
      </c>
      <c r="AZ60" s="2">
        <v>7356023809</v>
      </c>
      <c r="BB60" s="2">
        <v>7591901590</v>
      </c>
      <c r="BC60" s="3" t="s">
        <v>4422</v>
      </c>
      <c r="BD60" s="3" t="s">
        <v>4423</v>
      </c>
      <c r="BE60" s="2" t="s">
        <v>4425</v>
      </c>
      <c r="BF60" s="2" t="s">
        <v>4424</v>
      </c>
    </row>
  </sheetData>
  <mergeCells count="56">
    <mergeCell ref="BE1:BE2"/>
    <mergeCell ref="BF1:BF2"/>
    <mergeCell ref="AY1:AY2"/>
    <mergeCell ref="AZ1:AZ2"/>
    <mergeCell ref="BA1:BA2"/>
    <mergeCell ref="BB1:BB2"/>
    <mergeCell ref="BC1:BC2"/>
    <mergeCell ref="BD1:BD2"/>
    <mergeCell ref="AX1:AX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L1:AL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Z1:Z2"/>
    <mergeCell ref="N1:N2"/>
    <mergeCell ref="O1:O2"/>
    <mergeCell ref="P1:P2"/>
    <mergeCell ref="Q1:Q2"/>
    <mergeCell ref="R1:R2"/>
    <mergeCell ref="S1:S2"/>
    <mergeCell ref="T1:T2"/>
    <mergeCell ref="U1:V1"/>
    <mergeCell ref="W1:W2"/>
    <mergeCell ref="X1:X2"/>
    <mergeCell ref="Y1:Y2"/>
    <mergeCell ref="M1:M2"/>
    <mergeCell ref="A1:A2"/>
    <mergeCell ref="B1:B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hyperlinks>
    <hyperlink ref="BC3" r:id="rId1"/>
    <hyperlink ref="BD3" r:id="rId2"/>
    <hyperlink ref="BC4" r:id="rId3"/>
    <hyperlink ref="BD4" r:id="rId4"/>
    <hyperlink ref="BD5" r:id="rId5"/>
    <hyperlink ref="BC6" r:id="rId6"/>
    <hyperlink ref="BC7" r:id="rId7"/>
    <hyperlink ref="BD7" r:id="rId8"/>
    <hyperlink ref="BC8" r:id="rId9"/>
    <hyperlink ref="BD8" r:id="rId10"/>
    <hyperlink ref="BC9" r:id="rId11"/>
    <hyperlink ref="BD9" r:id="rId12"/>
    <hyperlink ref="BC10" r:id="rId13"/>
    <hyperlink ref="BD10" r:id="rId14"/>
    <hyperlink ref="BC12" r:id="rId15"/>
    <hyperlink ref="BD12" r:id="rId16"/>
    <hyperlink ref="BC13" r:id="rId17"/>
    <hyperlink ref="BD13" r:id="rId18"/>
    <hyperlink ref="BD14" r:id="rId19"/>
    <hyperlink ref="BC15" r:id="rId20"/>
    <hyperlink ref="BD15" r:id="rId21"/>
    <hyperlink ref="BD16" r:id="rId22"/>
    <hyperlink ref="BD17" r:id="rId23"/>
    <hyperlink ref="BC18" r:id="rId24"/>
    <hyperlink ref="BD18" r:id="rId25"/>
    <hyperlink ref="BC19" r:id="rId26"/>
    <hyperlink ref="BD19" r:id="rId27"/>
    <hyperlink ref="BD21" r:id="rId28"/>
    <hyperlink ref="BC22" r:id="rId29"/>
    <hyperlink ref="BD22" r:id="rId30"/>
    <hyperlink ref="BC23" r:id="rId31"/>
    <hyperlink ref="BD23" r:id="rId32"/>
    <hyperlink ref="BD24" r:id="rId33"/>
    <hyperlink ref="BC25" r:id="rId34"/>
    <hyperlink ref="BD25" r:id="rId35"/>
    <hyperlink ref="BC26" r:id="rId36"/>
    <hyperlink ref="BD26" r:id="rId37"/>
    <hyperlink ref="BD27" r:id="rId38"/>
    <hyperlink ref="BC28" r:id="rId39"/>
    <hyperlink ref="BD28" r:id="rId40"/>
    <hyperlink ref="BC29" r:id="rId41"/>
    <hyperlink ref="BD29" r:id="rId42"/>
    <hyperlink ref="BC30" r:id="rId43"/>
    <hyperlink ref="BC31" r:id="rId44"/>
    <hyperlink ref="BD31" r:id="rId45"/>
    <hyperlink ref="BD32" r:id="rId46"/>
    <hyperlink ref="BC33" r:id="rId47"/>
    <hyperlink ref="BD33" r:id="rId48"/>
    <hyperlink ref="BD34" r:id="rId49"/>
    <hyperlink ref="BD35" r:id="rId50"/>
    <hyperlink ref="BD36" r:id="rId51"/>
    <hyperlink ref="BC37" r:id="rId52"/>
    <hyperlink ref="BD37" r:id="rId53"/>
    <hyperlink ref="BC38" r:id="rId54"/>
    <hyperlink ref="BD38" r:id="rId55"/>
    <hyperlink ref="BC39" r:id="rId56"/>
    <hyperlink ref="BD39" r:id="rId57"/>
    <hyperlink ref="BC40" r:id="rId58"/>
    <hyperlink ref="BD40" r:id="rId59"/>
    <hyperlink ref="BC41" r:id="rId60"/>
    <hyperlink ref="BD41" r:id="rId61"/>
    <hyperlink ref="BD42" r:id="rId62"/>
    <hyperlink ref="BD43" r:id="rId63"/>
    <hyperlink ref="BD44" r:id="rId64"/>
    <hyperlink ref="BC45" r:id="rId65"/>
    <hyperlink ref="BD45" r:id="rId66"/>
    <hyperlink ref="BC46" r:id="rId67"/>
    <hyperlink ref="BD46" r:id="rId68"/>
    <hyperlink ref="BC47" r:id="rId69"/>
    <hyperlink ref="BD47" r:id="rId70"/>
    <hyperlink ref="BC48" r:id="rId71"/>
    <hyperlink ref="BD48" r:id="rId72"/>
    <hyperlink ref="BC49" r:id="rId73"/>
    <hyperlink ref="BD49" r:id="rId74"/>
    <hyperlink ref="BC50" r:id="rId75"/>
    <hyperlink ref="BD50" r:id="rId76"/>
    <hyperlink ref="BD51" r:id="rId77"/>
    <hyperlink ref="BD52" r:id="rId78"/>
    <hyperlink ref="BD53" r:id="rId79"/>
    <hyperlink ref="BC54" r:id="rId80"/>
    <hyperlink ref="BD54" r:id="rId81"/>
    <hyperlink ref="BD55" r:id="rId82"/>
    <hyperlink ref="BD56" r:id="rId83"/>
    <hyperlink ref="BD57" r:id="rId84"/>
    <hyperlink ref="BC58" r:id="rId85"/>
    <hyperlink ref="BD58" r:id="rId86"/>
    <hyperlink ref="BD59" r:id="rId87"/>
    <hyperlink ref="BC60" r:id="rId88"/>
    <hyperlink ref="BD60" r:id="rId89"/>
    <hyperlink ref="BD11" r:id="rId90"/>
  </hyperlinks>
  <pageMargins left="0.7" right="0.7" top="0.75" bottom="0.75" header="0.3" footer="0.3"/>
  <pageSetup orientation="portrait" horizontalDpi="0" verticalDpi="0" r:id="rId9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G57"/>
  <sheetViews>
    <sheetView workbookViewId="0">
      <selection activeCell="G5" sqref="G5"/>
    </sheetView>
  </sheetViews>
  <sheetFormatPr defaultRowHeight="15" x14ac:dyDescent="0.25"/>
  <cols>
    <col min="1" max="1" width="6.140625" customWidth="1"/>
    <col min="6" max="6" width="22.28515625" customWidth="1"/>
    <col min="44" max="44" width="13.42578125" bestFit="1" customWidth="1"/>
  </cols>
  <sheetData>
    <row r="1" spans="1:59" s="1" customFormat="1" ht="30.75" customHeight="1" x14ac:dyDescent="0.25">
      <c r="A1" s="46" t="s">
        <v>34</v>
      </c>
      <c r="B1" s="48" t="s">
        <v>57</v>
      </c>
      <c r="C1" s="37"/>
      <c r="D1" s="49" t="s">
        <v>0</v>
      </c>
      <c r="E1" s="46" t="s">
        <v>28</v>
      </c>
      <c r="F1" s="46" t="s">
        <v>1</v>
      </c>
      <c r="G1" s="49" t="s">
        <v>2</v>
      </c>
      <c r="H1" s="49" t="s">
        <v>3</v>
      </c>
      <c r="I1" s="49" t="s">
        <v>4</v>
      </c>
      <c r="J1" s="49" t="s">
        <v>5</v>
      </c>
      <c r="K1" s="46" t="s">
        <v>6</v>
      </c>
      <c r="L1" s="49" t="s">
        <v>10</v>
      </c>
      <c r="M1" s="45" t="s">
        <v>7</v>
      </c>
      <c r="N1" s="50" t="s">
        <v>8</v>
      </c>
      <c r="O1" s="49" t="s">
        <v>9</v>
      </c>
      <c r="P1" s="46" t="s">
        <v>43</v>
      </c>
      <c r="Q1" s="49" t="s">
        <v>11</v>
      </c>
      <c r="R1" s="51" t="s">
        <v>31</v>
      </c>
      <c r="S1" s="52" t="s">
        <v>12</v>
      </c>
      <c r="T1" s="46" t="s">
        <v>13</v>
      </c>
      <c r="U1" s="53" t="s">
        <v>27</v>
      </c>
      <c r="V1" s="54"/>
      <c r="W1" s="46" t="s">
        <v>44</v>
      </c>
      <c r="X1" s="46" t="s">
        <v>52</v>
      </c>
      <c r="Y1" s="46" t="s">
        <v>32</v>
      </c>
      <c r="Z1" s="49" t="s">
        <v>40</v>
      </c>
      <c r="AA1" s="49" t="s">
        <v>39</v>
      </c>
      <c r="AB1" s="49" t="s">
        <v>14</v>
      </c>
      <c r="AC1" s="46" t="s">
        <v>66</v>
      </c>
      <c r="AD1" s="49" t="s">
        <v>33</v>
      </c>
      <c r="AE1" s="46" t="s">
        <v>42</v>
      </c>
      <c r="AF1" s="49" t="s">
        <v>41</v>
      </c>
      <c r="AG1" s="49" t="s">
        <v>15</v>
      </c>
      <c r="AH1" s="46" t="s">
        <v>55</v>
      </c>
      <c r="AI1" s="46" t="s">
        <v>29</v>
      </c>
      <c r="AJ1" s="46" t="s">
        <v>45</v>
      </c>
      <c r="AK1" s="46" t="s">
        <v>56</v>
      </c>
      <c r="AL1" s="49" t="s">
        <v>16</v>
      </c>
      <c r="AM1" s="46" t="s">
        <v>17</v>
      </c>
      <c r="AN1" s="49" t="s">
        <v>18</v>
      </c>
      <c r="AO1" s="49" t="s">
        <v>17</v>
      </c>
      <c r="AP1" s="49" t="s">
        <v>19</v>
      </c>
      <c r="AQ1" s="49" t="s">
        <v>47</v>
      </c>
      <c r="AR1" s="55" t="s">
        <v>48</v>
      </c>
      <c r="AS1" s="49" t="s">
        <v>46</v>
      </c>
      <c r="AT1" s="49" t="s">
        <v>25</v>
      </c>
      <c r="AU1" s="49" t="s">
        <v>30</v>
      </c>
      <c r="AV1" s="49" t="s">
        <v>27</v>
      </c>
      <c r="AW1" s="49" t="s">
        <v>20</v>
      </c>
      <c r="AX1" s="49" t="s">
        <v>26</v>
      </c>
      <c r="AY1" s="49" t="s">
        <v>21</v>
      </c>
      <c r="AZ1" s="46" t="s">
        <v>49</v>
      </c>
      <c r="BA1" s="46" t="s">
        <v>50</v>
      </c>
      <c r="BB1" s="49" t="s">
        <v>51</v>
      </c>
      <c r="BC1" s="49" t="s">
        <v>53</v>
      </c>
      <c r="BD1" s="49" t="s">
        <v>54</v>
      </c>
      <c r="BE1" s="46" t="s">
        <v>145</v>
      </c>
      <c r="BF1" s="46" t="s">
        <v>22</v>
      </c>
    </row>
    <row r="2" spans="1:59" s="1" customFormat="1" ht="38.25" x14ac:dyDescent="0.25">
      <c r="A2" s="47"/>
      <c r="B2" s="48"/>
      <c r="C2" s="37"/>
      <c r="D2" s="49"/>
      <c r="E2" s="47"/>
      <c r="F2" s="47"/>
      <c r="G2" s="49"/>
      <c r="H2" s="49"/>
      <c r="I2" s="49"/>
      <c r="J2" s="49"/>
      <c r="K2" s="47"/>
      <c r="L2" s="49"/>
      <c r="M2" s="45"/>
      <c r="N2" s="50"/>
      <c r="O2" s="49"/>
      <c r="P2" s="47"/>
      <c r="Q2" s="49"/>
      <c r="R2" s="51"/>
      <c r="S2" s="52"/>
      <c r="T2" s="47"/>
      <c r="U2" s="23" t="s">
        <v>23</v>
      </c>
      <c r="V2" s="23" t="s">
        <v>24</v>
      </c>
      <c r="W2" s="47"/>
      <c r="X2" s="47"/>
      <c r="Y2" s="47"/>
      <c r="Z2" s="49"/>
      <c r="AA2" s="49"/>
      <c r="AB2" s="49"/>
      <c r="AC2" s="47"/>
      <c r="AD2" s="49"/>
      <c r="AE2" s="47"/>
      <c r="AF2" s="49"/>
      <c r="AG2" s="49"/>
      <c r="AH2" s="47"/>
      <c r="AI2" s="47"/>
      <c r="AJ2" s="47"/>
      <c r="AK2" s="47"/>
      <c r="AL2" s="49"/>
      <c r="AM2" s="47"/>
      <c r="AN2" s="49"/>
      <c r="AO2" s="49"/>
      <c r="AP2" s="49"/>
      <c r="AQ2" s="49"/>
      <c r="AR2" s="56"/>
      <c r="AS2" s="49"/>
      <c r="AT2" s="49"/>
      <c r="AU2" s="49"/>
      <c r="AV2" s="49"/>
      <c r="AW2" s="49"/>
      <c r="AX2" s="49"/>
      <c r="AY2" s="49"/>
      <c r="AZ2" s="47"/>
      <c r="BA2" s="47"/>
      <c r="BB2" s="49"/>
      <c r="BC2" s="49"/>
      <c r="BD2" s="49"/>
      <c r="BE2" s="47"/>
      <c r="BF2" s="47"/>
    </row>
    <row r="3" spans="1:59" s="2" customFormat="1" ht="80.099999999999994" customHeight="1" x14ac:dyDescent="0.25">
      <c r="A3" s="2">
        <v>1</v>
      </c>
      <c r="B3" s="2">
        <v>43</v>
      </c>
      <c r="C3" s="2" t="s">
        <v>4444</v>
      </c>
      <c r="D3" s="2" t="s">
        <v>278</v>
      </c>
      <c r="F3" s="7" t="s">
        <v>279</v>
      </c>
      <c r="G3" s="2" t="s">
        <v>38</v>
      </c>
      <c r="H3" s="2" t="s">
        <v>35</v>
      </c>
      <c r="I3" s="2" t="s">
        <v>68</v>
      </c>
      <c r="J3" s="2" t="s">
        <v>36</v>
      </c>
      <c r="K3" s="2" t="s">
        <v>282</v>
      </c>
      <c r="L3" s="2" t="s">
        <v>234</v>
      </c>
      <c r="M3" s="2" t="s">
        <v>283</v>
      </c>
      <c r="N3" s="2" t="s">
        <v>284</v>
      </c>
      <c r="O3" s="2" t="s">
        <v>83</v>
      </c>
      <c r="Q3" s="2" t="s">
        <v>74</v>
      </c>
      <c r="R3" s="2">
        <v>1805211563</v>
      </c>
      <c r="S3" s="2">
        <v>2018</v>
      </c>
      <c r="T3" s="2" t="s">
        <v>89</v>
      </c>
      <c r="U3" s="2" t="s">
        <v>37</v>
      </c>
      <c r="V3" s="2" t="s">
        <v>215</v>
      </c>
      <c r="W3" s="2">
        <v>808</v>
      </c>
      <c r="X3" s="2">
        <f>W3/1000*100</f>
        <v>80.800000000000011</v>
      </c>
      <c r="Y3" s="2">
        <f>87+92+46+48+51+29+45+25</f>
        <v>423</v>
      </c>
      <c r="Z3" s="2">
        <v>530</v>
      </c>
      <c r="AA3" s="2">
        <f t="shared" ref="AA3:AA34" si="0">Y3/Z3*100</f>
        <v>79.811320754716988</v>
      </c>
      <c r="AB3" s="2">
        <f>58+50+54+46+46+48+51+29+45+25</f>
        <v>452</v>
      </c>
      <c r="AC3" s="2">
        <v>600</v>
      </c>
      <c r="AD3" s="2">
        <f t="shared" ref="AD3:AD34" si="1">AB3/AC3*100</f>
        <v>75.333333333333329</v>
      </c>
      <c r="AE3" s="2" t="s">
        <v>289</v>
      </c>
      <c r="AF3" s="2" t="s">
        <v>258</v>
      </c>
      <c r="AG3" s="2" t="s">
        <v>258</v>
      </c>
      <c r="AH3" s="2">
        <v>10000</v>
      </c>
      <c r="AI3" s="2">
        <v>200000</v>
      </c>
      <c r="AJ3" s="2">
        <v>27500</v>
      </c>
      <c r="AK3" s="2">
        <f t="shared" ref="AK3:AK34" si="2">AH3+AI3+AJ3</f>
        <v>237500</v>
      </c>
      <c r="AL3" s="2" t="s">
        <v>290</v>
      </c>
      <c r="AM3" s="2" t="s">
        <v>78</v>
      </c>
      <c r="AN3" s="2" t="s">
        <v>291</v>
      </c>
      <c r="AO3" s="2" t="s">
        <v>115</v>
      </c>
      <c r="AP3" s="2">
        <v>800000</v>
      </c>
      <c r="AQ3" s="2" t="s">
        <v>292</v>
      </c>
      <c r="AR3" s="4" t="s">
        <v>293</v>
      </c>
      <c r="AS3" s="2" t="s">
        <v>297</v>
      </c>
      <c r="AT3" s="2" t="s">
        <v>294</v>
      </c>
      <c r="AU3" s="2" t="s">
        <v>161</v>
      </c>
      <c r="AV3" s="2" t="s">
        <v>215</v>
      </c>
      <c r="AW3" s="2">
        <v>521108</v>
      </c>
      <c r="AX3" s="2" t="s">
        <v>297</v>
      </c>
      <c r="AZ3" s="2">
        <v>8500783513</v>
      </c>
      <c r="BA3" s="2">
        <v>9490811718</v>
      </c>
      <c r="BC3" s="3" t="s">
        <v>295</v>
      </c>
      <c r="BD3" s="3" t="s">
        <v>296</v>
      </c>
      <c r="BE3" s="2" t="s">
        <v>308</v>
      </c>
      <c r="BF3" s="2" t="s">
        <v>298</v>
      </c>
    </row>
    <row r="4" spans="1:59" s="2" customFormat="1" ht="80.099999999999994" customHeight="1" x14ac:dyDescent="0.25">
      <c r="A4" s="2">
        <v>2</v>
      </c>
      <c r="B4" s="6">
        <v>44</v>
      </c>
      <c r="C4" s="6" t="s">
        <v>4444</v>
      </c>
      <c r="D4" s="2" t="s">
        <v>278</v>
      </c>
      <c r="F4" s="7" t="s">
        <v>280</v>
      </c>
      <c r="G4" s="2" t="s">
        <v>38</v>
      </c>
      <c r="H4" s="2" t="s">
        <v>92</v>
      </c>
      <c r="I4" s="2" t="s">
        <v>68</v>
      </c>
      <c r="J4" s="2" t="s">
        <v>36</v>
      </c>
      <c r="K4" s="2" t="s">
        <v>81</v>
      </c>
      <c r="L4" s="2" t="s">
        <v>82</v>
      </c>
      <c r="M4" s="2" t="s">
        <v>287</v>
      </c>
      <c r="N4" s="2" t="s">
        <v>161</v>
      </c>
      <c r="O4" s="2" t="s">
        <v>83</v>
      </c>
      <c r="P4" s="2" t="s">
        <v>85</v>
      </c>
      <c r="Q4" s="2" t="s">
        <v>74</v>
      </c>
      <c r="R4" s="2">
        <v>1805251030</v>
      </c>
      <c r="S4" s="2">
        <v>2018</v>
      </c>
      <c r="T4" s="2" t="s">
        <v>89</v>
      </c>
      <c r="U4" s="2" t="s">
        <v>37</v>
      </c>
      <c r="V4" s="2" t="s">
        <v>215</v>
      </c>
      <c r="W4" s="2">
        <v>943</v>
      </c>
      <c r="X4" s="2">
        <f>W4/1000*100</f>
        <v>94.3</v>
      </c>
      <c r="Y4" s="2">
        <f>93+98+74+48+58+30+57+30</f>
        <v>488</v>
      </c>
      <c r="Z4" s="2">
        <v>530</v>
      </c>
      <c r="AA4" s="2">
        <f t="shared" si="0"/>
        <v>92.075471698113205</v>
      </c>
      <c r="AB4" s="2">
        <f>72+74+59+60+74+48+58+57+30+30</f>
        <v>562</v>
      </c>
      <c r="AC4" s="2">
        <v>600</v>
      </c>
      <c r="AD4" s="2">
        <f t="shared" si="1"/>
        <v>93.666666666666671</v>
      </c>
      <c r="AE4" s="2" t="s">
        <v>299</v>
      </c>
      <c r="AF4" s="2" t="s">
        <v>258</v>
      </c>
      <c r="AG4" s="2" t="s">
        <v>258</v>
      </c>
      <c r="AH4" s="2">
        <v>10000</v>
      </c>
      <c r="AI4" s="2">
        <v>200000</v>
      </c>
      <c r="AJ4" s="2">
        <v>27500</v>
      </c>
      <c r="AK4" s="2">
        <f t="shared" si="2"/>
        <v>237500</v>
      </c>
      <c r="AL4" s="2" t="s">
        <v>300</v>
      </c>
      <c r="AM4" s="2" t="s">
        <v>78</v>
      </c>
      <c r="AN4" s="2" t="s">
        <v>306</v>
      </c>
      <c r="AO4" s="2" t="s">
        <v>139</v>
      </c>
      <c r="AP4" s="2">
        <v>400000</v>
      </c>
      <c r="AQ4" s="2" t="s">
        <v>301</v>
      </c>
      <c r="AR4" s="4" t="s">
        <v>302</v>
      </c>
      <c r="AS4" s="2" t="s">
        <v>307</v>
      </c>
      <c r="AT4" s="2" t="s">
        <v>303</v>
      </c>
      <c r="AU4" s="2" t="s">
        <v>161</v>
      </c>
      <c r="AV4" s="2" t="s">
        <v>215</v>
      </c>
      <c r="AW4" s="2">
        <v>520013</v>
      </c>
      <c r="AX4" s="2" t="s">
        <v>307</v>
      </c>
      <c r="AY4" s="2">
        <v>8125636912</v>
      </c>
      <c r="AZ4" s="2">
        <v>6303052879</v>
      </c>
      <c r="BA4" s="2">
        <v>7036825555</v>
      </c>
      <c r="BB4" s="2">
        <v>8125636912</v>
      </c>
      <c r="BC4" s="3" t="s">
        <v>304</v>
      </c>
      <c r="BD4" s="3" t="s">
        <v>305</v>
      </c>
      <c r="BE4" s="2" t="s">
        <v>3399</v>
      </c>
      <c r="BF4" s="2" t="s">
        <v>144</v>
      </c>
    </row>
    <row r="5" spans="1:59" s="2" customFormat="1" ht="74.25" customHeight="1" x14ac:dyDescent="0.25">
      <c r="A5" s="2">
        <v>3</v>
      </c>
      <c r="B5" s="6">
        <v>45</v>
      </c>
      <c r="C5" s="6" t="s">
        <v>4444</v>
      </c>
      <c r="D5" s="2" t="s">
        <v>278</v>
      </c>
      <c r="F5" s="7" t="s">
        <v>281</v>
      </c>
      <c r="G5" s="2" t="s">
        <v>38</v>
      </c>
      <c r="H5" s="2" t="s">
        <v>92</v>
      </c>
      <c r="I5" s="2" t="s">
        <v>68</v>
      </c>
      <c r="J5" s="2" t="s">
        <v>36</v>
      </c>
      <c r="K5" s="2" t="s">
        <v>285</v>
      </c>
      <c r="L5" s="2" t="s">
        <v>286</v>
      </c>
      <c r="M5" s="2" t="s">
        <v>288</v>
      </c>
      <c r="N5" s="2" t="s">
        <v>161</v>
      </c>
      <c r="O5" s="2" t="s">
        <v>83</v>
      </c>
      <c r="P5" s="2" t="s">
        <v>73</v>
      </c>
      <c r="Q5" s="2" t="s">
        <v>74</v>
      </c>
      <c r="R5" s="2">
        <v>1805251072</v>
      </c>
      <c r="S5" s="2">
        <v>2018</v>
      </c>
      <c r="T5" s="2" t="s">
        <v>89</v>
      </c>
      <c r="U5" s="2" t="s">
        <v>37</v>
      </c>
      <c r="V5" s="2" t="s">
        <v>215</v>
      </c>
      <c r="W5" s="2">
        <v>973</v>
      </c>
      <c r="X5" s="2">
        <f>W5/1000*100</f>
        <v>97.3</v>
      </c>
      <c r="Y5" s="2">
        <f>92+99+75+64+60+30+60+30</f>
        <v>510</v>
      </c>
      <c r="Z5" s="2">
        <v>530</v>
      </c>
      <c r="AA5" s="2">
        <f t="shared" si="0"/>
        <v>96.226415094339629</v>
      </c>
      <c r="AB5" s="2">
        <f>75+74+60+60+75+64+60+60+30+30</f>
        <v>588</v>
      </c>
      <c r="AC5" s="2">
        <v>600</v>
      </c>
      <c r="AD5" s="2">
        <f t="shared" si="1"/>
        <v>98</v>
      </c>
      <c r="AE5" s="2" t="s">
        <v>309</v>
      </c>
      <c r="AF5" s="2" t="s">
        <v>258</v>
      </c>
      <c r="AG5" s="2" t="s">
        <v>258</v>
      </c>
      <c r="AH5" s="2">
        <v>10000</v>
      </c>
      <c r="AI5" s="2">
        <v>200000</v>
      </c>
      <c r="AJ5" s="2">
        <v>27500</v>
      </c>
      <c r="AK5" s="2">
        <f t="shared" si="2"/>
        <v>237500</v>
      </c>
      <c r="AL5" s="2" t="s">
        <v>310</v>
      </c>
      <c r="AM5" s="2" t="s">
        <v>115</v>
      </c>
      <c r="AN5" s="2" t="s">
        <v>311</v>
      </c>
      <c r="AO5" s="2" t="s">
        <v>37</v>
      </c>
      <c r="AP5" s="2" t="s">
        <v>37</v>
      </c>
      <c r="AQ5" s="2" t="s">
        <v>312</v>
      </c>
      <c r="AR5" s="4" t="s">
        <v>313</v>
      </c>
      <c r="AS5" s="2" t="s">
        <v>314</v>
      </c>
      <c r="AT5" s="2" t="s">
        <v>315</v>
      </c>
      <c r="AU5" s="2" t="s">
        <v>161</v>
      </c>
      <c r="AV5" s="2" t="s">
        <v>215</v>
      </c>
      <c r="AW5" s="2">
        <v>520015</v>
      </c>
      <c r="AX5" s="2" t="s">
        <v>314</v>
      </c>
      <c r="BB5" s="2">
        <v>8985971270</v>
      </c>
      <c r="BC5" s="3" t="s">
        <v>316</v>
      </c>
      <c r="BD5" s="3" t="s">
        <v>317</v>
      </c>
      <c r="BE5" s="2" t="s">
        <v>3400</v>
      </c>
      <c r="BF5" s="2" t="s">
        <v>144</v>
      </c>
    </row>
    <row r="6" spans="1:59" s="2" customFormat="1" ht="80.099999999999994" customHeight="1" x14ac:dyDescent="0.25">
      <c r="A6" s="2">
        <v>4</v>
      </c>
      <c r="B6" s="2">
        <v>48</v>
      </c>
      <c r="C6" s="2" t="s">
        <v>4444</v>
      </c>
      <c r="D6" s="2" t="s">
        <v>278</v>
      </c>
      <c r="F6" s="7" t="s">
        <v>321</v>
      </c>
      <c r="G6" s="2" t="s">
        <v>38</v>
      </c>
      <c r="H6" s="2" t="s">
        <v>35</v>
      </c>
      <c r="I6" s="2" t="s">
        <v>68</v>
      </c>
      <c r="J6" s="2" t="s">
        <v>36</v>
      </c>
      <c r="K6" s="2" t="s">
        <v>81</v>
      </c>
      <c r="L6" s="2" t="s">
        <v>82</v>
      </c>
      <c r="M6" s="2" t="s">
        <v>322</v>
      </c>
      <c r="N6" s="2" t="s">
        <v>161</v>
      </c>
      <c r="O6" s="2" t="s">
        <v>83</v>
      </c>
      <c r="P6" s="2" t="s">
        <v>85</v>
      </c>
      <c r="Q6" s="2" t="s">
        <v>74</v>
      </c>
      <c r="R6" s="2">
        <v>1805245503</v>
      </c>
      <c r="S6" s="2">
        <v>2018</v>
      </c>
      <c r="T6" s="2" t="s">
        <v>89</v>
      </c>
      <c r="U6" s="2" t="s">
        <v>37</v>
      </c>
      <c r="V6" s="2" t="s">
        <v>215</v>
      </c>
      <c r="W6" s="2">
        <v>796</v>
      </c>
      <c r="X6" s="2">
        <f>W6/1000*100</f>
        <v>79.600000000000009</v>
      </c>
      <c r="Y6" s="2">
        <f>78+83+47+30+49+30+48+30</f>
        <v>395</v>
      </c>
      <c r="Z6" s="2">
        <v>530</v>
      </c>
      <c r="AA6" s="2">
        <f t="shared" si="0"/>
        <v>74.528301886792448</v>
      </c>
      <c r="AB6" s="2">
        <f>66+59+55+50+47+30+49+48+30+30</f>
        <v>464</v>
      </c>
      <c r="AC6" s="2">
        <v>600</v>
      </c>
      <c r="AD6" s="2">
        <f t="shared" si="1"/>
        <v>77.333333333333329</v>
      </c>
      <c r="AE6" s="2" t="s">
        <v>323</v>
      </c>
      <c r="AF6" s="2" t="s">
        <v>319</v>
      </c>
      <c r="AG6" s="2" t="s">
        <v>319</v>
      </c>
      <c r="AH6" s="2">
        <v>10000</v>
      </c>
      <c r="AI6" s="2">
        <v>200000</v>
      </c>
      <c r="AJ6" s="2">
        <v>27500</v>
      </c>
      <c r="AK6" s="2">
        <f t="shared" si="2"/>
        <v>237500</v>
      </c>
      <c r="AL6" s="2" t="s">
        <v>324</v>
      </c>
      <c r="AM6" s="2" t="s">
        <v>139</v>
      </c>
      <c r="AN6" s="2" t="s">
        <v>325</v>
      </c>
      <c r="AO6" s="2" t="s">
        <v>139</v>
      </c>
      <c r="AP6" s="2">
        <v>5000000</v>
      </c>
      <c r="AQ6" s="2" t="s">
        <v>331</v>
      </c>
      <c r="AR6" s="4" t="s">
        <v>326</v>
      </c>
      <c r="AS6" s="2" t="s">
        <v>328</v>
      </c>
      <c r="AT6" s="2" t="s">
        <v>327</v>
      </c>
      <c r="AU6" s="2" t="s">
        <v>161</v>
      </c>
      <c r="AV6" s="2" t="s">
        <v>215</v>
      </c>
      <c r="AW6" s="2">
        <v>520010</v>
      </c>
      <c r="AX6" s="2" t="s">
        <v>328</v>
      </c>
      <c r="AY6" s="2" t="s">
        <v>329</v>
      </c>
      <c r="BA6" s="2">
        <v>9246417899</v>
      </c>
      <c r="BB6" s="2">
        <v>9398466163</v>
      </c>
      <c r="BC6" s="3" t="s">
        <v>330</v>
      </c>
      <c r="BE6" s="2" t="s">
        <v>3377</v>
      </c>
      <c r="BF6" s="2" t="s">
        <v>144</v>
      </c>
    </row>
    <row r="7" spans="1:59" s="2" customFormat="1" ht="80.099999999999994" customHeight="1" x14ac:dyDescent="0.25">
      <c r="A7" s="2">
        <v>5</v>
      </c>
      <c r="B7" s="6">
        <v>84</v>
      </c>
      <c r="C7" s="6" t="s">
        <v>4444</v>
      </c>
      <c r="D7" s="6" t="s">
        <v>278</v>
      </c>
      <c r="F7" s="8" t="s">
        <v>506</v>
      </c>
      <c r="G7" s="6" t="s">
        <v>91</v>
      </c>
      <c r="H7" s="6" t="s">
        <v>35</v>
      </c>
      <c r="I7" s="2" t="s">
        <v>68</v>
      </c>
      <c r="J7" s="2" t="s">
        <v>36</v>
      </c>
      <c r="K7" s="2" t="s">
        <v>533</v>
      </c>
      <c r="L7" s="2" t="s">
        <v>82</v>
      </c>
      <c r="M7" s="2" t="s">
        <v>534</v>
      </c>
      <c r="N7" s="2" t="s">
        <v>535</v>
      </c>
      <c r="O7" s="2" t="s">
        <v>72</v>
      </c>
      <c r="P7" s="2" t="s">
        <v>73</v>
      </c>
      <c r="Q7" s="2" t="s">
        <v>185</v>
      </c>
      <c r="R7" s="2">
        <v>4615860</v>
      </c>
      <c r="S7" s="2">
        <v>2018</v>
      </c>
      <c r="T7" s="2" t="s">
        <v>433</v>
      </c>
      <c r="U7" s="2" t="s">
        <v>37</v>
      </c>
      <c r="V7" s="2" t="s">
        <v>152</v>
      </c>
      <c r="W7" s="2" t="s">
        <v>37</v>
      </c>
      <c r="X7" s="2" t="s">
        <v>37</v>
      </c>
      <c r="Y7" s="2">
        <f>95+33+76+58+85</f>
        <v>347</v>
      </c>
      <c r="Z7" s="2">
        <v>500</v>
      </c>
      <c r="AA7" s="2">
        <f t="shared" si="0"/>
        <v>69.399999999999991</v>
      </c>
      <c r="AB7" s="2">
        <f>33+76+58</f>
        <v>167</v>
      </c>
      <c r="AC7" s="2">
        <v>300</v>
      </c>
      <c r="AD7" s="2">
        <f t="shared" si="1"/>
        <v>55.666666666666664</v>
      </c>
      <c r="AE7" s="2" t="s">
        <v>536</v>
      </c>
      <c r="AF7" s="2" t="s">
        <v>495</v>
      </c>
      <c r="AG7" s="2" t="s">
        <v>495</v>
      </c>
      <c r="AH7" s="2">
        <v>10000</v>
      </c>
      <c r="AI7" s="2">
        <v>180000</v>
      </c>
      <c r="AJ7" s="2">
        <v>27500</v>
      </c>
      <c r="AK7" s="2">
        <f t="shared" si="2"/>
        <v>217500</v>
      </c>
      <c r="AL7" s="2" t="s">
        <v>537</v>
      </c>
      <c r="AM7" s="2" t="s">
        <v>78</v>
      </c>
      <c r="AN7" s="2" t="s">
        <v>538</v>
      </c>
      <c r="AO7" s="2" t="s">
        <v>139</v>
      </c>
      <c r="AP7" s="2">
        <v>450000</v>
      </c>
      <c r="AQ7" s="2" t="s">
        <v>539</v>
      </c>
      <c r="AR7" s="4" t="s">
        <v>540</v>
      </c>
      <c r="AS7" s="2" t="s">
        <v>541</v>
      </c>
      <c r="AT7" s="2" t="s">
        <v>542</v>
      </c>
      <c r="AU7" s="2" t="s">
        <v>543</v>
      </c>
      <c r="AV7" s="2" t="s">
        <v>152</v>
      </c>
      <c r="AW7" s="2">
        <v>641601</v>
      </c>
      <c r="AX7" s="2" t="s">
        <v>544</v>
      </c>
      <c r="AY7" s="2" t="s">
        <v>545</v>
      </c>
      <c r="AZ7" s="2">
        <v>9384209569</v>
      </c>
      <c r="BA7" s="2" t="s">
        <v>546</v>
      </c>
      <c r="BD7" s="3" t="s">
        <v>547</v>
      </c>
      <c r="BE7" s="2" t="s">
        <v>4376</v>
      </c>
      <c r="BF7" s="2" t="s">
        <v>4375</v>
      </c>
    </row>
    <row r="8" spans="1:59" s="2" customFormat="1" ht="80.099999999999994" customHeight="1" x14ac:dyDescent="0.25">
      <c r="A8" s="2">
        <v>6</v>
      </c>
      <c r="B8" s="11">
        <v>100</v>
      </c>
      <c r="C8" s="11" t="s">
        <v>4444</v>
      </c>
      <c r="D8" s="11" t="s">
        <v>278</v>
      </c>
      <c r="F8" s="12" t="s">
        <v>573</v>
      </c>
      <c r="G8" s="11" t="s">
        <v>38</v>
      </c>
      <c r="H8" s="11" t="s">
        <v>35</v>
      </c>
      <c r="I8" s="2" t="s">
        <v>68</v>
      </c>
      <c r="J8" s="2" t="s">
        <v>36</v>
      </c>
      <c r="K8" s="2" t="s">
        <v>157</v>
      </c>
      <c r="L8" s="2" t="s">
        <v>82</v>
      </c>
      <c r="M8" s="2" t="s">
        <v>615</v>
      </c>
      <c r="N8" s="2" t="s">
        <v>450</v>
      </c>
      <c r="O8" s="2" t="s">
        <v>449</v>
      </c>
      <c r="P8" s="2" t="s">
        <v>73</v>
      </c>
      <c r="Q8" s="2" t="s">
        <v>185</v>
      </c>
      <c r="R8" s="2">
        <v>3612890</v>
      </c>
      <c r="S8" s="2">
        <v>2018</v>
      </c>
      <c r="T8" s="2" t="s">
        <v>616</v>
      </c>
      <c r="U8" s="2" t="s">
        <v>37</v>
      </c>
      <c r="V8" s="2" t="s">
        <v>617</v>
      </c>
      <c r="W8" s="2" t="s">
        <v>37</v>
      </c>
      <c r="X8" s="2" t="s">
        <v>37</v>
      </c>
      <c r="Y8" s="2">
        <f>81+47+77+70+86</f>
        <v>361</v>
      </c>
      <c r="Z8" s="2">
        <v>500</v>
      </c>
      <c r="AA8" s="2">
        <f t="shared" si="0"/>
        <v>72.2</v>
      </c>
      <c r="AB8" s="2">
        <f>47+77+70</f>
        <v>194</v>
      </c>
      <c r="AC8" s="2">
        <v>300</v>
      </c>
      <c r="AD8" s="2">
        <f t="shared" si="1"/>
        <v>64.666666666666657</v>
      </c>
      <c r="AE8" s="2" t="s">
        <v>618</v>
      </c>
      <c r="AF8" s="2" t="s">
        <v>576</v>
      </c>
      <c r="AG8" s="2" t="s">
        <v>576</v>
      </c>
      <c r="AH8" s="2">
        <v>10000</v>
      </c>
      <c r="AI8" s="2">
        <v>200000</v>
      </c>
      <c r="AJ8" s="2">
        <v>27500</v>
      </c>
      <c r="AK8" s="2">
        <f t="shared" si="2"/>
        <v>237500</v>
      </c>
      <c r="AL8" s="2" t="s">
        <v>619</v>
      </c>
      <c r="AM8" s="2" t="s">
        <v>78</v>
      </c>
      <c r="AN8" s="2" t="s">
        <v>620</v>
      </c>
      <c r="AO8" s="2" t="s">
        <v>187</v>
      </c>
      <c r="AP8" s="2">
        <v>400000</v>
      </c>
      <c r="AQ8" s="2" t="s">
        <v>621</v>
      </c>
      <c r="AR8" s="4" t="s">
        <v>622</v>
      </c>
      <c r="AS8" s="2" t="s">
        <v>623</v>
      </c>
      <c r="AT8" s="2" t="s">
        <v>624</v>
      </c>
      <c r="AU8" s="2" t="s">
        <v>451</v>
      </c>
      <c r="AV8" s="2" t="s">
        <v>450</v>
      </c>
      <c r="AW8" s="2">
        <v>721449</v>
      </c>
      <c r="AX8" s="2" t="s">
        <v>625</v>
      </c>
      <c r="AZ8" s="2">
        <v>7022799473</v>
      </c>
      <c r="BA8" s="2">
        <v>8732801543</v>
      </c>
      <c r="BB8" s="2">
        <v>8732801544</v>
      </c>
      <c r="BD8" s="3" t="s">
        <v>626</v>
      </c>
      <c r="BE8" s="2" t="s">
        <v>627</v>
      </c>
      <c r="BF8" s="2" t="s">
        <v>628</v>
      </c>
    </row>
    <row r="9" spans="1:59" s="2" customFormat="1" ht="80.099999999999994" customHeight="1" x14ac:dyDescent="0.25">
      <c r="A9" s="2">
        <v>7</v>
      </c>
      <c r="B9" s="2">
        <v>134</v>
      </c>
      <c r="C9" s="2" t="s">
        <v>4444</v>
      </c>
      <c r="D9" s="2" t="s">
        <v>278</v>
      </c>
      <c r="F9" s="7" t="s">
        <v>792</v>
      </c>
      <c r="G9" s="2" t="s">
        <v>38</v>
      </c>
      <c r="H9" s="2" t="s">
        <v>92</v>
      </c>
      <c r="I9" s="2" t="s">
        <v>68</v>
      </c>
      <c r="J9" s="2" t="s">
        <v>36</v>
      </c>
      <c r="K9" s="2" t="s">
        <v>93</v>
      </c>
      <c r="L9" s="2" t="s">
        <v>82</v>
      </c>
      <c r="M9" s="2" t="s">
        <v>793</v>
      </c>
      <c r="N9" s="2" t="s">
        <v>794</v>
      </c>
      <c r="O9" s="2" t="s">
        <v>795</v>
      </c>
      <c r="P9" s="2" t="s">
        <v>73</v>
      </c>
      <c r="Q9" s="2" t="s">
        <v>185</v>
      </c>
      <c r="R9" s="2">
        <v>4826970</v>
      </c>
      <c r="S9" s="2">
        <v>2018</v>
      </c>
      <c r="T9" s="2" t="s">
        <v>616</v>
      </c>
      <c r="U9" s="2" t="s">
        <v>37</v>
      </c>
      <c r="V9" s="2" t="s">
        <v>794</v>
      </c>
      <c r="W9" s="2" t="s">
        <v>37</v>
      </c>
      <c r="X9" s="2" t="s">
        <v>37</v>
      </c>
      <c r="Y9" s="2">
        <f>79+89+62+72+94</f>
        <v>396</v>
      </c>
      <c r="Z9" s="2">
        <v>500</v>
      </c>
      <c r="AA9" s="2">
        <f t="shared" si="0"/>
        <v>79.2</v>
      </c>
      <c r="AB9" s="2">
        <f>89+62+72</f>
        <v>223</v>
      </c>
      <c r="AC9" s="2">
        <v>300</v>
      </c>
      <c r="AD9" s="2">
        <f t="shared" si="1"/>
        <v>74.333333333333329</v>
      </c>
      <c r="AE9" s="2" t="s">
        <v>796</v>
      </c>
      <c r="AF9" s="2" t="s">
        <v>790</v>
      </c>
      <c r="AG9" s="2" t="s">
        <v>790</v>
      </c>
      <c r="AH9" s="2">
        <v>10000</v>
      </c>
      <c r="AI9" s="2">
        <v>200000</v>
      </c>
      <c r="AJ9" s="2">
        <v>27500</v>
      </c>
      <c r="AK9" s="2">
        <f t="shared" si="2"/>
        <v>237500</v>
      </c>
      <c r="AL9" s="2" t="s">
        <v>797</v>
      </c>
      <c r="AM9" s="2" t="s">
        <v>78</v>
      </c>
      <c r="AN9" s="2" t="s">
        <v>798</v>
      </c>
      <c r="AO9" s="2" t="s">
        <v>799</v>
      </c>
      <c r="AP9" s="2">
        <v>500000</v>
      </c>
      <c r="AQ9" s="2" t="s">
        <v>800</v>
      </c>
      <c r="AR9" s="4" t="s">
        <v>801</v>
      </c>
      <c r="AS9" s="2" t="s">
        <v>802</v>
      </c>
      <c r="AT9" s="2" t="s">
        <v>803</v>
      </c>
      <c r="AU9" s="2" t="s">
        <v>804</v>
      </c>
      <c r="AV9" s="2" t="s">
        <v>794</v>
      </c>
      <c r="AW9" s="2">
        <v>680003</v>
      </c>
      <c r="AX9" s="2" t="s">
        <v>802</v>
      </c>
      <c r="AZ9" s="2">
        <v>7510143150</v>
      </c>
      <c r="BA9" s="2">
        <v>8129806063</v>
      </c>
      <c r="BB9" s="2">
        <v>9747996704</v>
      </c>
      <c r="BC9" s="3" t="s">
        <v>805</v>
      </c>
      <c r="BD9" s="3" t="s">
        <v>806</v>
      </c>
      <c r="BE9" s="2" t="s">
        <v>3096</v>
      </c>
    </row>
    <row r="10" spans="1:59" s="2" customFormat="1" ht="80.099999999999994" customHeight="1" x14ac:dyDescent="0.25">
      <c r="A10" s="2">
        <v>8</v>
      </c>
      <c r="B10" s="2">
        <v>136</v>
      </c>
      <c r="C10" s="2" t="s">
        <v>4444</v>
      </c>
      <c r="D10" s="2" t="s">
        <v>278</v>
      </c>
      <c r="F10" s="7" t="s">
        <v>807</v>
      </c>
      <c r="G10" s="2" t="s">
        <v>38</v>
      </c>
      <c r="H10" s="2" t="s">
        <v>35</v>
      </c>
      <c r="I10" s="2" t="s">
        <v>68</v>
      </c>
      <c r="J10" s="2" t="s">
        <v>36</v>
      </c>
      <c r="K10" s="2" t="s">
        <v>207</v>
      </c>
      <c r="L10" s="2" t="s">
        <v>82</v>
      </c>
      <c r="M10" s="2" t="s">
        <v>71</v>
      </c>
      <c r="N10" s="2" t="s">
        <v>808</v>
      </c>
      <c r="O10" s="2" t="s">
        <v>83</v>
      </c>
      <c r="P10" s="2" t="s">
        <v>85</v>
      </c>
      <c r="Q10" s="2" t="s">
        <v>185</v>
      </c>
      <c r="R10" s="2">
        <v>1806211895</v>
      </c>
      <c r="S10" s="2">
        <v>2018</v>
      </c>
      <c r="T10" s="2" t="s">
        <v>89</v>
      </c>
      <c r="U10" s="2" t="s">
        <v>37</v>
      </c>
      <c r="V10" s="2" t="s">
        <v>215</v>
      </c>
      <c r="W10" s="2">
        <v>864</v>
      </c>
      <c r="X10" s="2">
        <f>W10/1000*100</f>
        <v>86.4</v>
      </c>
      <c r="Y10" s="2">
        <f>83+96+63+69+59+55+29+28</f>
        <v>482</v>
      </c>
      <c r="Z10" s="2">
        <v>530</v>
      </c>
      <c r="AA10" s="2">
        <f t="shared" si="0"/>
        <v>90.943396226415103</v>
      </c>
      <c r="AB10" s="2">
        <f>60+44+56+44+63+69+59+55+29+28</f>
        <v>507</v>
      </c>
      <c r="AC10" s="2">
        <v>600</v>
      </c>
      <c r="AD10" s="2">
        <f t="shared" si="1"/>
        <v>84.5</v>
      </c>
      <c r="AE10" s="2" t="s">
        <v>809</v>
      </c>
      <c r="AF10" s="2" t="s">
        <v>790</v>
      </c>
      <c r="AG10" s="2" t="s">
        <v>790</v>
      </c>
      <c r="AH10" s="2">
        <v>10000</v>
      </c>
      <c r="AI10" s="2">
        <v>200000</v>
      </c>
      <c r="AJ10" s="2">
        <v>27500</v>
      </c>
      <c r="AK10" s="2">
        <f t="shared" si="2"/>
        <v>237500</v>
      </c>
      <c r="AL10" s="2" t="s">
        <v>810</v>
      </c>
      <c r="AM10" s="2" t="s">
        <v>78</v>
      </c>
      <c r="AN10" s="2" t="s">
        <v>811</v>
      </c>
      <c r="AO10" s="2" t="s">
        <v>67</v>
      </c>
      <c r="AP10" s="2">
        <v>100000</v>
      </c>
      <c r="AQ10" s="2" t="s">
        <v>816</v>
      </c>
      <c r="AR10" s="4" t="s">
        <v>812</v>
      </c>
      <c r="AS10" s="2" t="s">
        <v>813</v>
      </c>
      <c r="AT10" s="2" t="s">
        <v>814</v>
      </c>
      <c r="AU10" s="2" t="s">
        <v>256</v>
      </c>
      <c r="AV10" s="2" t="s">
        <v>215</v>
      </c>
      <c r="AW10" s="2">
        <v>522437</v>
      </c>
      <c r="AX10" s="2" t="s">
        <v>813</v>
      </c>
      <c r="AZ10" s="2">
        <v>9849086787</v>
      </c>
      <c r="BA10" s="2">
        <v>9502438745</v>
      </c>
      <c r="BB10" s="2">
        <v>9110787308</v>
      </c>
      <c r="BD10" s="3" t="s">
        <v>815</v>
      </c>
      <c r="BE10" s="2" t="s">
        <v>791</v>
      </c>
      <c r="BF10" s="2" t="s">
        <v>144</v>
      </c>
    </row>
    <row r="11" spans="1:59" s="19" customFormat="1" ht="80.099999999999994" customHeight="1" x14ac:dyDescent="0.25">
      <c r="A11" s="2">
        <v>9</v>
      </c>
      <c r="B11" s="6">
        <v>149</v>
      </c>
      <c r="C11" s="6" t="s">
        <v>4444</v>
      </c>
      <c r="D11" s="6" t="s">
        <v>278</v>
      </c>
      <c r="E11" s="6"/>
      <c r="F11" s="8" t="s">
        <v>846</v>
      </c>
      <c r="G11" s="6" t="s">
        <v>38</v>
      </c>
      <c r="H11" s="6" t="s">
        <v>35</v>
      </c>
      <c r="I11" s="2" t="s">
        <v>68</v>
      </c>
      <c r="J11" s="2" t="s">
        <v>36</v>
      </c>
      <c r="K11" s="2" t="s">
        <v>854</v>
      </c>
      <c r="L11" s="2" t="s">
        <v>82</v>
      </c>
      <c r="M11" s="2" t="s">
        <v>855</v>
      </c>
      <c r="N11" s="2" t="s">
        <v>95</v>
      </c>
      <c r="O11" s="2" t="s">
        <v>795</v>
      </c>
      <c r="P11" s="2" t="s">
        <v>73</v>
      </c>
      <c r="Q11" s="2" t="s">
        <v>63</v>
      </c>
      <c r="R11" s="2">
        <v>462758</v>
      </c>
      <c r="S11" s="2">
        <v>2018</v>
      </c>
      <c r="T11" s="2" t="s">
        <v>64</v>
      </c>
      <c r="U11" s="2" t="s">
        <v>65</v>
      </c>
      <c r="V11" s="2" t="s">
        <v>37</v>
      </c>
      <c r="W11" s="2" t="s">
        <v>37</v>
      </c>
      <c r="X11" s="2" t="s">
        <v>37</v>
      </c>
      <c r="Y11" s="2">
        <v>421</v>
      </c>
      <c r="Z11" s="2">
        <v>600</v>
      </c>
      <c r="AA11" s="2">
        <f t="shared" si="0"/>
        <v>70.166666666666671</v>
      </c>
      <c r="AB11" s="2">
        <f>61+63+58</f>
        <v>182</v>
      </c>
      <c r="AC11" s="2">
        <v>300</v>
      </c>
      <c r="AD11" s="2">
        <f t="shared" si="1"/>
        <v>60.666666666666671</v>
      </c>
      <c r="AE11" s="2" t="s">
        <v>853</v>
      </c>
      <c r="AF11" s="2" t="s">
        <v>843</v>
      </c>
      <c r="AG11" s="2" t="s">
        <v>843</v>
      </c>
      <c r="AH11" s="2">
        <v>10000</v>
      </c>
      <c r="AI11" s="2">
        <v>200000</v>
      </c>
      <c r="AJ11" s="2">
        <v>27500</v>
      </c>
      <c r="AK11" s="2">
        <f t="shared" si="2"/>
        <v>237500</v>
      </c>
      <c r="AL11" s="2" t="s">
        <v>856</v>
      </c>
      <c r="AM11" s="2" t="s">
        <v>87</v>
      </c>
      <c r="AN11" s="2" t="s">
        <v>857</v>
      </c>
      <c r="AO11" s="2" t="s">
        <v>858</v>
      </c>
      <c r="AP11" s="2">
        <v>1000000</v>
      </c>
      <c r="AQ11" s="2" t="s">
        <v>859</v>
      </c>
      <c r="AR11" s="4" t="s">
        <v>860</v>
      </c>
      <c r="AS11" s="2" t="s">
        <v>861</v>
      </c>
      <c r="AT11" s="2" t="s">
        <v>862</v>
      </c>
      <c r="AU11" s="2" t="s">
        <v>95</v>
      </c>
      <c r="AV11" s="2" t="s">
        <v>65</v>
      </c>
      <c r="AW11" s="2">
        <v>560097</v>
      </c>
      <c r="AX11" s="2" t="s">
        <v>861</v>
      </c>
      <c r="AY11" s="2" t="s">
        <v>863</v>
      </c>
      <c r="AZ11" s="2">
        <v>7019446611</v>
      </c>
      <c r="BA11" s="2">
        <v>8951107035</v>
      </c>
      <c r="BB11" s="2">
        <v>9538202795</v>
      </c>
      <c r="BC11" s="3" t="s">
        <v>864</v>
      </c>
      <c r="BD11" s="3" t="s">
        <v>865</v>
      </c>
      <c r="BE11" s="2" t="s">
        <v>866</v>
      </c>
      <c r="BF11" s="2" t="s">
        <v>491</v>
      </c>
      <c r="BG11" s="2"/>
    </row>
    <row r="12" spans="1:59" s="19" customFormat="1" ht="80.099999999999994" customHeight="1" x14ac:dyDescent="0.25">
      <c r="A12" s="2">
        <v>10</v>
      </c>
      <c r="B12" s="6">
        <v>153</v>
      </c>
      <c r="C12" s="6" t="s">
        <v>4444</v>
      </c>
      <c r="D12" s="6" t="s">
        <v>278</v>
      </c>
      <c r="E12" s="2"/>
      <c r="F12" s="8" t="s">
        <v>848</v>
      </c>
      <c r="G12" s="6" t="s">
        <v>38</v>
      </c>
      <c r="H12" s="6" t="s">
        <v>35</v>
      </c>
      <c r="I12" s="2" t="s">
        <v>68</v>
      </c>
      <c r="J12" s="2" t="s">
        <v>36</v>
      </c>
      <c r="K12" s="2" t="s">
        <v>884</v>
      </c>
      <c r="L12" s="2" t="s">
        <v>82</v>
      </c>
      <c r="M12" s="2" t="s">
        <v>885</v>
      </c>
      <c r="N12" s="2" t="s">
        <v>161</v>
      </c>
      <c r="O12" s="2" t="s">
        <v>83</v>
      </c>
      <c r="P12" s="2" t="s">
        <v>62</v>
      </c>
      <c r="Q12" s="2" t="s">
        <v>74</v>
      </c>
      <c r="R12" s="2">
        <v>1805249671</v>
      </c>
      <c r="S12" s="2">
        <v>2018</v>
      </c>
      <c r="T12" s="2" t="s">
        <v>89</v>
      </c>
      <c r="U12" s="2" t="s">
        <v>37</v>
      </c>
      <c r="V12" s="2" t="s">
        <v>215</v>
      </c>
      <c r="W12" s="2">
        <v>892</v>
      </c>
      <c r="X12" s="2">
        <f>W12/1000*100</f>
        <v>89.2</v>
      </c>
      <c r="Y12" s="2">
        <f>85+97+72+57+48+43+29+30</f>
        <v>461</v>
      </c>
      <c r="Z12" s="2">
        <v>530</v>
      </c>
      <c r="AA12" s="2">
        <f t="shared" si="0"/>
        <v>86.981132075471706</v>
      </c>
      <c r="AB12" s="2">
        <f>72+73+58+50+72+57+48+43+29+30</f>
        <v>532</v>
      </c>
      <c r="AC12" s="2">
        <v>600</v>
      </c>
      <c r="AD12" s="2">
        <f t="shared" si="1"/>
        <v>88.666666666666671</v>
      </c>
      <c r="AE12" s="2" t="s">
        <v>886</v>
      </c>
      <c r="AF12" s="2" t="s">
        <v>843</v>
      </c>
      <c r="AG12" s="2" t="s">
        <v>843</v>
      </c>
      <c r="AH12" s="2">
        <v>10000</v>
      </c>
      <c r="AI12" s="2">
        <v>200000</v>
      </c>
      <c r="AJ12" s="2">
        <v>27500</v>
      </c>
      <c r="AK12" s="2">
        <f t="shared" si="2"/>
        <v>237500</v>
      </c>
      <c r="AL12" s="2" t="s">
        <v>887</v>
      </c>
      <c r="AM12" s="2" t="s">
        <v>78</v>
      </c>
      <c r="AN12" s="2" t="s">
        <v>888</v>
      </c>
      <c r="AO12" s="2" t="s">
        <v>139</v>
      </c>
      <c r="AP12" s="2">
        <v>500000</v>
      </c>
      <c r="AQ12" s="2" t="s">
        <v>889</v>
      </c>
      <c r="AR12" s="4" t="s">
        <v>890</v>
      </c>
      <c r="AS12" s="2" t="s">
        <v>891</v>
      </c>
      <c r="AT12" s="2" t="s">
        <v>892</v>
      </c>
      <c r="AU12" s="2" t="s">
        <v>161</v>
      </c>
      <c r="AV12" s="2" t="s">
        <v>215</v>
      </c>
      <c r="AW12" s="2">
        <v>520012</v>
      </c>
      <c r="AX12" s="2" t="s">
        <v>891</v>
      </c>
      <c r="AY12" s="2"/>
      <c r="AZ12" s="2">
        <v>7095866053</v>
      </c>
      <c r="BA12" s="2">
        <v>9246478292</v>
      </c>
      <c r="BB12" s="2">
        <v>9298555977</v>
      </c>
      <c r="BC12" s="3" t="s">
        <v>893</v>
      </c>
      <c r="BD12" s="3" t="s">
        <v>894</v>
      </c>
      <c r="BE12" s="2" t="s">
        <v>895</v>
      </c>
      <c r="BF12" s="2" t="s">
        <v>144</v>
      </c>
      <c r="BG12" s="2"/>
    </row>
    <row r="13" spans="1:59" s="2" customFormat="1" ht="80.099999999999994" customHeight="1" x14ac:dyDescent="0.25">
      <c r="A13" s="2">
        <v>11</v>
      </c>
      <c r="B13" s="6">
        <v>156</v>
      </c>
      <c r="C13" s="6" t="s">
        <v>4444</v>
      </c>
      <c r="D13" s="6" t="s">
        <v>278</v>
      </c>
      <c r="F13" s="8" t="s">
        <v>850</v>
      </c>
      <c r="G13" s="6" t="s">
        <v>38</v>
      </c>
      <c r="H13" s="6" t="s">
        <v>35</v>
      </c>
      <c r="I13" s="2" t="s">
        <v>68</v>
      </c>
      <c r="J13" s="2" t="s">
        <v>435</v>
      </c>
      <c r="K13" s="2" t="s">
        <v>906</v>
      </c>
      <c r="L13" s="2" t="s">
        <v>82</v>
      </c>
      <c r="M13" s="2" t="s">
        <v>907</v>
      </c>
      <c r="N13" s="2" t="s">
        <v>908</v>
      </c>
      <c r="O13" s="2" t="s">
        <v>72</v>
      </c>
      <c r="P13" s="2" t="s">
        <v>62</v>
      </c>
      <c r="Q13" s="2" t="s">
        <v>74</v>
      </c>
      <c r="R13" s="2">
        <v>1811823931</v>
      </c>
      <c r="S13" s="2">
        <v>2018</v>
      </c>
      <c r="T13" s="2" t="s">
        <v>366</v>
      </c>
      <c r="U13" s="2" t="s">
        <v>37</v>
      </c>
      <c r="V13" s="2" t="s">
        <v>155</v>
      </c>
      <c r="W13" s="2" t="s">
        <v>37</v>
      </c>
      <c r="X13" s="2" t="s">
        <v>37</v>
      </c>
      <c r="Y13" s="2">
        <v>1013</v>
      </c>
      <c r="Z13" s="2">
        <v>1200</v>
      </c>
      <c r="AA13" s="2">
        <f t="shared" si="0"/>
        <v>84.416666666666657</v>
      </c>
      <c r="AB13" s="2">
        <f>174+163+173</f>
        <v>510</v>
      </c>
      <c r="AC13" s="2">
        <v>600</v>
      </c>
      <c r="AD13" s="2">
        <f t="shared" si="1"/>
        <v>85</v>
      </c>
      <c r="AE13" s="2" t="s">
        <v>909</v>
      </c>
      <c r="AF13" s="2" t="s">
        <v>843</v>
      </c>
      <c r="AG13" s="2" t="s">
        <v>843</v>
      </c>
      <c r="AH13" s="2">
        <v>10000</v>
      </c>
      <c r="AI13" s="2">
        <v>200000</v>
      </c>
      <c r="AJ13" s="2">
        <v>27500</v>
      </c>
      <c r="AK13" s="2">
        <f t="shared" si="2"/>
        <v>237500</v>
      </c>
      <c r="AL13" s="2" t="s">
        <v>910</v>
      </c>
      <c r="AM13" s="2" t="s">
        <v>78</v>
      </c>
      <c r="AN13" s="2" t="s">
        <v>911</v>
      </c>
      <c r="AO13" s="2" t="s">
        <v>912</v>
      </c>
      <c r="AP13" s="2">
        <v>500000</v>
      </c>
      <c r="AQ13" s="2" t="s">
        <v>37</v>
      </c>
      <c r="AR13" s="4" t="s">
        <v>913</v>
      </c>
      <c r="AS13" s="2" t="s">
        <v>914</v>
      </c>
      <c r="AT13" s="2" t="s">
        <v>915</v>
      </c>
      <c r="AU13" s="2" t="s">
        <v>155</v>
      </c>
      <c r="AV13" s="2" t="s">
        <v>152</v>
      </c>
      <c r="AW13" s="2">
        <v>600026</v>
      </c>
      <c r="AX13" s="2" t="s">
        <v>914</v>
      </c>
      <c r="AZ13" s="2">
        <v>8072933284</v>
      </c>
      <c r="BA13" s="2">
        <v>9789025328</v>
      </c>
      <c r="BB13" s="2">
        <v>8754912065</v>
      </c>
      <c r="BC13" s="3" t="s">
        <v>916</v>
      </c>
      <c r="BD13" s="3" t="s">
        <v>917</v>
      </c>
      <c r="BE13" s="2" t="s">
        <v>883</v>
      </c>
      <c r="BF13" s="2" t="s">
        <v>677</v>
      </c>
    </row>
    <row r="14" spans="1:59" s="2" customFormat="1" ht="80.099999999999994" customHeight="1" x14ac:dyDescent="0.25">
      <c r="A14" s="2">
        <v>12</v>
      </c>
      <c r="B14" s="6">
        <v>205</v>
      </c>
      <c r="C14" s="6" t="s">
        <v>4444</v>
      </c>
      <c r="D14" s="6" t="s">
        <v>278</v>
      </c>
      <c r="F14" s="8" t="s">
        <v>1157</v>
      </c>
      <c r="G14" s="6" t="s">
        <v>38</v>
      </c>
      <c r="H14" s="6" t="s">
        <v>35</v>
      </c>
      <c r="I14" s="2" t="s">
        <v>68</v>
      </c>
      <c r="J14" s="2" t="s">
        <v>36</v>
      </c>
      <c r="K14" s="2" t="s">
        <v>207</v>
      </c>
      <c r="L14" s="2" t="s">
        <v>82</v>
      </c>
      <c r="M14" s="2" t="s">
        <v>674</v>
      </c>
      <c r="N14" s="2" t="s">
        <v>84</v>
      </c>
      <c r="O14" s="2" t="s">
        <v>83</v>
      </c>
      <c r="P14" s="2" t="s">
        <v>85</v>
      </c>
      <c r="Q14" s="2" t="s">
        <v>185</v>
      </c>
      <c r="R14" s="2">
        <v>1805227856</v>
      </c>
      <c r="S14" s="2">
        <v>2018</v>
      </c>
      <c r="T14" s="2" t="s">
        <v>89</v>
      </c>
      <c r="U14" s="2" t="s">
        <v>37</v>
      </c>
      <c r="V14" s="2" t="s">
        <v>215</v>
      </c>
      <c r="W14" s="2">
        <v>723</v>
      </c>
      <c r="X14" s="2">
        <f>W14/1000*100</f>
        <v>72.3</v>
      </c>
      <c r="Y14" s="2">
        <f>82+92+36+44+48+42+28+17</f>
        <v>389</v>
      </c>
      <c r="Z14" s="2">
        <v>530</v>
      </c>
      <c r="AA14" s="2">
        <f t="shared" si="0"/>
        <v>73.396226415094333</v>
      </c>
      <c r="AB14" s="2">
        <f>37+51+47+40+36+44+48+42+28+17</f>
        <v>390</v>
      </c>
      <c r="AC14" s="2">
        <v>600</v>
      </c>
      <c r="AD14" s="2">
        <f t="shared" si="1"/>
        <v>65</v>
      </c>
      <c r="AE14" s="2" t="s">
        <v>1173</v>
      </c>
      <c r="AF14" s="2" t="s">
        <v>258</v>
      </c>
      <c r="AG14" s="2" t="s">
        <v>1118</v>
      </c>
      <c r="AH14" s="2">
        <v>10000</v>
      </c>
      <c r="AI14" s="2">
        <v>200000</v>
      </c>
      <c r="AJ14" s="2">
        <v>27500</v>
      </c>
      <c r="AK14" s="2">
        <f t="shared" si="2"/>
        <v>237500</v>
      </c>
      <c r="AL14" s="2" t="s">
        <v>1174</v>
      </c>
      <c r="AM14" s="2" t="s">
        <v>78</v>
      </c>
      <c r="AN14" s="2" t="s">
        <v>1175</v>
      </c>
      <c r="AO14" s="2" t="s">
        <v>67</v>
      </c>
      <c r="AP14" s="2" t="s">
        <v>1176</v>
      </c>
      <c r="AQ14" s="2" t="s">
        <v>1182</v>
      </c>
      <c r="AR14" s="4" t="s">
        <v>1177</v>
      </c>
      <c r="AS14" s="2" t="s">
        <v>1178</v>
      </c>
      <c r="AT14" s="2" t="s">
        <v>1179</v>
      </c>
      <c r="AU14" s="2" t="s">
        <v>84</v>
      </c>
      <c r="AV14" s="2" t="s">
        <v>215</v>
      </c>
      <c r="AW14" s="2">
        <v>515870</v>
      </c>
      <c r="AX14" s="2" t="s">
        <v>1178</v>
      </c>
      <c r="AY14" s="2" t="s">
        <v>37</v>
      </c>
      <c r="AZ14" s="2">
        <v>9000178235</v>
      </c>
      <c r="BA14" s="2">
        <v>9133697821</v>
      </c>
      <c r="BB14" s="2">
        <v>7386507330</v>
      </c>
      <c r="BC14" s="2" t="s">
        <v>37</v>
      </c>
      <c r="BD14" s="3" t="s">
        <v>1180</v>
      </c>
      <c r="BE14" s="2" t="s">
        <v>1181</v>
      </c>
      <c r="BF14" s="2" t="s">
        <v>144</v>
      </c>
    </row>
    <row r="15" spans="1:59" s="2" customFormat="1" ht="80.099999999999994" customHeight="1" x14ac:dyDescent="0.25">
      <c r="A15" s="2">
        <v>13</v>
      </c>
      <c r="B15" s="6">
        <v>208</v>
      </c>
      <c r="C15" s="6" t="s">
        <v>4444</v>
      </c>
      <c r="D15" s="6" t="s">
        <v>278</v>
      </c>
      <c r="F15" s="8" t="s">
        <v>1158</v>
      </c>
      <c r="G15" s="6" t="s">
        <v>38</v>
      </c>
      <c r="H15" s="6" t="s">
        <v>35</v>
      </c>
      <c r="I15" s="2" t="s">
        <v>68</v>
      </c>
      <c r="J15" s="2" t="s">
        <v>36</v>
      </c>
      <c r="K15" s="2" t="s">
        <v>1183</v>
      </c>
      <c r="L15" s="2" t="s">
        <v>234</v>
      </c>
      <c r="M15" s="2" t="s">
        <v>852</v>
      </c>
      <c r="N15" s="2" t="s">
        <v>1184</v>
      </c>
      <c r="O15" s="2" t="s">
        <v>83</v>
      </c>
      <c r="P15" s="2" t="s">
        <v>85</v>
      </c>
      <c r="Q15" s="2" t="s">
        <v>185</v>
      </c>
      <c r="R15" s="2">
        <v>1805251969</v>
      </c>
      <c r="S15" s="2">
        <v>2018</v>
      </c>
      <c r="T15" s="2" t="s">
        <v>89</v>
      </c>
      <c r="U15" s="2" t="s">
        <v>37</v>
      </c>
      <c r="V15" s="2" t="s">
        <v>215</v>
      </c>
      <c r="W15" s="2">
        <v>953</v>
      </c>
      <c r="X15" s="2">
        <f>W15/1000*100</f>
        <v>95.3</v>
      </c>
      <c r="Y15" s="2">
        <f>90+99+72+74+59+59+30+30</f>
        <v>513</v>
      </c>
      <c r="Z15" s="2">
        <v>530</v>
      </c>
      <c r="AA15" s="2">
        <f t="shared" si="0"/>
        <v>96.79245283018868</v>
      </c>
      <c r="AB15" s="2">
        <f>70+70+58+56+72+74+59+59+30+30</f>
        <v>578</v>
      </c>
      <c r="AC15" s="2">
        <v>600</v>
      </c>
      <c r="AD15" s="2">
        <f t="shared" si="1"/>
        <v>96.333333333333343</v>
      </c>
      <c r="AE15" s="2" t="s">
        <v>1185</v>
      </c>
      <c r="AF15" s="2" t="s">
        <v>258</v>
      </c>
      <c r="AG15" s="2" t="s">
        <v>1118</v>
      </c>
      <c r="AH15" s="2">
        <v>10000</v>
      </c>
      <c r="AI15" s="2">
        <v>200000</v>
      </c>
      <c r="AJ15" s="2">
        <v>27500</v>
      </c>
      <c r="AK15" s="2">
        <f t="shared" si="2"/>
        <v>237500</v>
      </c>
      <c r="AL15" s="2" t="s">
        <v>1186</v>
      </c>
      <c r="AM15" s="2" t="s">
        <v>78</v>
      </c>
      <c r="AN15" s="2" t="s">
        <v>1187</v>
      </c>
      <c r="AO15" s="2" t="s">
        <v>67</v>
      </c>
      <c r="AP15" s="2" t="s">
        <v>1188</v>
      </c>
      <c r="AQ15" s="2" t="s">
        <v>1189</v>
      </c>
      <c r="AR15" s="4" t="s">
        <v>1190</v>
      </c>
      <c r="AS15" s="2" t="s">
        <v>1191</v>
      </c>
      <c r="AT15" s="2" t="s">
        <v>1179</v>
      </c>
      <c r="AU15" s="2" t="s">
        <v>84</v>
      </c>
      <c r="AV15" s="2" t="s">
        <v>215</v>
      </c>
      <c r="AW15" s="2">
        <v>515870</v>
      </c>
      <c r="AX15" s="2" t="s">
        <v>1191</v>
      </c>
      <c r="AY15" s="2" t="s">
        <v>37</v>
      </c>
      <c r="AZ15" s="2">
        <v>7337533616</v>
      </c>
      <c r="BA15" s="2">
        <v>8985598324</v>
      </c>
      <c r="BB15" s="2">
        <v>9493698842</v>
      </c>
      <c r="BD15" s="3" t="s">
        <v>1192</v>
      </c>
      <c r="BE15" s="2" t="s">
        <v>879</v>
      </c>
      <c r="BF15" s="2" t="s">
        <v>113</v>
      </c>
    </row>
    <row r="16" spans="1:59" s="2" customFormat="1" ht="80.099999999999994" customHeight="1" x14ac:dyDescent="0.25">
      <c r="A16" s="2">
        <v>14</v>
      </c>
      <c r="B16" s="2">
        <v>279</v>
      </c>
      <c r="C16" s="2" t="s">
        <v>4444</v>
      </c>
      <c r="D16" s="2" t="s">
        <v>278</v>
      </c>
      <c r="F16" s="7" t="s">
        <v>1522</v>
      </c>
      <c r="G16" s="2" t="s">
        <v>1505</v>
      </c>
      <c r="H16" s="2" t="s">
        <v>92</v>
      </c>
      <c r="I16" s="2" t="s">
        <v>68</v>
      </c>
      <c r="J16" s="2" t="s">
        <v>36</v>
      </c>
      <c r="K16" s="2" t="s">
        <v>248</v>
      </c>
      <c r="L16" s="2" t="s">
        <v>82</v>
      </c>
      <c r="M16" s="2" t="s">
        <v>1523</v>
      </c>
      <c r="N16" s="2" t="s">
        <v>95</v>
      </c>
      <c r="O16" s="2" t="s">
        <v>83</v>
      </c>
      <c r="P16" s="2" t="s">
        <v>137</v>
      </c>
      <c r="Q16" s="2" t="s">
        <v>185</v>
      </c>
      <c r="R16" s="2">
        <v>4630739</v>
      </c>
      <c r="S16" s="2">
        <v>2018</v>
      </c>
      <c r="T16" s="2" t="s">
        <v>616</v>
      </c>
      <c r="U16" s="2" t="s">
        <v>65</v>
      </c>
      <c r="V16" s="2" t="s">
        <v>37</v>
      </c>
      <c r="W16" s="2" t="s">
        <v>37</v>
      </c>
      <c r="X16" s="2" t="s">
        <v>37</v>
      </c>
      <c r="Y16" s="2">
        <f>93+51+81+62+73</f>
        <v>360</v>
      </c>
      <c r="Z16" s="2">
        <v>500</v>
      </c>
      <c r="AA16" s="2">
        <f t="shared" si="0"/>
        <v>72</v>
      </c>
      <c r="AB16" s="2">
        <f>51+81+62</f>
        <v>194</v>
      </c>
      <c r="AC16" s="2">
        <v>300</v>
      </c>
      <c r="AD16" s="2">
        <f t="shared" si="1"/>
        <v>64.666666666666657</v>
      </c>
      <c r="AE16" s="2" t="s">
        <v>1524</v>
      </c>
      <c r="AF16" s="2" t="s">
        <v>1512</v>
      </c>
      <c r="AG16" s="2" t="s">
        <v>1512</v>
      </c>
      <c r="AH16" s="2">
        <v>10000</v>
      </c>
      <c r="AI16" s="2">
        <v>180000</v>
      </c>
      <c r="AJ16" s="2">
        <v>27500</v>
      </c>
      <c r="AK16" s="2">
        <f t="shared" si="2"/>
        <v>217500</v>
      </c>
      <c r="AL16" s="2" t="s">
        <v>1525</v>
      </c>
      <c r="AM16" s="2" t="s">
        <v>858</v>
      </c>
      <c r="AN16" s="2" t="s">
        <v>1526</v>
      </c>
      <c r="AO16" s="2" t="s">
        <v>858</v>
      </c>
      <c r="AP16" s="2">
        <v>500000</v>
      </c>
      <c r="AQ16" s="2" t="s">
        <v>1527</v>
      </c>
      <c r="AR16" s="4" t="s">
        <v>1528</v>
      </c>
      <c r="AS16" s="2" t="s">
        <v>1529</v>
      </c>
      <c r="AT16" s="2" t="s">
        <v>1530</v>
      </c>
      <c r="AU16" s="2" t="s">
        <v>95</v>
      </c>
      <c r="AV16" s="2" t="s">
        <v>65</v>
      </c>
      <c r="AW16" s="2">
        <v>560100</v>
      </c>
      <c r="AX16" s="2" t="s">
        <v>1529</v>
      </c>
      <c r="AY16" s="2" t="s">
        <v>1531</v>
      </c>
      <c r="AZ16" s="2">
        <v>9110847166</v>
      </c>
      <c r="BA16" s="2">
        <v>9343739447</v>
      </c>
      <c r="BB16" s="2">
        <v>9731001582</v>
      </c>
      <c r="BC16" s="3" t="s">
        <v>1532</v>
      </c>
      <c r="BD16" s="3" t="s">
        <v>1533</v>
      </c>
      <c r="BE16" s="2" t="s">
        <v>3378</v>
      </c>
    </row>
    <row r="17" spans="1:58" s="2" customFormat="1" ht="80.099999999999994" customHeight="1" x14ac:dyDescent="0.25">
      <c r="A17" s="2">
        <v>15</v>
      </c>
      <c r="B17" s="6">
        <v>298</v>
      </c>
      <c r="C17" s="6" t="s">
        <v>4444</v>
      </c>
      <c r="D17" s="6" t="s">
        <v>278</v>
      </c>
      <c r="F17" s="8" t="s">
        <v>1565</v>
      </c>
      <c r="G17" s="6" t="s">
        <v>38</v>
      </c>
      <c r="H17" s="6" t="s">
        <v>35</v>
      </c>
      <c r="I17" s="2" t="s">
        <v>68</v>
      </c>
      <c r="J17" s="2" t="s">
        <v>36</v>
      </c>
      <c r="K17" s="2" t="s">
        <v>1575</v>
      </c>
      <c r="L17" s="2" t="s">
        <v>82</v>
      </c>
      <c r="M17" s="2" t="s">
        <v>1576</v>
      </c>
      <c r="N17" s="2" t="s">
        <v>1577</v>
      </c>
      <c r="O17" s="2" t="s">
        <v>83</v>
      </c>
      <c r="P17" s="2" t="s">
        <v>85</v>
      </c>
      <c r="Q17" s="2" t="s">
        <v>185</v>
      </c>
      <c r="R17" s="2">
        <v>1805236893</v>
      </c>
      <c r="S17" s="2">
        <v>2018</v>
      </c>
      <c r="T17" s="2" t="s">
        <v>89</v>
      </c>
      <c r="U17" s="2" t="s">
        <v>37</v>
      </c>
      <c r="V17" s="2" t="s">
        <v>215</v>
      </c>
      <c r="W17" s="2">
        <v>874</v>
      </c>
      <c r="X17" s="2">
        <f>W17/1000*100</f>
        <v>87.4</v>
      </c>
      <c r="Y17" s="2">
        <f>87+98+55+60+57+49+30+28</f>
        <v>464</v>
      </c>
      <c r="Z17" s="2">
        <v>530</v>
      </c>
      <c r="AA17" s="2">
        <f t="shared" si="0"/>
        <v>87.547169811320757</v>
      </c>
      <c r="AB17" s="2">
        <f>64+62+57+53+55+60+57+49+30+28</f>
        <v>515</v>
      </c>
      <c r="AC17" s="2">
        <v>600</v>
      </c>
      <c r="AD17" s="2">
        <f t="shared" si="1"/>
        <v>85.833333333333329</v>
      </c>
      <c r="AE17" s="2" t="s">
        <v>1578</v>
      </c>
      <c r="AF17" s="2" t="s">
        <v>138</v>
      </c>
      <c r="AG17" s="2" t="s">
        <v>1560</v>
      </c>
      <c r="AH17" s="2">
        <v>10000</v>
      </c>
      <c r="AI17" s="2">
        <v>200000</v>
      </c>
      <c r="AJ17" s="2">
        <v>27500</v>
      </c>
      <c r="AK17" s="2">
        <f t="shared" si="2"/>
        <v>237500</v>
      </c>
      <c r="AL17" s="2" t="s">
        <v>1579</v>
      </c>
      <c r="AM17" s="2" t="s">
        <v>78</v>
      </c>
      <c r="AN17" s="2" t="s">
        <v>1580</v>
      </c>
      <c r="AO17" s="2" t="s">
        <v>1107</v>
      </c>
      <c r="AP17" s="2">
        <v>300000</v>
      </c>
      <c r="AQ17" s="2" t="s">
        <v>1581</v>
      </c>
      <c r="AR17" s="4" t="s">
        <v>1582</v>
      </c>
      <c r="AS17" s="2" t="s">
        <v>1583</v>
      </c>
      <c r="AT17" s="2" t="s">
        <v>783</v>
      </c>
      <c r="AU17" s="2" t="s">
        <v>84</v>
      </c>
      <c r="AV17" s="2" t="s">
        <v>215</v>
      </c>
      <c r="AX17" s="2" t="s">
        <v>1583</v>
      </c>
      <c r="AZ17" s="2">
        <v>9032236003</v>
      </c>
      <c r="BD17" s="3" t="s">
        <v>1584</v>
      </c>
      <c r="BE17" s="2" t="s">
        <v>1548</v>
      </c>
      <c r="BF17" s="2" t="s">
        <v>144</v>
      </c>
    </row>
    <row r="18" spans="1:58" s="2" customFormat="1" ht="80.099999999999994" customHeight="1" x14ac:dyDescent="0.25">
      <c r="A18" s="2">
        <v>16</v>
      </c>
      <c r="B18" s="2">
        <v>305</v>
      </c>
      <c r="C18" s="2" t="s">
        <v>4444</v>
      </c>
      <c r="D18" s="6" t="s">
        <v>278</v>
      </c>
      <c r="F18" s="8" t="s">
        <v>1585</v>
      </c>
      <c r="G18" s="6" t="s">
        <v>38</v>
      </c>
      <c r="H18" s="6" t="s">
        <v>35</v>
      </c>
      <c r="I18" s="2" t="s">
        <v>68</v>
      </c>
      <c r="J18" s="2" t="s">
        <v>36</v>
      </c>
      <c r="K18" s="2" t="s">
        <v>854</v>
      </c>
      <c r="L18" s="2" t="s">
        <v>82</v>
      </c>
      <c r="M18" s="2" t="s">
        <v>1633</v>
      </c>
      <c r="N18" s="2" t="s">
        <v>205</v>
      </c>
      <c r="O18" s="2" t="s">
        <v>123</v>
      </c>
      <c r="P18" s="2" t="s">
        <v>73</v>
      </c>
      <c r="Q18" s="2" t="s">
        <v>185</v>
      </c>
      <c r="R18" s="2">
        <v>4616515</v>
      </c>
      <c r="S18" s="2">
        <v>2018</v>
      </c>
      <c r="T18" s="2" t="s">
        <v>616</v>
      </c>
      <c r="U18" s="2" t="s">
        <v>37</v>
      </c>
      <c r="V18" s="2" t="s">
        <v>152</v>
      </c>
      <c r="W18" s="2" t="s">
        <v>37</v>
      </c>
      <c r="X18" s="2" t="s">
        <v>37</v>
      </c>
      <c r="Y18" s="2">
        <f>90+57+84+82+71</f>
        <v>384</v>
      </c>
      <c r="Z18" s="2">
        <v>600</v>
      </c>
      <c r="AA18" s="2">
        <f t="shared" si="0"/>
        <v>64</v>
      </c>
      <c r="AB18" s="2">
        <f>57+84+82</f>
        <v>223</v>
      </c>
      <c r="AC18" s="2">
        <v>300</v>
      </c>
      <c r="AD18" s="2">
        <f t="shared" si="1"/>
        <v>74.333333333333329</v>
      </c>
      <c r="AE18" s="2" t="s">
        <v>1121</v>
      </c>
      <c r="AF18" s="2" t="s">
        <v>1560</v>
      </c>
      <c r="AG18" s="2" t="s">
        <v>1560</v>
      </c>
      <c r="AH18" s="2">
        <v>10000</v>
      </c>
      <c r="AI18" s="2">
        <v>200000</v>
      </c>
      <c r="AJ18" s="2">
        <v>27500</v>
      </c>
      <c r="AK18" s="2">
        <f t="shared" si="2"/>
        <v>237500</v>
      </c>
      <c r="AL18" s="2" t="s">
        <v>1634</v>
      </c>
      <c r="AM18" s="2" t="s">
        <v>99</v>
      </c>
      <c r="AN18" s="2" t="s">
        <v>1635</v>
      </c>
      <c r="AO18" s="2" t="s">
        <v>1636</v>
      </c>
      <c r="AP18" s="2">
        <v>1200000</v>
      </c>
      <c r="AQ18" s="2" t="s">
        <v>1637</v>
      </c>
      <c r="AR18" s="4" t="s">
        <v>1638</v>
      </c>
      <c r="AS18" s="2" t="s">
        <v>1639</v>
      </c>
      <c r="AT18" s="2" t="s">
        <v>1640</v>
      </c>
      <c r="AU18" s="2" t="s">
        <v>205</v>
      </c>
      <c r="AV18" s="2" t="s">
        <v>152</v>
      </c>
      <c r="AW18" s="2">
        <v>635109</v>
      </c>
      <c r="AX18" s="2" t="s">
        <v>1639</v>
      </c>
      <c r="AZ18" s="2">
        <v>9585233397</v>
      </c>
      <c r="BA18" s="2">
        <v>9003574727</v>
      </c>
      <c r="BB18" s="2">
        <v>9003574728</v>
      </c>
      <c r="BC18" s="3" t="s">
        <v>1642</v>
      </c>
      <c r="BD18" s="3" t="s">
        <v>1641</v>
      </c>
      <c r="BE18" s="2" t="s">
        <v>3395</v>
      </c>
    </row>
    <row r="19" spans="1:58" s="2" customFormat="1" ht="80.099999999999994" customHeight="1" x14ac:dyDescent="0.25">
      <c r="A19" s="2">
        <v>17</v>
      </c>
      <c r="B19" s="2">
        <v>320</v>
      </c>
      <c r="C19" s="2" t="s">
        <v>4444</v>
      </c>
      <c r="D19" s="6" t="s">
        <v>278</v>
      </c>
      <c r="F19" s="8" t="s">
        <v>1696</v>
      </c>
      <c r="G19" s="6" t="s">
        <v>1505</v>
      </c>
      <c r="H19" s="6" t="s">
        <v>92</v>
      </c>
      <c r="I19" s="2" t="s">
        <v>68</v>
      </c>
      <c r="J19" s="2" t="s">
        <v>36</v>
      </c>
      <c r="K19" s="2" t="s">
        <v>1098</v>
      </c>
      <c r="L19" s="2" t="s">
        <v>82</v>
      </c>
      <c r="M19" s="2" t="s">
        <v>1697</v>
      </c>
      <c r="N19" s="2" t="s">
        <v>1101</v>
      </c>
      <c r="O19" s="2" t="s">
        <v>561</v>
      </c>
      <c r="P19" s="2" t="s">
        <v>137</v>
      </c>
      <c r="Q19" s="2" t="s">
        <v>185</v>
      </c>
      <c r="R19" s="2">
        <v>4630108</v>
      </c>
      <c r="S19" s="2">
        <v>2018</v>
      </c>
      <c r="T19" s="2" t="s">
        <v>616</v>
      </c>
      <c r="U19" s="2" t="s">
        <v>65</v>
      </c>
      <c r="V19" s="2" t="s">
        <v>37</v>
      </c>
      <c r="W19" s="2" t="s">
        <v>37</v>
      </c>
      <c r="X19" s="2" t="s">
        <v>37</v>
      </c>
      <c r="Y19" s="2">
        <f>83+33+73+64+68</f>
        <v>321</v>
      </c>
      <c r="Z19" s="2">
        <v>500</v>
      </c>
      <c r="AA19" s="2">
        <f t="shared" si="0"/>
        <v>64.2</v>
      </c>
      <c r="AB19" s="2">
        <f>33+73+64</f>
        <v>170</v>
      </c>
      <c r="AC19" s="2">
        <v>300</v>
      </c>
      <c r="AD19" s="2">
        <f t="shared" si="1"/>
        <v>56.666666666666664</v>
      </c>
      <c r="AE19" s="2" t="s">
        <v>1698</v>
      </c>
      <c r="AF19" s="2" t="s">
        <v>1658</v>
      </c>
      <c r="AG19" s="2" t="s">
        <v>1658</v>
      </c>
      <c r="AH19" s="2">
        <v>10000</v>
      </c>
      <c r="AI19" s="2">
        <v>180000</v>
      </c>
      <c r="AJ19" s="2">
        <v>27500</v>
      </c>
      <c r="AK19" s="2">
        <f t="shared" si="2"/>
        <v>217500</v>
      </c>
      <c r="AL19" s="2" t="s">
        <v>1699</v>
      </c>
      <c r="AM19" s="2" t="s">
        <v>99</v>
      </c>
      <c r="AN19" s="2" t="s">
        <v>1700</v>
      </c>
      <c r="AO19" s="2" t="s">
        <v>1701</v>
      </c>
      <c r="AP19" s="2">
        <v>2500000</v>
      </c>
      <c r="AQ19" s="2" t="s">
        <v>1702</v>
      </c>
      <c r="AR19" s="4" t="s">
        <v>1703</v>
      </c>
      <c r="AS19" s="2" t="s">
        <v>1704</v>
      </c>
      <c r="AT19" s="2" t="s">
        <v>1705</v>
      </c>
      <c r="AU19" s="2" t="s">
        <v>95</v>
      </c>
      <c r="AV19" s="2" t="s">
        <v>65</v>
      </c>
      <c r="AW19" s="2">
        <v>560017</v>
      </c>
      <c r="AX19" s="2" t="s">
        <v>1706</v>
      </c>
      <c r="AY19" s="2" t="s">
        <v>37</v>
      </c>
      <c r="AZ19" s="2" t="s">
        <v>1708</v>
      </c>
      <c r="BA19" s="2">
        <v>7259628348</v>
      </c>
      <c r="BB19" s="2">
        <v>9844641729</v>
      </c>
      <c r="BC19" s="2">
        <v>9902552374</v>
      </c>
      <c r="BD19" s="3" t="s">
        <v>1707</v>
      </c>
      <c r="BE19" s="2" t="s">
        <v>2913</v>
      </c>
    </row>
    <row r="20" spans="1:58" s="2" customFormat="1" ht="80.099999999999994" customHeight="1" x14ac:dyDescent="0.25">
      <c r="A20" s="2">
        <v>18</v>
      </c>
      <c r="B20" s="6">
        <v>333</v>
      </c>
      <c r="C20" s="6" t="s">
        <v>4444</v>
      </c>
      <c r="D20" s="6" t="s">
        <v>278</v>
      </c>
      <c r="F20" s="8" t="s">
        <v>1738</v>
      </c>
      <c r="G20" s="6" t="s">
        <v>38</v>
      </c>
      <c r="H20" s="6" t="s">
        <v>35</v>
      </c>
      <c r="I20" s="2" t="s">
        <v>68</v>
      </c>
      <c r="J20" s="2" t="s">
        <v>36</v>
      </c>
      <c r="K20" s="2" t="s">
        <v>1804</v>
      </c>
      <c r="L20" s="2" t="s">
        <v>70</v>
      </c>
      <c r="M20" s="2" t="s">
        <v>71</v>
      </c>
      <c r="N20" s="2" t="s">
        <v>1805</v>
      </c>
      <c r="O20" s="2" t="s">
        <v>795</v>
      </c>
      <c r="P20" s="2" t="s">
        <v>73</v>
      </c>
      <c r="Q20" s="2" t="s">
        <v>185</v>
      </c>
      <c r="R20" s="2">
        <v>4834482</v>
      </c>
      <c r="S20" s="2">
        <v>2018</v>
      </c>
      <c r="T20" s="2" t="s">
        <v>616</v>
      </c>
      <c r="U20" s="2" t="s">
        <v>37</v>
      </c>
      <c r="V20" s="2" t="s">
        <v>794</v>
      </c>
      <c r="W20" s="2" t="s">
        <v>37</v>
      </c>
      <c r="X20" s="2" t="s">
        <v>37</v>
      </c>
      <c r="Y20" s="2">
        <f>86+77+73+76+85</f>
        <v>397</v>
      </c>
      <c r="Z20" s="2">
        <v>500</v>
      </c>
      <c r="AA20" s="2">
        <f t="shared" si="0"/>
        <v>79.400000000000006</v>
      </c>
      <c r="AB20" s="2">
        <f>77+73+76</f>
        <v>226</v>
      </c>
      <c r="AC20" s="2">
        <v>300</v>
      </c>
      <c r="AD20" s="2">
        <f t="shared" si="1"/>
        <v>75.333333333333329</v>
      </c>
      <c r="AE20" s="2" t="s">
        <v>1806</v>
      </c>
      <c r="AF20" s="2" t="s">
        <v>1219</v>
      </c>
      <c r="AG20" s="2" t="s">
        <v>1722</v>
      </c>
      <c r="AH20" s="2">
        <v>10000</v>
      </c>
      <c r="AI20" s="2">
        <v>200000</v>
      </c>
      <c r="AJ20" s="2">
        <v>27500</v>
      </c>
      <c r="AK20" s="2">
        <f t="shared" si="2"/>
        <v>237500</v>
      </c>
      <c r="AL20" s="2" t="s">
        <v>1807</v>
      </c>
      <c r="AM20" s="2" t="s">
        <v>78</v>
      </c>
      <c r="AN20" s="2" t="s">
        <v>1808</v>
      </c>
      <c r="AO20" s="2" t="s">
        <v>37</v>
      </c>
      <c r="AP20" s="2">
        <v>50000</v>
      </c>
      <c r="AQ20" s="2" t="s">
        <v>1809</v>
      </c>
      <c r="AR20" s="4" t="s">
        <v>1814</v>
      </c>
      <c r="AS20" s="2" t="s">
        <v>1815</v>
      </c>
      <c r="AT20" s="2" t="s">
        <v>1810</v>
      </c>
      <c r="AU20" s="2" t="s">
        <v>1811</v>
      </c>
      <c r="AV20" s="2" t="s">
        <v>794</v>
      </c>
      <c r="AW20" s="2">
        <v>673611</v>
      </c>
      <c r="AX20" s="2" t="s">
        <v>1816</v>
      </c>
      <c r="AY20" s="2" t="s">
        <v>1817</v>
      </c>
      <c r="AZ20" s="2">
        <v>9747274077</v>
      </c>
      <c r="BB20" s="2">
        <v>9744464394</v>
      </c>
      <c r="BC20" s="3" t="s">
        <v>1812</v>
      </c>
      <c r="BD20" s="3" t="s">
        <v>1813</v>
      </c>
      <c r="BE20" s="2" t="s">
        <v>2880</v>
      </c>
    </row>
    <row r="21" spans="1:58" s="2" customFormat="1" ht="80.099999999999994" customHeight="1" x14ac:dyDescent="0.25">
      <c r="A21" s="2">
        <v>19</v>
      </c>
      <c r="B21" s="6">
        <v>372</v>
      </c>
      <c r="C21" s="6" t="s">
        <v>4444</v>
      </c>
      <c r="D21" s="6" t="s">
        <v>278</v>
      </c>
      <c r="F21" s="18" t="s">
        <v>1993</v>
      </c>
      <c r="G21" s="6" t="s">
        <v>1505</v>
      </c>
      <c r="H21" s="6" t="s">
        <v>35</v>
      </c>
      <c r="I21" s="2" t="s">
        <v>68</v>
      </c>
      <c r="J21" s="2" t="s">
        <v>36</v>
      </c>
      <c r="K21" s="2" t="s">
        <v>93</v>
      </c>
      <c r="L21" s="2" t="s">
        <v>82</v>
      </c>
      <c r="M21" s="2" t="s">
        <v>1937</v>
      </c>
      <c r="N21" s="2" t="s">
        <v>2005</v>
      </c>
      <c r="O21" s="2" t="s">
        <v>795</v>
      </c>
      <c r="P21" s="2" t="s">
        <v>62</v>
      </c>
      <c r="Q21" s="2" t="s">
        <v>63</v>
      </c>
      <c r="R21" s="2">
        <v>417443</v>
      </c>
      <c r="S21" s="2">
        <v>2018</v>
      </c>
      <c r="T21" s="2" t="s">
        <v>64</v>
      </c>
      <c r="U21" s="2" t="s">
        <v>65</v>
      </c>
      <c r="V21" s="2" t="s">
        <v>37</v>
      </c>
      <c r="W21" s="2" t="s">
        <v>37</v>
      </c>
      <c r="X21" s="2" t="s">
        <v>37</v>
      </c>
      <c r="Y21" s="2">
        <v>404</v>
      </c>
      <c r="Z21" s="2">
        <v>600</v>
      </c>
      <c r="AA21" s="2">
        <f t="shared" si="0"/>
        <v>67.333333333333329</v>
      </c>
      <c r="AB21" s="2">
        <f>74+73+42</f>
        <v>189</v>
      </c>
      <c r="AC21" s="2">
        <v>300</v>
      </c>
      <c r="AD21" s="2">
        <f t="shared" si="1"/>
        <v>63</v>
      </c>
      <c r="AE21" s="2" t="s">
        <v>2006</v>
      </c>
      <c r="AF21" s="2" t="s">
        <v>843</v>
      </c>
      <c r="AG21" s="2" t="s">
        <v>1918</v>
      </c>
      <c r="AH21" s="2">
        <v>10000</v>
      </c>
      <c r="AI21" s="2">
        <v>180000</v>
      </c>
      <c r="AJ21" s="2">
        <v>27500</v>
      </c>
      <c r="AK21" s="2">
        <f t="shared" si="2"/>
        <v>217500</v>
      </c>
      <c r="AL21" s="2" t="s">
        <v>2007</v>
      </c>
      <c r="AM21" s="2" t="s">
        <v>2009</v>
      </c>
      <c r="AN21" s="2" t="s">
        <v>2008</v>
      </c>
      <c r="AO21" s="2" t="s">
        <v>139</v>
      </c>
      <c r="AP21" s="2">
        <v>1200000</v>
      </c>
      <c r="AQ21" s="2" t="s">
        <v>2010</v>
      </c>
      <c r="AR21" s="4" t="s">
        <v>2011</v>
      </c>
      <c r="AS21" s="2" t="s">
        <v>2012</v>
      </c>
      <c r="AT21" s="2" t="s">
        <v>675</v>
      </c>
      <c r="AU21" s="2" t="s">
        <v>95</v>
      </c>
      <c r="AV21" s="2" t="s">
        <v>65</v>
      </c>
      <c r="AW21" s="2">
        <v>560103</v>
      </c>
      <c r="AX21" s="2" t="s">
        <v>2012</v>
      </c>
      <c r="AY21" s="2" t="s">
        <v>2013</v>
      </c>
      <c r="AZ21" s="2">
        <v>7899264567</v>
      </c>
      <c r="BA21" s="2">
        <v>9845002476</v>
      </c>
      <c r="BB21" s="2">
        <v>9900339988</v>
      </c>
      <c r="BC21" s="3" t="s">
        <v>2014</v>
      </c>
      <c r="BD21" s="3" t="s">
        <v>2015</v>
      </c>
      <c r="BE21" s="2" t="s">
        <v>1609</v>
      </c>
      <c r="BF21" s="2" t="s">
        <v>37</v>
      </c>
    </row>
    <row r="22" spans="1:58" s="2" customFormat="1" ht="80.099999999999994" customHeight="1" x14ac:dyDescent="0.25">
      <c r="A22" s="2">
        <v>20</v>
      </c>
      <c r="B22" s="2">
        <v>406</v>
      </c>
      <c r="C22" s="2" t="s">
        <v>4444</v>
      </c>
      <c r="D22" s="2" t="s">
        <v>278</v>
      </c>
      <c r="F22" s="7" t="s">
        <v>2099</v>
      </c>
      <c r="G22" s="2" t="s">
        <v>38</v>
      </c>
      <c r="H22" s="2" t="s">
        <v>35</v>
      </c>
      <c r="I22" s="2" t="s">
        <v>68</v>
      </c>
      <c r="J22" s="2" t="s">
        <v>36</v>
      </c>
      <c r="K22" s="2" t="s">
        <v>2100</v>
      </c>
      <c r="L22" s="2" t="s">
        <v>136</v>
      </c>
      <c r="M22" s="2" t="s">
        <v>2101</v>
      </c>
      <c r="N22" s="2" t="s">
        <v>318</v>
      </c>
      <c r="O22" s="2" t="s">
        <v>61</v>
      </c>
      <c r="P22" s="2" t="s">
        <v>73</v>
      </c>
      <c r="Q22" s="2" t="s">
        <v>63</v>
      </c>
      <c r="R22" s="2">
        <v>385490</v>
      </c>
      <c r="S22" s="2">
        <v>2018</v>
      </c>
      <c r="T22" s="2" t="s">
        <v>64</v>
      </c>
      <c r="U22" s="2" t="s">
        <v>65</v>
      </c>
      <c r="V22" s="2" t="s">
        <v>37</v>
      </c>
      <c r="W22" s="2" t="s">
        <v>37</v>
      </c>
      <c r="X22" s="2" t="s">
        <v>37</v>
      </c>
      <c r="Y22" s="2">
        <v>371</v>
      </c>
      <c r="Z22" s="2">
        <v>600</v>
      </c>
      <c r="AA22" s="2">
        <f t="shared" si="0"/>
        <v>61.833333333333329</v>
      </c>
      <c r="AB22" s="2">
        <f>77+61+38</f>
        <v>176</v>
      </c>
      <c r="AC22" s="2">
        <v>300</v>
      </c>
      <c r="AD22" s="2">
        <f t="shared" si="1"/>
        <v>58.666666666666664</v>
      </c>
      <c r="AE22" s="2" t="s">
        <v>2102</v>
      </c>
      <c r="AF22" s="2" t="s">
        <v>2073</v>
      </c>
      <c r="AG22" s="2" t="s">
        <v>2103</v>
      </c>
      <c r="AH22" s="2">
        <v>10000</v>
      </c>
      <c r="AI22" s="2">
        <v>200000</v>
      </c>
      <c r="AJ22" s="2">
        <v>27500</v>
      </c>
      <c r="AK22" s="2">
        <f t="shared" si="2"/>
        <v>237500</v>
      </c>
      <c r="AL22" s="2" t="s">
        <v>2104</v>
      </c>
      <c r="AM22" s="2" t="s">
        <v>78</v>
      </c>
      <c r="AN22" s="2" t="s">
        <v>2105</v>
      </c>
      <c r="AO22" s="2" t="s">
        <v>2106</v>
      </c>
      <c r="AP22" s="2">
        <v>5200000</v>
      </c>
      <c r="AQ22" s="2" t="s">
        <v>2107</v>
      </c>
      <c r="AR22" s="4" t="s">
        <v>2108</v>
      </c>
      <c r="AS22" s="2" t="s">
        <v>2110</v>
      </c>
      <c r="AT22" s="2" t="s">
        <v>2109</v>
      </c>
      <c r="AU22" s="2" t="s">
        <v>95</v>
      </c>
      <c r="AV22" s="2" t="s">
        <v>65</v>
      </c>
      <c r="AW22" s="2">
        <v>560085</v>
      </c>
      <c r="AX22" s="2" t="s">
        <v>2110</v>
      </c>
      <c r="AY22" s="2" t="s">
        <v>2111</v>
      </c>
      <c r="BA22" s="2">
        <v>9686132197</v>
      </c>
      <c r="BB22" s="2">
        <v>8277459757</v>
      </c>
      <c r="BC22" s="3" t="s">
        <v>2112</v>
      </c>
      <c r="BE22" s="2" t="s">
        <v>1564</v>
      </c>
      <c r="BF22" s="2" t="s">
        <v>1469</v>
      </c>
    </row>
    <row r="23" spans="1:58" s="2" customFormat="1" ht="80.099999999999994" customHeight="1" x14ac:dyDescent="0.25">
      <c r="A23" s="2">
        <v>21</v>
      </c>
      <c r="B23" s="2">
        <v>430</v>
      </c>
      <c r="C23" s="2" t="s">
        <v>4444</v>
      </c>
      <c r="D23" s="2" t="s">
        <v>278</v>
      </c>
      <c r="F23" s="7" t="s">
        <v>2215</v>
      </c>
      <c r="G23" s="2" t="s">
        <v>38</v>
      </c>
      <c r="H23" s="2" t="s">
        <v>35</v>
      </c>
      <c r="I23" s="2" t="s">
        <v>68</v>
      </c>
      <c r="J23" s="2" t="s">
        <v>36</v>
      </c>
      <c r="K23" s="2" t="s">
        <v>248</v>
      </c>
      <c r="L23" s="2" t="s">
        <v>136</v>
      </c>
      <c r="M23" s="2" t="s">
        <v>2216</v>
      </c>
      <c r="N23" s="2" t="s">
        <v>169</v>
      </c>
      <c r="O23" s="2" t="s">
        <v>83</v>
      </c>
      <c r="P23" s="2" t="s">
        <v>85</v>
      </c>
      <c r="Q23" s="2" t="s">
        <v>185</v>
      </c>
      <c r="R23" s="2">
        <v>1810215177</v>
      </c>
      <c r="S23" s="2">
        <v>2018</v>
      </c>
      <c r="T23" s="2" t="s">
        <v>89</v>
      </c>
      <c r="U23" s="2" t="s">
        <v>37</v>
      </c>
      <c r="V23" s="2" t="s">
        <v>215</v>
      </c>
      <c r="W23" s="2">
        <v>834</v>
      </c>
      <c r="X23" s="2">
        <f>W23/1000*100</f>
        <v>83.399999999999991</v>
      </c>
      <c r="Y23" s="2">
        <f>81+83+50+53+52+38+30+30</f>
        <v>417</v>
      </c>
      <c r="Z23" s="2">
        <v>530</v>
      </c>
      <c r="AA23" s="2">
        <f t="shared" si="0"/>
        <v>78.679245283018872</v>
      </c>
      <c r="AB23" s="2">
        <f>60+70+52+53+50+53+52+38+30+30</f>
        <v>488</v>
      </c>
      <c r="AC23" s="2">
        <v>600</v>
      </c>
      <c r="AD23" s="2">
        <f t="shared" si="1"/>
        <v>81.333333333333329</v>
      </c>
      <c r="AE23" s="2" t="s">
        <v>2217</v>
      </c>
      <c r="AF23" s="2" t="s">
        <v>1219</v>
      </c>
      <c r="AG23" s="2" t="s">
        <v>2214</v>
      </c>
      <c r="AH23" s="2">
        <v>10000</v>
      </c>
      <c r="AI23" s="2">
        <v>200000</v>
      </c>
      <c r="AJ23" s="2">
        <v>27500</v>
      </c>
      <c r="AK23" s="2">
        <f t="shared" si="2"/>
        <v>237500</v>
      </c>
      <c r="AL23" s="2" t="s">
        <v>2218</v>
      </c>
      <c r="AM23" s="2" t="s">
        <v>78</v>
      </c>
      <c r="AN23" s="2" t="s">
        <v>2219</v>
      </c>
      <c r="AO23" s="2" t="s">
        <v>202</v>
      </c>
      <c r="AP23" s="2">
        <v>800000</v>
      </c>
      <c r="AQ23" s="2" t="s">
        <v>2220</v>
      </c>
      <c r="AR23" s="4" t="s">
        <v>2225</v>
      </c>
      <c r="AS23" s="2" t="s">
        <v>2221</v>
      </c>
      <c r="AT23" s="2" t="s">
        <v>2222</v>
      </c>
      <c r="AU23" s="2" t="s">
        <v>169</v>
      </c>
      <c r="AV23" s="2" t="s">
        <v>215</v>
      </c>
      <c r="AW23" s="2">
        <v>518006</v>
      </c>
      <c r="AX23" s="2" t="s">
        <v>2221</v>
      </c>
      <c r="AY23" s="2" t="s">
        <v>37</v>
      </c>
      <c r="AZ23" s="2">
        <v>9666331176</v>
      </c>
      <c r="BA23" s="2">
        <v>9440232508</v>
      </c>
      <c r="BB23" s="2">
        <v>9440166708</v>
      </c>
      <c r="BC23" s="3" t="s">
        <v>2223</v>
      </c>
      <c r="BD23" s="3" t="s">
        <v>2224</v>
      </c>
      <c r="BE23" s="2" t="s">
        <v>879</v>
      </c>
      <c r="BF23" s="2" t="s">
        <v>113</v>
      </c>
    </row>
    <row r="24" spans="1:58" s="2" customFormat="1" ht="80.099999999999994" customHeight="1" x14ac:dyDescent="0.25">
      <c r="A24" s="2">
        <v>22</v>
      </c>
      <c r="B24" s="2">
        <v>448</v>
      </c>
      <c r="C24" s="2" t="s">
        <v>4444</v>
      </c>
      <c r="D24" s="6" t="s">
        <v>278</v>
      </c>
      <c r="F24" s="8" t="s">
        <v>2260</v>
      </c>
      <c r="G24" s="6" t="s">
        <v>38</v>
      </c>
      <c r="H24" s="6" t="s">
        <v>35</v>
      </c>
      <c r="I24" s="2" t="s">
        <v>68</v>
      </c>
      <c r="J24" s="2" t="s">
        <v>36</v>
      </c>
      <c r="K24" s="2" t="s">
        <v>226</v>
      </c>
      <c r="L24" s="2" t="s">
        <v>82</v>
      </c>
      <c r="M24" s="2" t="s">
        <v>751</v>
      </c>
      <c r="N24" s="2" t="s">
        <v>2262</v>
      </c>
      <c r="O24" s="2" t="s">
        <v>226</v>
      </c>
      <c r="P24" s="2" t="s">
        <v>85</v>
      </c>
      <c r="Q24" s="2" t="s">
        <v>185</v>
      </c>
      <c r="R24" s="2">
        <v>6382653</v>
      </c>
      <c r="S24" s="2">
        <v>2018</v>
      </c>
      <c r="T24" s="2" t="s">
        <v>184</v>
      </c>
      <c r="U24" s="2" t="s">
        <v>37</v>
      </c>
      <c r="V24" s="2" t="s">
        <v>2263</v>
      </c>
      <c r="W24" s="2" t="s">
        <v>37</v>
      </c>
      <c r="X24" s="2" t="s">
        <v>37</v>
      </c>
      <c r="Y24" s="2">
        <f>83+43+55+64+73</f>
        <v>318</v>
      </c>
      <c r="Z24" s="2">
        <v>500</v>
      </c>
      <c r="AA24" s="2">
        <f t="shared" si="0"/>
        <v>63.6</v>
      </c>
      <c r="AB24" s="2">
        <f>43+55+64</f>
        <v>162</v>
      </c>
      <c r="AC24" s="2">
        <v>300</v>
      </c>
      <c r="AD24" s="2">
        <f t="shared" si="1"/>
        <v>54</v>
      </c>
      <c r="AE24" s="2" t="s">
        <v>2264</v>
      </c>
      <c r="AF24" s="2" t="s">
        <v>2214</v>
      </c>
      <c r="AG24" s="2" t="s">
        <v>2214</v>
      </c>
      <c r="AH24" s="2">
        <v>10000</v>
      </c>
      <c r="AI24" s="2">
        <v>200000</v>
      </c>
      <c r="AJ24" s="2">
        <v>27500</v>
      </c>
      <c r="AK24" s="2">
        <f t="shared" si="2"/>
        <v>237500</v>
      </c>
      <c r="AL24" s="2" t="s">
        <v>2266</v>
      </c>
      <c r="AM24" s="2" t="s">
        <v>78</v>
      </c>
      <c r="AN24" s="2" t="s">
        <v>2265</v>
      </c>
      <c r="AO24" s="2" t="s">
        <v>139</v>
      </c>
      <c r="AP24" s="2">
        <v>1200000</v>
      </c>
      <c r="AQ24" s="2" t="s">
        <v>2272</v>
      </c>
      <c r="AR24" s="4" t="s">
        <v>2267</v>
      </c>
      <c r="AS24" s="2" t="s">
        <v>2268</v>
      </c>
      <c r="AT24" s="2" t="s">
        <v>1132</v>
      </c>
      <c r="AU24" s="2" t="s">
        <v>2269</v>
      </c>
      <c r="AV24" s="2" t="s">
        <v>152</v>
      </c>
      <c r="AW24" s="2">
        <v>643102</v>
      </c>
      <c r="AX24" s="2" t="s">
        <v>2268</v>
      </c>
      <c r="AZ24" s="2">
        <v>9677552962</v>
      </c>
      <c r="BA24" s="2">
        <v>9442630945</v>
      </c>
      <c r="BB24" s="2">
        <v>9442640747</v>
      </c>
      <c r="BC24" s="3" t="s">
        <v>2270</v>
      </c>
      <c r="BD24" s="3" t="s">
        <v>2271</v>
      </c>
      <c r="BE24" s="2" t="s">
        <v>1939</v>
      </c>
      <c r="BF24" s="2" t="s">
        <v>230</v>
      </c>
    </row>
    <row r="25" spans="1:58" s="2" customFormat="1" ht="80.099999999999994" customHeight="1" x14ac:dyDescent="0.25">
      <c r="A25" s="2">
        <v>23</v>
      </c>
      <c r="B25" s="2">
        <v>459</v>
      </c>
      <c r="C25" s="2" t="s">
        <v>4444</v>
      </c>
      <c r="D25" s="2" t="s">
        <v>278</v>
      </c>
      <c r="F25" s="7" t="s">
        <v>2336</v>
      </c>
      <c r="G25" s="2" t="s">
        <v>38</v>
      </c>
      <c r="H25" s="2" t="s">
        <v>35</v>
      </c>
      <c r="I25" s="2" t="s">
        <v>68</v>
      </c>
      <c r="J25" s="2" t="s">
        <v>36</v>
      </c>
      <c r="K25" s="2" t="s">
        <v>2337</v>
      </c>
      <c r="L25" s="2" t="s">
        <v>82</v>
      </c>
      <c r="M25" s="2" t="s">
        <v>2098</v>
      </c>
      <c r="N25" s="2" t="s">
        <v>804</v>
      </c>
      <c r="O25" s="2" t="s">
        <v>795</v>
      </c>
      <c r="P25" s="2" t="s">
        <v>85</v>
      </c>
      <c r="Q25" s="2" t="s">
        <v>185</v>
      </c>
      <c r="R25" s="2">
        <v>4831508</v>
      </c>
      <c r="S25" s="2">
        <v>2018</v>
      </c>
      <c r="T25" s="2" t="s">
        <v>616</v>
      </c>
      <c r="U25" s="2" t="s">
        <v>37</v>
      </c>
      <c r="V25" s="2" t="s">
        <v>794</v>
      </c>
      <c r="W25" s="2" t="s">
        <v>37</v>
      </c>
      <c r="X25" s="2" t="s">
        <v>37</v>
      </c>
      <c r="Y25" s="2">
        <f>75+55+69+67+78</f>
        <v>344</v>
      </c>
      <c r="Z25" s="2">
        <v>500</v>
      </c>
      <c r="AA25" s="2">
        <f t="shared" si="0"/>
        <v>68.8</v>
      </c>
      <c r="AB25" s="2">
        <f>55+69+67</f>
        <v>191</v>
      </c>
      <c r="AC25" s="2">
        <v>300</v>
      </c>
      <c r="AD25" s="2">
        <f t="shared" si="1"/>
        <v>63.666666666666671</v>
      </c>
      <c r="AE25" s="2" t="s">
        <v>2338</v>
      </c>
      <c r="AF25" s="2" t="s">
        <v>2275</v>
      </c>
      <c r="AG25" s="2" t="s">
        <v>2275</v>
      </c>
      <c r="AH25" s="2">
        <v>10000</v>
      </c>
      <c r="AI25" s="2">
        <v>200000</v>
      </c>
      <c r="AJ25" s="2">
        <v>27500</v>
      </c>
      <c r="AK25" s="2">
        <f t="shared" si="2"/>
        <v>237500</v>
      </c>
      <c r="AL25" s="2" t="s">
        <v>2339</v>
      </c>
      <c r="AM25" s="2" t="s">
        <v>78</v>
      </c>
      <c r="AN25" s="2" t="s">
        <v>2340</v>
      </c>
      <c r="AO25" s="2" t="s">
        <v>2341</v>
      </c>
      <c r="AP25" s="2">
        <v>600000</v>
      </c>
      <c r="AQ25" s="2" t="s">
        <v>2342</v>
      </c>
      <c r="AR25" s="4" t="s">
        <v>2343</v>
      </c>
      <c r="AS25" s="2" t="s">
        <v>2344</v>
      </c>
      <c r="AT25" s="2" t="s">
        <v>2345</v>
      </c>
      <c r="AU25" s="2" t="s">
        <v>2136</v>
      </c>
      <c r="AV25" s="2" t="s">
        <v>794</v>
      </c>
      <c r="AX25" s="2" t="s">
        <v>2344</v>
      </c>
      <c r="AZ25" s="2">
        <v>9656459656</v>
      </c>
      <c r="BA25" s="2" t="s">
        <v>2346</v>
      </c>
      <c r="BB25" s="2">
        <v>9446690442</v>
      </c>
      <c r="BC25" s="2" t="s">
        <v>37</v>
      </c>
      <c r="BD25" s="3" t="s">
        <v>2347</v>
      </c>
      <c r="BE25" s="2" t="s">
        <v>3925</v>
      </c>
    </row>
    <row r="26" spans="1:58" s="2" customFormat="1" ht="80.099999999999994" customHeight="1" x14ac:dyDescent="0.25">
      <c r="A26" s="2">
        <v>24</v>
      </c>
      <c r="B26" s="2">
        <v>502</v>
      </c>
      <c r="C26" s="2" t="s">
        <v>4444</v>
      </c>
      <c r="D26" s="2" t="s">
        <v>278</v>
      </c>
      <c r="F26" s="7" t="s">
        <v>2555</v>
      </c>
      <c r="G26" s="2" t="s">
        <v>38</v>
      </c>
      <c r="H26" s="2" t="s">
        <v>35</v>
      </c>
      <c r="I26" s="2" t="s">
        <v>68</v>
      </c>
      <c r="J26" s="2" t="s">
        <v>36</v>
      </c>
      <c r="K26" s="2" t="s">
        <v>449</v>
      </c>
      <c r="L26" s="2" t="s">
        <v>82</v>
      </c>
      <c r="M26" s="2" t="s">
        <v>2556</v>
      </c>
      <c r="N26" s="2" t="s">
        <v>684</v>
      </c>
      <c r="O26" s="2" t="s">
        <v>449</v>
      </c>
      <c r="P26" s="2" t="s">
        <v>85</v>
      </c>
      <c r="Q26" s="2" t="s">
        <v>185</v>
      </c>
      <c r="R26" s="2">
        <v>1860228243</v>
      </c>
      <c r="S26" s="2">
        <v>2018</v>
      </c>
      <c r="T26" s="2" t="s">
        <v>75</v>
      </c>
      <c r="U26" s="2" t="s">
        <v>37</v>
      </c>
      <c r="V26" s="2" t="s">
        <v>76</v>
      </c>
      <c r="W26" s="2">
        <v>839</v>
      </c>
      <c r="X26" s="2">
        <f>W26/1000*100</f>
        <v>83.899999999999991</v>
      </c>
      <c r="Y26" s="2">
        <f>86+98+50+47+40+44+28+28</f>
        <v>421</v>
      </c>
      <c r="Z26" s="2">
        <v>530</v>
      </c>
      <c r="AA26" s="2">
        <f t="shared" si="0"/>
        <v>79.433962264150949</v>
      </c>
      <c r="AB26" s="2">
        <f>69+65+55+49+50+47+40+44+28+28</f>
        <v>475</v>
      </c>
      <c r="AC26" s="2">
        <v>600</v>
      </c>
      <c r="AD26" s="2">
        <f t="shared" si="1"/>
        <v>79.166666666666657</v>
      </c>
      <c r="AE26" s="2" t="s">
        <v>2557</v>
      </c>
      <c r="AF26" s="2" t="s">
        <v>2558</v>
      </c>
      <c r="AG26" s="2" t="s">
        <v>2558</v>
      </c>
      <c r="AH26" s="2">
        <v>10000</v>
      </c>
      <c r="AI26" s="2">
        <v>200000</v>
      </c>
      <c r="AJ26" s="2">
        <v>27500</v>
      </c>
      <c r="AK26" s="2">
        <f t="shared" si="2"/>
        <v>237500</v>
      </c>
      <c r="AL26" s="2" t="s">
        <v>2559</v>
      </c>
      <c r="AM26" s="2" t="s">
        <v>78</v>
      </c>
      <c r="AN26" s="2" t="s">
        <v>2560</v>
      </c>
      <c r="AO26" s="2" t="s">
        <v>139</v>
      </c>
      <c r="AP26" s="2" t="s">
        <v>2130</v>
      </c>
      <c r="AQ26" s="2" t="s">
        <v>2561</v>
      </c>
      <c r="AR26" s="4" t="s">
        <v>2562</v>
      </c>
      <c r="AS26" s="2" t="s">
        <v>2563</v>
      </c>
      <c r="AT26" s="2" t="s">
        <v>2564</v>
      </c>
      <c r="AU26" s="2" t="s">
        <v>2565</v>
      </c>
      <c r="AV26" s="2" t="s">
        <v>2566</v>
      </c>
      <c r="AW26" s="2">
        <v>410218</v>
      </c>
      <c r="AX26" s="2" t="s">
        <v>2563</v>
      </c>
      <c r="AZ26" s="2">
        <v>7718042424</v>
      </c>
      <c r="BA26" s="2">
        <v>7498345897</v>
      </c>
      <c r="BB26" s="2">
        <v>9967855549</v>
      </c>
      <c r="BC26" s="3" t="s">
        <v>2567</v>
      </c>
      <c r="BD26" s="3" t="s">
        <v>2568</v>
      </c>
      <c r="BE26" s="2" t="s">
        <v>3393</v>
      </c>
      <c r="BF26" s="2" t="s">
        <v>144</v>
      </c>
    </row>
    <row r="27" spans="1:58" s="2" customFormat="1" ht="80.099999999999994" customHeight="1" x14ac:dyDescent="0.25">
      <c r="A27" s="2">
        <v>25</v>
      </c>
      <c r="B27" s="2">
        <v>516</v>
      </c>
      <c r="C27" s="2" t="s">
        <v>4444</v>
      </c>
      <c r="D27" s="2" t="s">
        <v>278</v>
      </c>
      <c r="F27" s="7" t="s">
        <v>2596</v>
      </c>
      <c r="G27" s="2" t="s">
        <v>38</v>
      </c>
      <c r="H27" s="2" t="s">
        <v>35</v>
      </c>
      <c r="I27" s="2" t="s">
        <v>68</v>
      </c>
      <c r="J27" s="2" t="s">
        <v>36</v>
      </c>
      <c r="K27" s="2" t="s">
        <v>114</v>
      </c>
      <c r="L27" s="2" t="s">
        <v>82</v>
      </c>
      <c r="M27" s="2" t="s">
        <v>2597</v>
      </c>
      <c r="N27" s="2" t="s">
        <v>2598</v>
      </c>
      <c r="O27" s="2" t="s">
        <v>83</v>
      </c>
      <c r="P27" s="2" t="s">
        <v>73</v>
      </c>
      <c r="Q27" s="2" t="s">
        <v>185</v>
      </c>
      <c r="R27" s="2">
        <v>1858241097</v>
      </c>
      <c r="S27" s="2">
        <v>2018</v>
      </c>
      <c r="T27" s="2" t="s">
        <v>75</v>
      </c>
      <c r="U27" s="2" t="s">
        <v>37</v>
      </c>
      <c r="V27" s="2" t="s">
        <v>76</v>
      </c>
      <c r="W27" s="2">
        <v>966</v>
      </c>
      <c r="X27" s="2">
        <f>W27/1000*100</f>
        <v>96.6</v>
      </c>
      <c r="Y27" s="2">
        <f>95+98+72+66+60+58+30+30</f>
        <v>509</v>
      </c>
      <c r="Z27" s="2">
        <v>530</v>
      </c>
      <c r="AA27" s="2">
        <f t="shared" si="0"/>
        <v>96.037735849056602</v>
      </c>
      <c r="AB27" s="2">
        <f>75+70+59+60+72+66+60+30+58+30</f>
        <v>580</v>
      </c>
      <c r="AC27" s="2">
        <v>600</v>
      </c>
      <c r="AD27" s="2">
        <f t="shared" si="1"/>
        <v>96.666666666666671</v>
      </c>
      <c r="AE27" s="2" t="s">
        <v>2599</v>
      </c>
      <c r="AF27" s="2" t="s">
        <v>2558</v>
      </c>
      <c r="AG27" s="2" t="s">
        <v>2558</v>
      </c>
      <c r="AH27" s="2">
        <v>10000</v>
      </c>
      <c r="AI27" s="2">
        <v>200000</v>
      </c>
      <c r="AJ27" s="2">
        <v>27500</v>
      </c>
      <c r="AK27" s="2">
        <f t="shared" si="2"/>
        <v>237500</v>
      </c>
      <c r="AL27" s="2" t="s">
        <v>2600</v>
      </c>
      <c r="AM27" s="2" t="s">
        <v>78</v>
      </c>
      <c r="AN27" s="2" t="s">
        <v>2601</v>
      </c>
      <c r="AO27" s="2" t="s">
        <v>2602</v>
      </c>
      <c r="AP27" s="2">
        <v>800000</v>
      </c>
      <c r="AQ27" s="2" t="s">
        <v>2603</v>
      </c>
      <c r="AR27" s="4" t="s">
        <v>2604</v>
      </c>
      <c r="AS27" s="2" t="s">
        <v>2605</v>
      </c>
      <c r="AT27" s="2" t="s">
        <v>2606</v>
      </c>
      <c r="AU27" s="2" t="s">
        <v>76</v>
      </c>
      <c r="AV27" s="2" t="s">
        <v>177</v>
      </c>
      <c r="AW27" s="2">
        <v>500025</v>
      </c>
      <c r="AX27" s="2" t="s">
        <v>2605</v>
      </c>
      <c r="AZ27" s="2">
        <v>9542240428</v>
      </c>
      <c r="BA27" s="2">
        <v>7989437044</v>
      </c>
      <c r="BB27" s="2">
        <v>9291320645</v>
      </c>
      <c r="BC27" s="3" t="s">
        <v>2607</v>
      </c>
      <c r="BD27" s="3" t="s">
        <v>2608</v>
      </c>
      <c r="BE27" s="2" t="s">
        <v>879</v>
      </c>
      <c r="BF27" s="2" t="s">
        <v>113</v>
      </c>
    </row>
    <row r="28" spans="1:58" s="2" customFormat="1" ht="80.099999999999994" customHeight="1" x14ac:dyDescent="0.25">
      <c r="A28" s="2">
        <v>26</v>
      </c>
      <c r="B28" s="2">
        <v>521</v>
      </c>
      <c r="C28" s="2" t="s">
        <v>4444</v>
      </c>
      <c r="D28" s="2" t="s">
        <v>278</v>
      </c>
      <c r="F28" s="7" t="s">
        <v>2611</v>
      </c>
      <c r="G28" s="2" t="s">
        <v>38</v>
      </c>
      <c r="H28" s="2" t="s">
        <v>35</v>
      </c>
      <c r="I28" s="2" t="s">
        <v>68</v>
      </c>
      <c r="J28" s="2" t="s">
        <v>36</v>
      </c>
      <c r="K28" s="2" t="s">
        <v>2614</v>
      </c>
      <c r="L28" s="2" t="s">
        <v>82</v>
      </c>
      <c r="M28" s="2" t="s">
        <v>2615</v>
      </c>
      <c r="N28" s="2" t="s">
        <v>2616</v>
      </c>
      <c r="O28" s="2" t="s">
        <v>449</v>
      </c>
      <c r="P28" s="2" t="s">
        <v>85</v>
      </c>
      <c r="Q28" s="2" t="s">
        <v>185</v>
      </c>
      <c r="R28" s="2" t="s">
        <v>2617</v>
      </c>
      <c r="S28" s="2">
        <v>2018</v>
      </c>
      <c r="T28" s="2" t="s">
        <v>1823</v>
      </c>
      <c r="U28" s="2" t="s">
        <v>37</v>
      </c>
      <c r="V28" s="2" t="s">
        <v>1829</v>
      </c>
      <c r="W28" s="2" t="s">
        <v>37</v>
      </c>
      <c r="X28" s="2" t="s">
        <v>37</v>
      </c>
      <c r="Y28" s="2">
        <f>69+84+62+51+30</f>
        <v>296</v>
      </c>
      <c r="Z28" s="2">
        <v>500</v>
      </c>
      <c r="AA28" s="2">
        <f t="shared" si="0"/>
        <v>59.199999999999996</v>
      </c>
      <c r="AB28" s="2">
        <f>62+51+30</f>
        <v>143</v>
      </c>
      <c r="AC28" s="2">
        <v>300</v>
      </c>
      <c r="AD28" s="2">
        <f t="shared" si="1"/>
        <v>47.666666666666671</v>
      </c>
      <c r="AE28" s="2" t="s">
        <v>2618</v>
      </c>
      <c r="AF28" s="2" t="s">
        <v>2610</v>
      </c>
      <c r="AG28" s="2" t="s">
        <v>2610</v>
      </c>
      <c r="AH28" s="2">
        <v>10000</v>
      </c>
      <c r="AI28" s="2">
        <v>200000</v>
      </c>
      <c r="AJ28" s="2">
        <v>27500</v>
      </c>
      <c r="AK28" s="2">
        <f t="shared" si="2"/>
        <v>237500</v>
      </c>
      <c r="AL28" s="2" t="s">
        <v>2619</v>
      </c>
      <c r="AM28" s="2" t="s">
        <v>139</v>
      </c>
      <c r="AN28" s="2" t="s">
        <v>2620</v>
      </c>
      <c r="AO28" s="2" t="s">
        <v>320</v>
      </c>
      <c r="AP28" s="2">
        <v>800000</v>
      </c>
      <c r="AQ28" s="2" t="s">
        <v>2628</v>
      </c>
      <c r="AR28" s="4" t="s">
        <v>4370</v>
      </c>
      <c r="AS28" s="2" t="s">
        <v>2622</v>
      </c>
      <c r="AT28" s="2" t="s">
        <v>2623</v>
      </c>
      <c r="AU28" s="2" t="s">
        <v>2624</v>
      </c>
      <c r="AV28" s="2" t="s">
        <v>1829</v>
      </c>
      <c r="AW28" s="2">
        <v>788004</v>
      </c>
      <c r="AX28" s="4" t="s">
        <v>2621</v>
      </c>
      <c r="BB28" s="2">
        <v>9435070100</v>
      </c>
      <c r="BC28" s="3" t="s">
        <v>2625</v>
      </c>
      <c r="BD28" s="3" t="s">
        <v>2626</v>
      </c>
      <c r="BE28" s="2" t="s">
        <v>4369</v>
      </c>
    </row>
    <row r="29" spans="1:58" s="2" customFormat="1" ht="80.099999999999994" customHeight="1" x14ac:dyDescent="0.25">
      <c r="A29" s="2">
        <v>27</v>
      </c>
      <c r="B29" s="2">
        <v>523</v>
      </c>
      <c r="C29" s="2" t="s">
        <v>4444</v>
      </c>
      <c r="D29" s="2" t="s">
        <v>278</v>
      </c>
      <c r="F29" s="7" t="s">
        <v>2613</v>
      </c>
      <c r="G29" s="2" t="s">
        <v>38</v>
      </c>
      <c r="H29" s="2" t="s">
        <v>35</v>
      </c>
      <c r="I29" s="2" t="s">
        <v>68</v>
      </c>
      <c r="J29" s="2" t="s">
        <v>36</v>
      </c>
      <c r="K29" s="2" t="s">
        <v>157</v>
      </c>
      <c r="L29" s="2" t="s">
        <v>82</v>
      </c>
      <c r="M29" s="2" t="s">
        <v>2645</v>
      </c>
      <c r="N29" s="2" t="s">
        <v>2516</v>
      </c>
      <c r="O29" s="2" t="s">
        <v>72</v>
      </c>
      <c r="P29" s="2" t="s">
        <v>37</v>
      </c>
      <c r="Q29" s="2" t="s">
        <v>185</v>
      </c>
      <c r="R29" s="2">
        <v>6643880</v>
      </c>
      <c r="S29" s="2">
        <v>2018</v>
      </c>
      <c r="T29" s="2" t="s">
        <v>616</v>
      </c>
      <c r="U29" s="2" t="s">
        <v>37</v>
      </c>
      <c r="V29" s="2" t="s">
        <v>450</v>
      </c>
      <c r="W29" s="2" t="s">
        <v>37</v>
      </c>
      <c r="X29" s="2" t="s">
        <v>37</v>
      </c>
      <c r="Y29" s="2">
        <f>86+62+71+62+69</f>
        <v>350</v>
      </c>
      <c r="Z29" s="2">
        <v>500</v>
      </c>
      <c r="AA29" s="2">
        <f t="shared" si="0"/>
        <v>70</v>
      </c>
      <c r="AB29" s="2">
        <f>62+71+62</f>
        <v>195</v>
      </c>
      <c r="AC29" s="2">
        <v>300</v>
      </c>
      <c r="AD29" s="2">
        <f t="shared" si="1"/>
        <v>65</v>
      </c>
      <c r="AE29" s="2" t="s">
        <v>2646</v>
      </c>
      <c r="AF29" s="2" t="s">
        <v>2610</v>
      </c>
      <c r="AG29" s="2" t="s">
        <v>2610</v>
      </c>
      <c r="AH29" s="2">
        <v>10000</v>
      </c>
      <c r="AI29" s="2">
        <v>200000</v>
      </c>
      <c r="AJ29" s="2">
        <v>27500</v>
      </c>
      <c r="AK29" s="2">
        <f t="shared" si="2"/>
        <v>237500</v>
      </c>
      <c r="AL29" s="2" t="s">
        <v>2647</v>
      </c>
      <c r="AM29" s="2" t="s">
        <v>78</v>
      </c>
      <c r="AN29" s="2" t="s">
        <v>2648</v>
      </c>
      <c r="AO29" s="2" t="s">
        <v>37</v>
      </c>
      <c r="AP29" s="2">
        <v>250000</v>
      </c>
      <c r="AQ29" s="2" t="s">
        <v>3507</v>
      </c>
      <c r="AR29" s="4" t="s">
        <v>2649</v>
      </c>
      <c r="AS29" s="2" t="s">
        <v>2650</v>
      </c>
      <c r="AT29" s="2" t="s">
        <v>2651</v>
      </c>
      <c r="AU29" s="2" t="s">
        <v>2517</v>
      </c>
      <c r="AV29" s="2" t="s">
        <v>450</v>
      </c>
      <c r="AW29" s="2">
        <v>734005</v>
      </c>
      <c r="AX29" s="2" t="s">
        <v>2650</v>
      </c>
      <c r="AZ29" s="2">
        <v>9641043761</v>
      </c>
      <c r="BB29" s="2">
        <v>9474016202</v>
      </c>
      <c r="BC29" s="2" t="s">
        <v>37</v>
      </c>
      <c r="BD29" s="3" t="s">
        <v>2652</v>
      </c>
      <c r="BE29" s="2" t="s">
        <v>3508</v>
      </c>
      <c r="BF29" s="2" t="s">
        <v>2349</v>
      </c>
    </row>
    <row r="30" spans="1:58" s="2" customFormat="1" ht="80.099999999999994" customHeight="1" x14ac:dyDescent="0.25">
      <c r="A30" s="2">
        <v>28</v>
      </c>
      <c r="B30" s="2">
        <v>530</v>
      </c>
      <c r="C30" s="2" t="s">
        <v>4444</v>
      </c>
      <c r="D30" s="2" t="s">
        <v>278</v>
      </c>
      <c r="F30" s="7" t="s">
        <v>2690</v>
      </c>
      <c r="G30" s="2" t="s">
        <v>91</v>
      </c>
      <c r="H30" s="2" t="s">
        <v>35</v>
      </c>
      <c r="I30" s="2" t="s">
        <v>68</v>
      </c>
      <c r="J30" s="2" t="s">
        <v>36</v>
      </c>
      <c r="K30" s="2" t="s">
        <v>1774</v>
      </c>
      <c r="L30" s="2" t="s">
        <v>82</v>
      </c>
      <c r="M30" s="2" t="s">
        <v>2692</v>
      </c>
      <c r="N30" s="2" t="s">
        <v>169</v>
      </c>
      <c r="O30" s="2" t="s">
        <v>83</v>
      </c>
      <c r="P30" s="2" t="s">
        <v>137</v>
      </c>
      <c r="Q30" s="2" t="s">
        <v>185</v>
      </c>
      <c r="R30" s="2">
        <v>1810216161</v>
      </c>
      <c r="S30" s="2">
        <v>2018</v>
      </c>
      <c r="T30" s="2" t="s">
        <v>89</v>
      </c>
      <c r="U30" s="2" t="s">
        <v>37</v>
      </c>
      <c r="V30" s="2" t="s">
        <v>215</v>
      </c>
      <c r="W30" s="2">
        <v>720</v>
      </c>
      <c r="X30" s="2">
        <f>W30/1000*100</f>
        <v>72</v>
      </c>
      <c r="Y30" s="2">
        <f>84+80+30+51+29+29+30+25</f>
        <v>358</v>
      </c>
      <c r="Z30" s="2">
        <v>530</v>
      </c>
      <c r="AA30" s="2">
        <f t="shared" si="0"/>
        <v>67.547169811320757</v>
      </c>
      <c r="AB30" s="2">
        <f>46+50+57+52+30+51+29+29+30+25</f>
        <v>399</v>
      </c>
      <c r="AC30" s="2">
        <v>600</v>
      </c>
      <c r="AD30" s="2">
        <f t="shared" si="1"/>
        <v>66.5</v>
      </c>
      <c r="AE30" s="2" t="s">
        <v>2693</v>
      </c>
      <c r="AF30" s="2" t="s">
        <v>3927</v>
      </c>
      <c r="AG30" s="2" t="s">
        <v>2689</v>
      </c>
      <c r="AH30" s="2">
        <v>10000</v>
      </c>
      <c r="AI30" s="2">
        <v>180000</v>
      </c>
      <c r="AJ30" s="2">
        <v>27500</v>
      </c>
      <c r="AK30" s="2">
        <f t="shared" si="2"/>
        <v>217500</v>
      </c>
      <c r="AL30" s="2" t="s">
        <v>2694</v>
      </c>
      <c r="AM30" s="2" t="s">
        <v>78</v>
      </c>
      <c r="AN30" s="2" t="s">
        <v>2699</v>
      </c>
      <c r="AO30" s="2" t="s">
        <v>563</v>
      </c>
      <c r="AP30" s="2">
        <v>400000</v>
      </c>
      <c r="AQ30" s="2" t="s">
        <v>2700</v>
      </c>
      <c r="AR30" s="4" t="s">
        <v>2701</v>
      </c>
      <c r="AS30" s="2" t="s">
        <v>2695</v>
      </c>
      <c r="AT30" s="2" t="s">
        <v>2696</v>
      </c>
      <c r="AU30" s="2" t="s">
        <v>169</v>
      </c>
      <c r="AV30" s="2" t="s">
        <v>215</v>
      </c>
      <c r="AW30" s="2">
        <v>518002</v>
      </c>
      <c r="AX30" s="2" t="s">
        <v>2695</v>
      </c>
      <c r="AY30" s="2" t="s">
        <v>37</v>
      </c>
      <c r="AZ30" s="2">
        <v>9010146949</v>
      </c>
      <c r="BA30" s="2">
        <v>7981323911</v>
      </c>
      <c r="BB30" s="2">
        <v>8143656642</v>
      </c>
      <c r="BC30" s="3" t="s">
        <v>2697</v>
      </c>
      <c r="BD30" s="3" t="s">
        <v>2698</v>
      </c>
      <c r="BE30" s="2" t="s">
        <v>2150</v>
      </c>
      <c r="BF30" s="2" t="s">
        <v>144</v>
      </c>
    </row>
    <row r="31" spans="1:58" s="2" customFormat="1" ht="80.099999999999994" customHeight="1" x14ac:dyDescent="0.25">
      <c r="A31" s="2">
        <v>29</v>
      </c>
      <c r="B31" s="2">
        <v>540</v>
      </c>
      <c r="C31" s="2" t="s">
        <v>4444</v>
      </c>
      <c r="D31" s="2" t="s">
        <v>278</v>
      </c>
      <c r="F31" s="7" t="s">
        <v>2726</v>
      </c>
      <c r="G31" s="2" t="s">
        <v>38</v>
      </c>
      <c r="H31" s="2" t="s">
        <v>35</v>
      </c>
      <c r="I31" s="2" t="s">
        <v>68</v>
      </c>
      <c r="J31" s="2" t="s">
        <v>36</v>
      </c>
      <c r="K31" s="2" t="s">
        <v>1739</v>
      </c>
      <c r="L31" s="2">
        <v>1</v>
      </c>
      <c r="M31" s="2" t="s">
        <v>735</v>
      </c>
      <c r="N31" s="2" t="s">
        <v>2727</v>
      </c>
      <c r="O31" s="2" t="s">
        <v>61</v>
      </c>
      <c r="P31" s="2" t="s">
        <v>62</v>
      </c>
      <c r="Q31" s="2" t="s">
        <v>63</v>
      </c>
      <c r="R31" s="2">
        <v>960065</v>
      </c>
      <c r="S31" s="2">
        <v>2018</v>
      </c>
      <c r="T31" s="2" t="s">
        <v>64</v>
      </c>
      <c r="U31" s="2" t="s">
        <v>65</v>
      </c>
      <c r="V31" s="2" t="s">
        <v>37</v>
      </c>
      <c r="W31" s="2" t="s">
        <v>37</v>
      </c>
      <c r="X31" s="2" t="s">
        <v>37</v>
      </c>
      <c r="Y31" s="2">
        <v>477</v>
      </c>
      <c r="Z31" s="2">
        <v>600</v>
      </c>
      <c r="AA31" s="2">
        <f t="shared" si="0"/>
        <v>79.5</v>
      </c>
      <c r="AB31" s="2">
        <f>78+71+73</f>
        <v>222</v>
      </c>
      <c r="AC31" s="2">
        <v>300</v>
      </c>
      <c r="AD31" s="2">
        <f t="shared" si="1"/>
        <v>74</v>
      </c>
      <c r="AE31" s="2" t="s">
        <v>2728</v>
      </c>
      <c r="AF31" s="2" t="s">
        <v>2715</v>
      </c>
      <c r="AG31" s="2" t="s">
        <v>2715</v>
      </c>
      <c r="AH31" s="2">
        <v>10000</v>
      </c>
      <c r="AI31" s="2">
        <v>200000</v>
      </c>
      <c r="AJ31" s="2">
        <v>27500</v>
      </c>
      <c r="AK31" s="2">
        <f t="shared" si="2"/>
        <v>237500</v>
      </c>
      <c r="AL31" s="2" t="s">
        <v>2729</v>
      </c>
      <c r="AM31" s="2" t="s">
        <v>87</v>
      </c>
      <c r="AN31" s="2" t="s">
        <v>2730</v>
      </c>
      <c r="AO31" s="2" t="s">
        <v>67</v>
      </c>
      <c r="AP31" s="2">
        <v>41000</v>
      </c>
      <c r="AQ31" s="2" t="s">
        <v>2731</v>
      </c>
      <c r="AR31" s="4" t="s">
        <v>2732</v>
      </c>
      <c r="AS31" s="2" t="s">
        <v>2735</v>
      </c>
      <c r="AT31" s="2" t="s">
        <v>2733</v>
      </c>
      <c r="AU31" s="2" t="s">
        <v>2733</v>
      </c>
      <c r="AV31" s="2" t="s">
        <v>65</v>
      </c>
      <c r="AW31" s="2">
        <v>571342</v>
      </c>
      <c r="AX31" s="2" t="s">
        <v>2735</v>
      </c>
      <c r="AY31" s="2" t="s">
        <v>37</v>
      </c>
      <c r="AZ31" s="2">
        <v>7411634472</v>
      </c>
      <c r="BA31" s="2">
        <v>9740971824</v>
      </c>
      <c r="BB31" s="2">
        <v>7259955332</v>
      </c>
      <c r="BC31" s="3"/>
      <c r="BD31" s="3" t="s">
        <v>2734</v>
      </c>
      <c r="BE31" s="2" t="s">
        <v>2930</v>
      </c>
    </row>
    <row r="32" spans="1:58" s="2" customFormat="1" ht="80.099999999999994" customHeight="1" x14ac:dyDescent="0.25">
      <c r="A32" s="2">
        <v>30</v>
      </c>
      <c r="B32" s="2">
        <v>542</v>
      </c>
      <c r="C32" s="2" t="s">
        <v>4444</v>
      </c>
      <c r="D32" s="2" t="s">
        <v>278</v>
      </c>
      <c r="F32" s="7" t="s">
        <v>2736</v>
      </c>
      <c r="G32" s="2" t="s">
        <v>38</v>
      </c>
      <c r="H32" s="2" t="s">
        <v>35</v>
      </c>
      <c r="I32" s="2" t="s">
        <v>68</v>
      </c>
      <c r="J32" s="2" t="s">
        <v>36</v>
      </c>
      <c r="K32" s="2" t="s">
        <v>93</v>
      </c>
      <c r="L32" s="2" t="s">
        <v>82</v>
      </c>
      <c r="M32" s="2" t="s">
        <v>1523</v>
      </c>
      <c r="N32" s="2" t="s">
        <v>736</v>
      </c>
      <c r="O32" s="2" t="s">
        <v>795</v>
      </c>
      <c r="P32" s="2" t="s">
        <v>62</v>
      </c>
      <c r="Q32" s="2" t="s">
        <v>185</v>
      </c>
      <c r="R32" s="2">
        <v>1811292592</v>
      </c>
      <c r="S32" s="2">
        <v>2018</v>
      </c>
      <c r="T32" s="2" t="s">
        <v>366</v>
      </c>
      <c r="U32" s="2" t="s">
        <v>37</v>
      </c>
      <c r="V32" s="2" t="s">
        <v>155</v>
      </c>
      <c r="W32" s="2" t="s">
        <v>37</v>
      </c>
      <c r="X32" s="2" t="s">
        <v>37</v>
      </c>
      <c r="Y32" s="2">
        <v>868</v>
      </c>
      <c r="Z32" s="2">
        <v>1200</v>
      </c>
      <c r="AA32" s="2">
        <f t="shared" si="0"/>
        <v>72.333333333333343</v>
      </c>
      <c r="AB32" s="2">
        <f>120+129+150</f>
        <v>399</v>
      </c>
      <c r="AC32" s="2">
        <v>600</v>
      </c>
      <c r="AD32" s="2">
        <f t="shared" si="1"/>
        <v>66.5</v>
      </c>
      <c r="AE32" s="2" t="s">
        <v>2744</v>
      </c>
      <c r="AF32" s="2" t="s">
        <v>2715</v>
      </c>
      <c r="AG32" s="2" t="s">
        <v>2715</v>
      </c>
      <c r="AH32" s="2">
        <v>10000</v>
      </c>
      <c r="AI32" s="2">
        <v>200000</v>
      </c>
      <c r="AJ32" s="2">
        <v>27500</v>
      </c>
      <c r="AK32" s="2">
        <f t="shared" si="2"/>
        <v>237500</v>
      </c>
      <c r="AL32" s="2" t="s">
        <v>2737</v>
      </c>
      <c r="AM32" s="2" t="s">
        <v>78</v>
      </c>
      <c r="AN32" s="2" t="s">
        <v>2738</v>
      </c>
      <c r="AO32" s="2" t="s">
        <v>2739</v>
      </c>
      <c r="AP32" s="2">
        <v>250000</v>
      </c>
      <c r="AQ32" s="2" t="s">
        <v>2740</v>
      </c>
      <c r="AR32" s="4" t="s">
        <v>2741</v>
      </c>
      <c r="AS32" s="2" t="s">
        <v>2742</v>
      </c>
      <c r="AT32" s="2" t="s">
        <v>2353</v>
      </c>
      <c r="AU32" s="2" t="s">
        <v>736</v>
      </c>
      <c r="AV32" s="2" t="s">
        <v>152</v>
      </c>
      <c r="AW32" s="2">
        <v>638452</v>
      </c>
      <c r="AX32" s="2" t="s">
        <v>2742</v>
      </c>
      <c r="AY32" s="2" t="s">
        <v>37</v>
      </c>
      <c r="AZ32" s="2" t="s">
        <v>37</v>
      </c>
      <c r="BA32" s="2">
        <v>9442817979</v>
      </c>
      <c r="BB32" s="2">
        <v>9487243433</v>
      </c>
      <c r="BC32" s="2" t="s">
        <v>37</v>
      </c>
      <c r="BD32" s="3" t="s">
        <v>2743</v>
      </c>
      <c r="BE32" s="2" t="s">
        <v>3395</v>
      </c>
    </row>
    <row r="33" spans="1:58" s="2" customFormat="1" ht="80.099999999999994" customHeight="1" x14ac:dyDescent="0.25">
      <c r="A33" s="2">
        <v>31</v>
      </c>
      <c r="B33" s="6">
        <v>556</v>
      </c>
      <c r="C33" s="6" t="s">
        <v>4444</v>
      </c>
      <c r="D33" s="6" t="s">
        <v>278</v>
      </c>
      <c r="F33" s="8" t="s">
        <v>2788</v>
      </c>
      <c r="G33" s="6" t="s">
        <v>38</v>
      </c>
      <c r="H33" s="6" t="s">
        <v>35</v>
      </c>
      <c r="I33" s="2" t="s">
        <v>68</v>
      </c>
      <c r="J33" s="2" t="s">
        <v>36</v>
      </c>
      <c r="K33" s="2" t="s">
        <v>2805</v>
      </c>
      <c r="L33" s="2" t="s">
        <v>82</v>
      </c>
      <c r="M33" s="2" t="s">
        <v>1633</v>
      </c>
      <c r="N33" s="2" t="s">
        <v>1868</v>
      </c>
      <c r="O33" s="2" t="s">
        <v>226</v>
      </c>
      <c r="P33" s="2" t="s">
        <v>37</v>
      </c>
      <c r="Q33" s="2" t="s">
        <v>185</v>
      </c>
      <c r="R33" s="2">
        <v>4637662</v>
      </c>
      <c r="S33" s="2">
        <v>2018</v>
      </c>
      <c r="T33" s="2" t="s">
        <v>616</v>
      </c>
      <c r="U33" s="2" t="s">
        <v>37</v>
      </c>
      <c r="V33" s="2" t="s">
        <v>177</v>
      </c>
      <c r="W33" s="2" t="s">
        <v>37</v>
      </c>
      <c r="X33" s="2" t="s">
        <v>37</v>
      </c>
      <c r="Y33" s="2">
        <f>74+72+46+61+52</f>
        <v>305</v>
      </c>
      <c r="Z33" s="2">
        <v>500</v>
      </c>
      <c r="AA33" s="2">
        <f t="shared" si="0"/>
        <v>61</v>
      </c>
      <c r="AB33" s="2">
        <f>46+61+52</f>
        <v>159</v>
      </c>
      <c r="AC33" s="2">
        <v>300</v>
      </c>
      <c r="AD33" s="2">
        <f t="shared" si="1"/>
        <v>53</v>
      </c>
      <c r="AE33" s="2" t="s">
        <v>2806</v>
      </c>
      <c r="AF33" s="2" t="s">
        <v>920</v>
      </c>
      <c r="AG33" s="2" t="s">
        <v>2793</v>
      </c>
      <c r="AH33" s="2">
        <v>10000</v>
      </c>
      <c r="AI33" s="2">
        <v>200000</v>
      </c>
      <c r="AJ33" s="2">
        <v>27500</v>
      </c>
      <c r="AK33" s="2">
        <f t="shared" si="2"/>
        <v>237500</v>
      </c>
      <c r="AL33" s="2" t="s">
        <v>2807</v>
      </c>
      <c r="AM33" s="2" t="s">
        <v>78</v>
      </c>
      <c r="AN33" s="2" t="s">
        <v>2808</v>
      </c>
      <c r="AO33" s="2" t="s">
        <v>139</v>
      </c>
      <c r="AP33" s="2">
        <v>300000</v>
      </c>
      <c r="AQ33" s="2" t="s">
        <v>2809</v>
      </c>
      <c r="AR33" s="4" t="s">
        <v>2813</v>
      </c>
      <c r="AS33" s="2" t="s">
        <v>2810</v>
      </c>
      <c r="AT33" s="2" t="s">
        <v>2811</v>
      </c>
      <c r="AU33" s="2" t="s">
        <v>1112</v>
      </c>
      <c r="AV33" s="2" t="s">
        <v>215</v>
      </c>
      <c r="AW33" s="2">
        <v>515134</v>
      </c>
      <c r="AX33" s="2" t="s">
        <v>2810</v>
      </c>
      <c r="AY33" s="2" t="s">
        <v>37</v>
      </c>
      <c r="AZ33" s="2">
        <v>9182594968</v>
      </c>
      <c r="BA33" s="2">
        <v>7819050881</v>
      </c>
      <c r="BB33" s="2">
        <v>9428622168</v>
      </c>
      <c r="BC33" s="3" t="s">
        <v>2814</v>
      </c>
      <c r="BD33" s="3" t="s">
        <v>2812</v>
      </c>
      <c r="BE33" s="2" t="s">
        <v>1862</v>
      </c>
      <c r="BF33" s="2" t="s">
        <v>37</v>
      </c>
    </row>
    <row r="34" spans="1:58" s="2" customFormat="1" ht="80.099999999999994" customHeight="1" x14ac:dyDescent="0.25">
      <c r="A34" s="2">
        <v>32</v>
      </c>
      <c r="B34" s="2">
        <v>565</v>
      </c>
      <c r="C34" s="2" t="s">
        <v>4444</v>
      </c>
      <c r="D34" s="2" t="s">
        <v>278</v>
      </c>
      <c r="F34" s="7" t="s">
        <v>2837</v>
      </c>
      <c r="G34" s="2" t="s">
        <v>38</v>
      </c>
      <c r="H34" s="2" t="s">
        <v>35</v>
      </c>
      <c r="I34" s="2" t="s">
        <v>68</v>
      </c>
      <c r="J34" s="2" t="s">
        <v>36</v>
      </c>
      <c r="K34" s="2" t="s">
        <v>140</v>
      </c>
      <c r="L34" s="2" t="s">
        <v>82</v>
      </c>
      <c r="M34" s="2" t="s">
        <v>2838</v>
      </c>
      <c r="N34" s="2" t="s">
        <v>117</v>
      </c>
      <c r="O34" s="2" t="s">
        <v>83</v>
      </c>
      <c r="P34" s="2" t="s">
        <v>62</v>
      </c>
      <c r="Q34" s="2" t="s">
        <v>63</v>
      </c>
      <c r="R34" s="2">
        <v>920049</v>
      </c>
      <c r="S34" s="2">
        <v>2018</v>
      </c>
      <c r="T34" s="2" t="s">
        <v>64</v>
      </c>
      <c r="U34" s="2" t="s">
        <v>65</v>
      </c>
      <c r="V34" s="2" t="s">
        <v>37</v>
      </c>
      <c r="W34" s="2" t="s">
        <v>37</v>
      </c>
      <c r="X34" s="2" t="s">
        <v>37</v>
      </c>
      <c r="Y34" s="2">
        <v>310</v>
      </c>
      <c r="Z34" s="2">
        <v>600</v>
      </c>
      <c r="AA34" s="2">
        <f t="shared" si="0"/>
        <v>51.666666666666671</v>
      </c>
      <c r="AB34" s="2">
        <f>53+49+42</f>
        <v>144</v>
      </c>
      <c r="AC34" s="2">
        <v>300</v>
      </c>
      <c r="AD34" s="2">
        <f t="shared" si="1"/>
        <v>48</v>
      </c>
      <c r="AE34" s="2" t="s">
        <v>2839</v>
      </c>
      <c r="AF34" s="2" t="s">
        <v>2348</v>
      </c>
      <c r="AG34" s="2" t="s">
        <v>2836</v>
      </c>
      <c r="AH34" s="2">
        <v>10000</v>
      </c>
      <c r="AI34" s="2">
        <v>200000</v>
      </c>
      <c r="AJ34" s="2">
        <v>27500</v>
      </c>
      <c r="AK34" s="2">
        <f t="shared" si="2"/>
        <v>237500</v>
      </c>
      <c r="AL34" s="2" t="s">
        <v>2840</v>
      </c>
      <c r="AM34" s="2" t="s">
        <v>78</v>
      </c>
      <c r="AN34" s="2" t="s">
        <v>2841</v>
      </c>
      <c r="AO34" s="2" t="s">
        <v>2842</v>
      </c>
      <c r="AP34" s="2">
        <v>660000</v>
      </c>
      <c r="AQ34" s="2" t="s">
        <v>2843</v>
      </c>
      <c r="AR34" s="4" t="s">
        <v>2844</v>
      </c>
      <c r="AS34" s="2" t="s">
        <v>2849</v>
      </c>
      <c r="AT34" s="2" t="s">
        <v>2845</v>
      </c>
      <c r="AU34" s="2" t="s">
        <v>2846</v>
      </c>
      <c r="AV34" s="2" t="s">
        <v>65</v>
      </c>
      <c r="AW34" s="2">
        <v>560086</v>
      </c>
      <c r="AX34" s="2" t="s">
        <v>2849</v>
      </c>
      <c r="AY34" s="2" t="s">
        <v>37</v>
      </c>
      <c r="AZ34" s="2">
        <v>8660491721</v>
      </c>
      <c r="BA34" s="2">
        <v>9741666511</v>
      </c>
      <c r="BB34" s="2">
        <v>9986150066</v>
      </c>
      <c r="BC34" s="3" t="s">
        <v>2847</v>
      </c>
      <c r="BD34" s="3" t="s">
        <v>2848</v>
      </c>
      <c r="BE34" s="2" t="s">
        <v>1609</v>
      </c>
      <c r="BF34" s="2" t="s">
        <v>37</v>
      </c>
    </row>
    <row r="35" spans="1:58" s="2" customFormat="1" ht="80.099999999999994" customHeight="1" x14ac:dyDescent="0.25">
      <c r="A35" s="2">
        <v>33</v>
      </c>
      <c r="B35" s="2">
        <v>566</v>
      </c>
      <c r="C35" s="2" t="s">
        <v>4444</v>
      </c>
      <c r="D35" s="2" t="s">
        <v>278</v>
      </c>
      <c r="F35" s="7" t="s">
        <v>2851</v>
      </c>
      <c r="G35" s="2" t="s">
        <v>38</v>
      </c>
      <c r="H35" s="2" t="s">
        <v>35</v>
      </c>
      <c r="I35" s="2" t="s">
        <v>68</v>
      </c>
      <c r="J35" s="2" t="s">
        <v>36</v>
      </c>
      <c r="K35" s="2" t="s">
        <v>207</v>
      </c>
      <c r="L35" s="2" t="s">
        <v>82</v>
      </c>
      <c r="M35" s="2" t="s">
        <v>409</v>
      </c>
      <c r="N35" s="2" t="s">
        <v>215</v>
      </c>
      <c r="O35" s="2" t="s">
        <v>83</v>
      </c>
      <c r="P35" s="2" t="s">
        <v>1360</v>
      </c>
      <c r="Q35" s="2" t="s">
        <v>185</v>
      </c>
      <c r="R35" s="2">
        <v>1859236768</v>
      </c>
      <c r="S35" s="2">
        <v>2018</v>
      </c>
      <c r="T35" s="2" t="s">
        <v>75</v>
      </c>
      <c r="U35" s="2" t="s">
        <v>37</v>
      </c>
      <c r="V35" s="2" t="s">
        <v>76</v>
      </c>
      <c r="W35" s="2">
        <v>911</v>
      </c>
      <c r="X35" s="2">
        <f>W35/1000*100</f>
        <v>91.100000000000009</v>
      </c>
      <c r="Y35" s="2">
        <f>90+91+73+70+58+58+30+30</f>
        <v>500</v>
      </c>
      <c r="Z35" s="2">
        <v>530</v>
      </c>
      <c r="AA35" s="2">
        <f t="shared" ref="AA35:AA57" si="3">Y35/Z35*100</f>
        <v>94.339622641509436</v>
      </c>
      <c r="AB35" s="2">
        <f>60+62+52+49+73+70+58+58+30+30</f>
        <v>542</v>
      </c>
      <c r="AC35" s="2">
        <v>600</v>
      </c>
      <c r="AD35" s="2">
        <f t="shared" ref="AD35:AD57" si="4">AB35/AC35*100</f>
        <v>90.333333333333329</v>
      </c>
      <c r="AE35" s="2" t="s">
        <v>2852</v>
      </c>
      <c r="AF35" s="2" t="s">
        <v>2836</v>
      </c>
      <c r="AG35" s="2" t="s">
        <v>2836</v>
      </c>
      <c r="AH35" s="2">
        <v>10000</v>
      </c>
      <c r="AI35" s="2">
        <v>200000</v>
      </c>
      <c r="AJ35" s="2">
        <v>27500</v>
      </c>
      <c r="AK35" s="2">
        <f t="shared" ref="AK35:AK48" si="5">AH35+AI35+AJ35</f>
        <v>237500</v>
      </c>
      <c r="AL35" s="2" t="s">
        <v>2853</v>
      </c>
      <c r="AM35" s="2" t="s">
        <v>87</v>
      </c>
      <c r="AN35" s="2" t="s">
        <v>2854</v>
      </c>
      <c r="AO35" s="2" t="s">
        <v>2855</v>
      </c>
      <c r="AP35" s="2">
        <v>500000</v>
      </c>
      <c r="AQ35" s="2" t="s">
        <v>2856</v>
      </c>
      <c r="AR35" s="4" t="s">
        <v>2857</v>
      </c>
      <c r="AS35" s="2" t="s">
        <v>2858</v>
      </c>
      <c r="AT35" s="2" t="s">
        <v>2859</v>
      </c>
      <c r="AU35" s="2" t="s">
        <v>169</v>
      </c>
      <c r="AV35" s="2" t="s">
        <v>215</v>
      </c>
      <c r="AW35" s="2">
        <v>518134</v>
      </c>
      <c r="AX35" s="2" t="s">
        <v>2860</v>
      </c>
      <c r="AY35" s="2" t="s">
        <v>37</v>
      </c>
      <c r="AZ35" s="2">
        <v>8897638533</v>
      </c>
      <c r="BA35" s="2">
        <v>9479220892</v>
      </c>
      <c r="BB35" s="2">
        <v>9481284506</v>
      </c>
      <c r="BD35" s="3" t="s">
        <v>2861</v>
      </c>
      <c r="BE35" s="2" t="s">
        <v>2150</v>
      </c>
      <c r="BF35" s="2" t="s">
        <v>144</v>
      </c>
    </row>
    <row r="36" spans="1:58" s="2" customFormat="1" ht="78.75" customHeight="1" x14ac:dyDescent="0.25">
      <c r="A36" s="2">
        <v>34</v>
      </c>
      <c r="B36" s="2">
        <v>585</v>
      </c>
      <c r="C36" s="2" t="s">
        <v>4444</v>
      </c>
      <c r="D36" s="2" t="s">
        <v>278</v>
      </c>
      <c r="F36" s="7" t="s">
        <v>2890</v>
      </c>
      <c r="G36" s="2" t="s">
        <v>38</v>
      </c>
      <c r="H36" s="2" t="s">
        <v>35</v>
      </c>
      <c r="I36" s="2" t="s">
        <v>68</v>
      </c>
      <c r="J36" s="2" t="s">
        <v>36</v>
      </c>
      <c r="K36" s="2" t="s">
        <v>1575</v>
      </c>
      <c r="L36" s="2" t="s">
        <v>82</v>
      </c>
      <c r="M36" s="2" t="s">
        <v>2891</v>
      </c>
      <c r="N36" s="2" t="s">
        <v>410</v>
      </c>
      <c r="O36" s="2" t="s">
        <v>123</v>
      </c>
      <c r="P36" s="2" t="s">
        <v>431</v>
      </c>
      <c r="Q36" s="2" t="s">
        <v>185</v>
      </c>
      <c r="R36" s="2">
        <v>1809220844</v>
      </c>
      <c r="S36" s="2">
        <v>2018</v>
      </c>
      <c r="T36" s="2" t="s">
        <v>89</v>
      </c>
      <c r="U36" s="2" t="s">
        <v>37</v>
      </c>
      <c r="V36" s="2" t="s">
        <v>215</v>
      </c>
      <c r="W36" s="2">
        <v>656</v>
      </c>
      <c r="X36" s="2">
        <f>W36/1000*100</f>
        <v>65.600000000000009</v>
      </c>
      <c r="Y36" s="2">
        <f>82+40+67+50+31+38+27+29</f>
        <v>364</v>
      </c>
      <c r="Z36" s="2">
        <v>530</v>
      </c>
      <c r="AA36" s="2">
        <f t="shared" si="3"/>
        <v>68.679245283018858</v>
      </c>
      <c r="AB36" s="2">
        <f>26+54+40+36+67+50+31+38+27+29</f>
        <v>398</v>
      </c>
      <c r="AC36" s="2">
        <v>600</v>
      </c>
      <c r="AD36" s="2">
        <f t="shared" si="4"/>
        <v>66.333333333333329</v>
      </c>
      <c r="AE36" s="2" t="s">
        <v>2892</v>
      </c>
      <c r="AF36" s="2" t="s">
        <v>1512</v>
      </c>
      <c r="AG36" s="2" t="s">
        <v>2883</v>
      </c>
      <c r="AH36" s="2">
        <v>10000</v>
      </c>
      <c r="AI36" s="2">
        <v>200000</v>
      </c>
      <c r="AJ36" s="2">
        <v>27500</v>
      </c>
      <c r="AK36" s="2">
        <f t="shared" si="5"/>
        <v>237500</v>
      </c>
      <c r="AL36" s="2" t="s">
        <v>2894</v>
      </c>
      <c r="AM36" s="2" t="s">
        <v>99</v>
      </c>
      <c r="AN36" s="2" t="s">
        <v>2895</v>
      </c>
      <c r="AO36" s="2" t="s">
        <v>2896</v>
      </c>
      <c r="AP36" s="2">
        <v>75000</v>
      </c>
      <c r="AQ36" s="2" t="s">
        <v>2897</v>
      </c>
      <c r="AR36" s="4" t="s">
        <v>2898</v>
      </c>
      <c r="AS36" s="2" t="s">
        <v>2899</v>
      </c>
      <c r="AT36" s="2" t="s">
        <v>413</v>
      </c>
      <c r="AU36" s="2" t="s">
        <v>164</v>
      </c>
      <c r="AV36" s="2" t="s">
        <v>215</v>
      </c>
      <c r="AW36" s="2">
        <v>517408</v>
      </c>
      <c r="AX36" s="2" t="s">
        <v>2899</v>
      </c>
      <c r="AZ36" s="2">
        <v>8333839962</v>
      </c>
      <c r="BA36" s="2">
        <v>9701213262</v>
      </c>
      <c r="BB36" s="2">
        <v>7382753643</v>
      </c>
      <c r="BC36" s="3" t="s">
        <v>2900</v>
      </c>
      <c r="BD36" s="3" t="s">
        <v>2901</v>
      </c>
      <c r="BE36" s="2" t="s">
        <v>2150</v>
      </c>
      <c r="BF36" s="2" t="s">
        <v>144</v>
      </c>
    </row>
    <row r="37" spans="1:58" s="2" customFormat="1" ht="80.099999999999994" customHeight="1" x14ac:dyDescent="0.25">
      <c r="A37" s="2">
        <v>35</v>
      </c>
      <c r="B37" s="2">
        <v>586</v>
      </c>
      <c r="C37" s="2" t="s">
        <v>4444</v>
      </c>
      <c r="D37" s="2" t="s">
        <v>278</v>
      </c>
      <c r="F37" s="7" t="s">
        <v>2944</v>
      </c>
      <c r="G37" s="2" t="s">
        <v>38</v>
      </c>
      <c r="H37" s="2" t="s">
        <v>35</v>
      </c>
      <c r="I37" s="2" t="s">
        <v>68</v>
      </c>
      <c r="J37" s="2" t="s">
        <v>165</v>
      </c>
      <c r="K37" s="2" t="s">
        <v>165</v>
      </c>
      <c r="L37" s="2" t="s">
        <v>82</v>
      </c>
      <c r="M37" s="2" t="s">
        <v>209</v>
      </c>
      <c r="N37" s="2" t="s">
        <v>1435</v>
      </c>
      <c r="O37" s="2" t="s">
        <v>2946</v>
      </c>
      <c r="P37" s="2" t="s">
        <v>73</v>
      </c>
      <c r="Q37" s="2" t="s">
        <v>185</v>
      </c>
      <c r="R37" s="2" t="s">
        <v>2947</v>
      </c>
      <c r="S37" s="2">
        <v>2018</v>
      </c>
      <c r="T37" s="2" t="s">
        <v>227</v>
      </c>
      <c r="U37" s="2" t="s">
        <v>37</v>
      </c>
      <c r="V37" s="2" t="s">
        <v>1116</v>
      </c>
      <c r="W37" s="2" t="s">
        <v>37</v>
      </c>
      <c r="X37" s="2" t="s">
        <v>37</v>
      </c>
      <c r="Y37" s="2">
        <f>64+60+41+47+52+45+50+50</f>
        <v>409</v>
      </c>
      <c r="Z37" s="2">
        <v>650</v>
      </c>
      <c r="AA37" s="2">
        <f t="shared" si="3"/>
        <v>62.923076923076927</v>
      </c>
      <c r="AB37" s="2">
        <f>60+41+47+52+45</f>
        <v>245</v>
      </c>
      <c r="AC37" s="2">
        <v>400</v>
      </c>
      <c r="AD37" s="2">
        <f t="shared" si="4"/>
        <v>61.250000000000007</v>
      </c>
      <c r="AE37" s="2" t="s">
        <v>2948</v>
      </c>
      <c r="AF37" s="2" t="s">
        <v>2883</v>
      </c>
      <c r="AG37" s="2" t="s">
        <v>2949</v>
      </c>
      <c r="AH37" s="2">
        <v>10000</v>
      </c>
      <c r="AI37" s="2">
        <v>200000</v>
      </c>
      <c r="AJ37" s="2">
        <v>27500</v>
      </c>
      <c r="AK37" s="2">
        <f t="shared" si="5"/>
        <v>237500</v>
      </c>
      <c r="AL37" s="2" t="s">
        <v>2950</v>
      </c>
      <c r="AM37" s="2" t="s">
        <v>2951</v>
      </c>
      <c r="AN37" s="2" t="s">
        <v>2952</v>
      </c>
      <c r="AO37" s="2" t="s">
        <v>2953</v>
      </c>
      <c r="AP37" s="2">
        <v>635000</v>
      </c>
      <c r="AQ37" s="2" t="s">
        <v>2954</v>
      </c>
      <c r="AR37" s="4" t="s">
        <v>2955</v>
      </c>
      <c r="AS37" s="2" t="s">
        <v>2956</v>
      </c>
      <c r="AT37" s="2" t="s">
        <v>2957</v>
      </c>
      <c r="AU37" s="2" t="s">
        <v>1435</v>
      </c>
      <c r="AV37" s="2" t="s">
        <v>229</v>
      </c>
      <c r="AW37" s="2">
        <v>380007</v>
      </c>
      <c r="AX37" s="2" t="s">
        <v>2956</v>
      </c>
      <c r="AY37" s="2" t="s">
        <v>2958</v>
      </c>
      <c r="AZ37" s="2">
        <v>7698004214</v>
      </c>
      <c r="BA37" s="2">
        <v>9824544214</v>
      </c>
      <c r="BB37" s="2">
        <v>9924204214</v>
      </c>
      <c r="BC37" s="3" t="s">
        <v>2959</v>
      </c>
      <c r="BD37" s="3" t="s">
        <v>2960</v>
      </c>
      <c r="BE37" s="2" t="s">
        <v>3394</v>
      </c>
    </row>
    <row r="38" spans="1:58" s="2" customFormat="1" ht="80.099999999999994" customHeight="1" x14ac:dyDescent="0.25">
      <c r="A38" s="2">
        <v>36</v>
      </c>
      <c r="B38" s="2">
        <v>604</v>
      </c>
      <c r="C38" s="2" t="s">
        <v>4444</v>
      </c>
      <c r="D38" s="2" t="s">
        <v>278</v>
      </c>
      <c r="F38" s="7" t="s">
        <v>2987</v>
      </c>
      <c r="G38" s="2" t="s">
        <v>38</v>
      </c>
      <c r="H38" s="2" t="s">
        <v>92</v>
      </c>
      <c r="I38" s="2" t="s">
        <v>68</v>
      </c>
      <c r="J38" s="2" t="s">
        <v>36</v>
      </c>
      <c r="K38" s="2" t="s">
        <v>1098</v>
      </c>
      <c r="L38" s="2" t="s">
        <v>82</v>
      </c>
      <c r="M38" s="2" t="s">
        <v>2772</v>
      </c>
      <c r="N38" s="2" t="s">
        <v>155</v>
      </c>
      <c r="O38" s="2" t="s">
        <v>561</v>
      </c>
      <c r="P38" s="2" t="s">
        <v>73</v>
      </c>
      <c r="Q38" s="2" t="s">
        <v>185</v>
      </c>
      <c r="R38" s="2">
        <v>4665340</v>
      </c>
      <c r="S38" s="2">
        <v>2018</v>
      </c>
      <c r="T38" s="2" t="s">
        <v>616</v>
      </c>
      <c r="U38" s="2" t="s">
        <v>37</v>
      </c>
      <c r="V38" s="2" t="s">
        <v>1101</v>
      </c>
      <c r="W38" s="2" t="s">
        <v>37</v>
      </c>
      <c r="X38" s="2" t="s">
        <v>37</v>
      </c>
      <c r="Y38" s="2">
        <f>82+70+76+85+80</f>
        <v>393</v>
      </c>
      <c r="Z38" s="2">
        <v>500</v>
      </c>
      <c r="AA38" s="2">
        <f t="shared" si="3"/>
        <v>78.600000000000009</v>
      </c>
      <c r="AB38" s="2">
        <f>70+76+85</f>
        <v>231</v>
      </c>
      <c r="AC38" s="2">
        <v>300</v>
      </c>
      <c r="AD38" s="2">
        <f t="shared" si="4"/>
        <v>77</v>
      </c>
      <c r="AE38" s="2" t="s">
        <v>2988</v>
      </c>
      <c r="AF38" s="2" t="s">
        <v>2976</v>
      </c>
      <c r="AG38" s="2" t="s">
        <v>2976</v>
      </c>
      <c r="AH38" s="2">
        <v>10000</v>
      </c>
      <c r="AI38" s="2">
        <v>200000</v>
      </c>
      <c r="AJ38" s="2">
        <v>27500</v>
      </c>
      <c r="AK38" s="2">
        <f t="shared" si="5"/>
        <v>237500</v>
      </c>
      <c r="AL38" s="2" t="s">
        <v>2995</v>
      </c>
      <c r="AM38" s="2" t="s">
        <v>78</v>
      </c>
      <c r="AN38" s="2" t="s">
        <v>2989</v>
      </c>
      <c r="AO38" s="2" t="s">
        <v>139</v>
      </c>
      <c r="AP38" s="2" t="s">
        <v>2990</v>
      </c>
      <c r="AQ38" s="2" t="s">
        <v>2991</v>
      </c>
      <c r="AR38" s="4" t="s">
        <v>2996</v>
      </c>
      <c r="AS38" s="2" t="s">
        <v>2992</v>
      </c>
      <c r="AT38" s="2" t="s">
        <v>2993</v>
      </c>
      <c r="AU38" s="2" t="s">
        <v>1938</v>
      </c>
      <c r="AV38" s="2" t="s">
        <v>1101</v>
      </c>
      <c r="AW38" s="2">
        <v>416012</v>
      </c>
      <c r="AX38" s="2" t="s">
        <v>2992</v>
      </c>
      <c r="AZ38" s="2">
        <v>9764138160</v>
      </c>
      <c r="BA38" s="2">
        <v>9588621799</v>
      </c>
      <c r="BB38" s="2">
        <v>8390142070</v>
      </c>
      <c r="BD38" s="3" t="s">
        <v>2994</v>
      </c>
      <c r="BE38" s="2" t="s">
        <v>1862</v>
      </c>
      <c r="BF38" s="2" t="s">
        <v>37</v>
      </c>
    </row>
    <row r="39" spans="1:58" s="2" customFormat="1" ht="80.099999999999994" customHeight="1" x14ac:dyDescent="0.25">
      <c r="A39" s="2">
        <v>37</v>
      </c>
      <c r="B39" s="2">
        <v>614</v>
      </c>
      <c r="C39" s="2" t="s">
        <v>4444</v>
      </c>
      <c r="D39" s="2" t="s">
        <v>278</v>
      </c>
      <c r="F39" s="7" t="s">
        <v>3024</v>
      </c>
      <c r="G39" s="2" t="s">
        <v>1505</v>
      </c>
      <c r="H39" s="2" t="s">
        <v>35</v>
      </c>
      <c r="I39" s="2" t="s">
        <v>68</v>
      </c>
      <c r="J39" s="2" t="s">
        <v>36</v>
      </c>
      <c r="K39" s="2" t="s">
        <v>3025</v>
      </c>
      <c r="L39" s="2" t="s">
        <v>1386</v>
      </c>
      <c r="M39" s="2" t="s">
        <v>71</v>
      </c>
      <c r="N39" s="2" t="s">
        <v>161</v>
      </c>
      <c r="O39" s="2" t="s">
        <v>83</v>
      </c>
      <c r="P39" s="2" t="s">
        <v>85</v>
      </c>
      <c r="Q39" s="2" t="s">
        <v>185</v>
      </c>
      <c r="R39" s="2" t="s">
        <v>3036</v>
      </c>
      <c r="S39" s="2">
        <v>2018</v>
      </c>
      <c r="T39" s="2" t="s">
        <v>616</v>
      </c>
      <c r="U39" s="2" t="s">
        <v>37</v>
      </c>
      <c r="V39" s="2" t="s">
        <v>177</v>
      </c>
      <c r="Y39" s="2">
        <f>74+70+62+62+85+45</f>
        <v>398</v>
      </c>
      <c r="Z39" s="2">
        <v>600</v>
      </c>
      <c r="AA39" s="2">
        <f t="shared" si="3"/>
        <v>66.333333333333329</v>
      </c>
      <c r="AB39" s="2">
        <f>62+62+45</f>
        <v>169</v>
      </c>
      <c r="AC39" s="2">
        <v>300</v>
      </c>
      <c r="AD39" s="2">
        <f t="shared" si="4"/>
        <v>56.333333333333336</v>
      </c>
      <c r="AE39" s="2" t="s">
        <v>3026</v>
      </c>
      <c r="AF39" s="2" t="s">
        <v>3023</v>
      </c>
      <c r="AG39" s="2" t="s">
        <v>3023</v>
      </c>
      <c r="AH39" s="2">
        <v>10000</v>
      </c>
      <c r="AI39" s="2">
        <v>180000</v>
      </c>
      <c r="AJ39" s="2">
        <v>27500</v>
      </c>
      <c r="AK39" s="2">
        <f t="shared" si="5"/>
        <v>217500</v>
      </c>
      <c r="AL39" s="2" t="s">
        <v>3027</v>
      </c>
      <c r="AM39" s="2" t="s">
        <v>3029</v>
      </c>
      <c r="AN39" s="2" t="s">
        <v>3028</v>
      </c>
      <c r="AO39" s="2" t="s">
        <v>3029</v>
      </c>
      <c r="AP39" s="2">
        <v>500000</v>
      </c>
      <c r="AQ39" s="2" t="s">
        <v>3030</v>
      </c>
      <c r="AR39" s="4" t="s">
        <v>3031</v>
      </c>
      <c r="AS39" s="2" t="s">
        <v>3032</v>
      </c>
      <c r="AT39" s="2" t="s">
        <v>2075</v>
      </c>
      <c r="AU39" s="2" t="s">
        <v>76</v>
      </c>
      <c r="AV39" s="2" t="s">
        <v>177</v>
      </c>
      <c r="AW39" s="2">
        <v>500049</v>
      </c>
      <c r="AX39" s="2" t="s">
        <v>3033</v>
      </c>
      <c r="AZ39" s="2">
        <v>7013211943</v>
      </c>
      <c r="BA39" s="2">
        <v>9849438285</v>
      </c>
      <c r="BB39" s="2">
        <v>8464049116</v>
      </c>
      <c r="BC39" s="3" t="s">
        <v>3034</v>
      </c>
      <c r="BD39" s="3" t="s">
        <v>3035</v>
      </c>
      <c r="BE39" s="2" t="s">
        <v>1862</v>
      </c>
      <c r="BF39" s="2" t="s">
        <v>37</v>
      </c>
    </row>
    <row r="40" spans="1:58" s="2" customFormat="1" ht="80.099999999999994" customHeight="1" x14ac:dyDescent="0.25">
      <c r="A40" s="2">
        <v>38</v>
      </c>
      <c r="B40" s="6">
        <v>655</v>
      </c>
      <c r="C40" s="6" t="s">
        <v>4444</v>
      </c>
      <c r="D40" s="6" t="s">
        <v>278</v>
      </c>
      <c r="F40" s="8" t="s">
        <v>3111</v>
      </c>
      <c r="G40" s="6" t="s">
        <v>38</v>
      </c>
      <c r="H40" s="6" t="s">
        <v>35</v>
      </c>
      <c r="I40" s="2" t="s">
        <v>68</v>
      </c>
      <c r="J40" s="2" t="s">
        <v>36</v>
      </c>
      <c r="K40" s="2" t="s">
        <v>231</v>
      </c>
      <c r="L40" s="2" t="s">
        <v>82</v>
      </c>
      <c r="M40" s="2" t="s">
        <v>3126</v>
      </c>
      <c r="N40" s="2" t="s">
        <v>3136</v>
      </c>
      <c r="O40" s="2" t="s">
        <v>72</v>
      </c>
      <c r="P40" s="2" t="s">
        <v>73</v>
      </c>
      <c r="Q40" s="2" t="s">
        <v>63</v>
      </c>
      <c r="R40" s="2">
        <v>389633</v>
      </c>
      <c r="S40" s="2">
        <v>2018</v>
      </c>
      <c r="T40" s="2" t="s">
        <v>64</v>
      </c>
      <c r="U40" s="2" t="s">
        <v>65</v>
      </c>
      <c r="V40" s="2" t="s">
        <v>37</v>
      </c>
      <c r="W40" s="2" t="s">
        <v>37</v>
      </c>
      <c r="X40" s="2" t="s">
        <v>37</v>
      </c>
      <c r="Y40" s="2">
        <v>471</v>
      </c>
      <c r="Z40" s="2">
        <v>600</v>
      </c>
      <c r="AA40" s="2">
        <f t="shared" si="3"/>
        <v>78.5</v>
      </c>
      <c r="AB40" s="2">
        <f>74+74+77</f>
        <v>225</v>
      </c>
      <c r="AC40" s="2">
        <v>300</v>
      </c>
      <c r="AD40" s="2">
        <f t="shared" si="4"/>
        <v>75</v>
      </c>
      <c r="AE40" s="2" t="s">
        <v>3127</v>
      </c>
      <c r="AF40" s="2" t="s">
        <v>3101</v>
      </c>
      <c r="AG40" s="2" t="s">
        <v>3101</v>
      </c>
      <c r="AH40" s="2">
        <v>10000</v>
      </c>
      <c r="AI40" s="2">
        <v>200000</v>
      </c>
      <c r="AJ40" s="2">
        <v>27500</v>
      </c>
      <c r="AK40" s="2">
        <f t="shared" si="5"/>
        <v>237500</v>
      </c>
      <c r="AL40" s="2" t="s">
        <v>3128</v>
      </c>
      <c r="AM40" s="2" t="s">
        <v>78</v>
      </c>
      <c r="AN40" s="2" t="s">
        <v>3129</v>
      </c>
      <c r="AO40" s="2" t="s">
        <v>139</v>
      </c>
      <c r="AP40" s="2">
        <v>1500000</v>
      </c>
      <c r="AQ40" s="2" t="s">
        <v>3130</v>
      </c>
      <c r="AR40" s="4" t="s">
        <v>3131</v>
      </c>
      <c r="AS40" s="2" t="s">
        <v>3132</v>
      </c>
      <c r="AT40" s="2" t="s">
        <v>3133</v>
      </c>
      <c r="AU40" s="2" t="s">
        <v>95</v>
      </c>
      <c r="AV40" s="2" t="s">
        <v>65</v>
      </c>
      <c r="AW40" s="2">
        <v>560018</v>
      </c>
      <c r="AX40" s="2" t="s">
        <v>3132</v>
      </c>
      <c r="AY40" s="2" t="s">
        <v>37</v>
      </c>
      <c r="AZ40" s="2">
        <v>9611898439</v>
      </c>
      <c r="BA40" s="2">
        <v>9900528920</v>
      </c>
      <c r="BB40" s="2">
        <v>9986494829</v>
      </c>
      <c r="BC40" s="3" t="s">
        <v>3134</v>
      </c>
      <c r="BD40" s="3" t="s">
        <v>3135</v>
      </c>
      <c r="BE40" s="2" t="s">
        <v>1564</v>
      </c>
      <c r="BF40" s="2" t="s">
        <v>1469</v>
      </c>
    </row>
    <row r="41" spans="1:58" s="2" customFormat="1" ht="80.099999999999994" customHeight="1" x14ac:dyDescent="0.25">
      <c r="A41" s="2">
        <v>39</v>
      </c>
      <c r="B41" s="6">
        <v>703</v>
      </c>
      <c r="C41" s="6" t="s">
        <v>4444</v>
      </c>
      <c r="D41" s="6" t="s">
        <v>278</v>
      </c>
      <c r="F41" s="8" t="s">
        <v>3370</v>
      </c>
      <c r="G41" s="6" t="s">
        <v>38</v>
      </c>
      <c r="H41" s="6" t="s">
        <v>35</v>
      </c>
      <c r="I41" s="2" t="s">
        <v>68</v>
      </c>
      <c r="J41" s="2" t="s">
        <v>36</v>
      </c>
      <c r="K41" s="2" t="s">
        <v>226</v>
      </c>
      <c r="L41" s="2" t="s">
        <v>82</v>
      </c>
      <c r="M41" s="2" t="s">
        <v>995</v>
      </c>
      <c r="N41" s="2" t="s">
        <v>3415</v>
      </c>
      <c r="O41" s="2" t="s">
        <v>3416</v>
      </c>
      <c r="P41" s="2" t="s">
        <v>73</v>
      </c>
      <c r="Q41" s="2" t="s">
        <v>185</v>
      </c>
      <c r="R41" s="2" t="s">
        <v>3417</v>
      </c>
      <c r="S41" s="2">
        <v>2018</v>
      </c>
      <c r="T41" s="2" t="s">
        <v>1099</v>
      </c>
      <c r="U41" s="2" t="s">
        <v>37</v>
      </c>
      <c r="V41" s="2" t="s">
        <v>1100</v>
      </c>
      <c r="W41" s="2" t="s">
        <v>37</v>
      </c>
      <c r="X41" s="2" t="s">
        <v>37</v>
      </c>
      <c r="Y41" s="2">
        <v>462</v>
      </c>
      <c r="Z41" s="2">
        <v>650</v>
      </c>
      <c r="AA41" s="2">
        <f t="shared" si="3"/>
        <v>71.07692307692308</v>
      </c>
      <c r="AB41" s="2">
        <f>55+60+40</f>
        <v>155</v>
      </c>
      <c r="AC41" s="2">
        <v>300</v>
      </c>
      <c r="AD41" s="2">
        <f t="shared" si="4"/>
        <v>51.666666666666671</v>
      </c>
      <c r="AE41" s="2" t="s">
        <v>3418</v>
      </c>
      <c r="AF41" s="2" t="s">
        <v>2275</v>
      </c>
      <c r="AG41" s="2" t="s">
        <v>3319</v>
      </c>
      <c r="AH41" s="2">
        <v>10000</v>
      </c>
      <c r="AI41" s="2">
        <v>200000</v>
      </c>
      <c r="AJ41" s="2">
        <v>27500</v>
      </c>
      <c r="AK41" s="2">
        <f t="shared" si="5"/>
        <v>237500</v>
      </c>
      <c r="AL41" s="2" t="s">
        <v>3419</v>
      </c>
      <c r="AM41" s="2" t="s">
        <v>78</v>
      </c>
      <c r="AN41" s="2" t="s">
        <v>3420</v>
      </c>
      <c r="AO41" s="2" t="s">
        <v>3421</v>
      </c>
      <c r="AP41" s="2">
        <v>600000</v>
      </c>
      <c r="AQ41" s="2" t="s">
        <v>3422</v>
      </c>
      <c r="AR41" s="4" t="s">
        <v>3423</v>
      </c>
      <c r="AS41" s="2" t="s">
        <v>3424</v>
      </c>
      <c r="AT41" s="2" t="s">
        <v>3425</v>
      </c>
      <c r="AU41" s="2" t="s">
        <v>969</v>
      </c>
      <c r="AV41" s="2" t="s">
        <v>1101</v>
      </c>
      <c r="AW41" s="2">
        <v>400078</v>
      </c>
      <c r="AX41" s="2" t="s">
        <v>3424</v>
      </c>
      <c r="AY41" s="2" t="s">
        <v>37</v>
      </c>
      <c r="AZ41" s="2">
        <v>9833119198</v>
      </c>
      <c r="BA41" s="2">
        <v>9833019199</v>
      </c>
      <c r="BB41" s="2">
        <v>9930019199</v>
      </c>
      <c r="BC41" s="3" t="s">
        <v>3426</v>
      </c>
      <c r="BD41" s="3" t="s">
        <v>3427</v>
      </c>
      <c r="BE41" s="2" t="s">
        <v>1609</v>
      </c>
      <c r="BF41" s="2" t="s">
        <v>230</v>
      </c>
    </row>
    <row r="42" spans="1:58" s="2" customFormat="1" ht="80.099999999999994" customHeight="1" x14ac:dyDescent="0.25">
      <c r="A42" s="2">
        <v>40</v>
      </c>
      <c r="B42" s="6">
        <v>707</v>
      </c>
      <c r="C42" s="6" t="s">
        <v>4444</v>
      </c>
      <c r="D42" s="6" t="s">
        <v>278</v>
      </c>
      <c r="F42" s="8" t="s">
        <v>3372</v>
      </c>
      <c r="G42" s="6" t="s">
        <v>38</v>
      </c>
      <c r="H42" s="6" t="s">
        <v>35</v>
      </c>
      <c r="I42" s="2" t="s">
        <v>68</v>
      </c>
      <c r="J42" s="2" t="s">
        <v>36</v>
      </c>
      <c r="K42" s="2" t="s">
        <v>3440</v>
      </c>
      <c r="L42" s="2" t="s">
        <v>82</v>
      </c>
      <c r="M42" s="2" t="s">
        <v>3441</v>
      </c>
      <c r="N42" s="2" t="s">
        <v>3442</v>
      </c>
      <c r="O42" s="2" t="s">
        <v>72</v>
      </c>
      <c r="P42" s="2" t="s">
        <v>85</v>
      </c>
      <c r="Q42" s="2" t="s">
        <v>185</v>
      </c>
      <c r="R42" s="2">
        <v>2679766</v>
      </c>
      <c r="S42" s="2">
        <v>2018</v>
      </c>
      <c r="T42" s="2" t="s">
        <v>616</v>
      </c>
      <c r="U42" s="2" t="s">
        <v>37</v>
      </c>
      <c r="V42" s="2" t="s">
        <v>564</v>
      </c>
      <c r="W42" s="2" t="s">
        <v>37</v>
      </c>
      <c r="X42" s="2" t="s">
        <v>37</v>
      </c>
      <c r="Y42" s="2">
        <f>63+86+33+53+56</f>
        <v>291</v>
      </c>
      <c r="Z42" s="2">
        <v>500</v>
      </c>
      <c r="AA42" s="2">
        <f t="shared" si="3"/>
        <v>58.199999999999996</v>
      </c>
      <c r="AB42" s="2">
        <f>33+53+56</f>
        <v>142</v>
      </c>
      <c r="AC42" s="2">
        <v>300</v>
      </c>
      <c r="AD42" s="2">
        <f t="shared" si="4"/>
        <v>47.333333333333336</v>
      </c>
      <c r="AE42" s="2" t="s">
        <v>3443</v>
      </c>
      <c r="AF42" s="2" t="s">
        <v>3319</v>
      </c>
      <c r="AG42" s="2" t="s">
        <v>3319</v>
      </c>
      <c r="AH42" s="2">
        <v>10000</v>
      </c>
      <c r="AI42" s="2">
        <v>200000</v>
      </c>
      <c r="AJ42" s="2">
        <v>27500</v>
      </c>
      <c r="AK42" s="2">
        <f t="shared" si="5"/>
        <v>237500</v>
      </c>
      <c r="AL42" s="2" t="s">
        <v>3444</v>
      </c>
      <c r="AM42" s="2" t="s">
        <v>78</v>
      </c>
      <c r="AN42" s="2" t="s">
        <v>3445</v>
      </c>
      <c r="AO42" s="2" t="s">
        <v>429</v>
      </c>
      <c r="AP42" s="2">
        <v>250000</v>
      </c>
      <c r="AQ42" s="2" t="s">
        <v>3449</v>
      </c>
      <c r="AR42" s="4" t="s">
        <v>3446</v>
      </c>
      <c r="AS42" s="2" t="s">
        <v>3447</v>
      </c>
      <c r="AT42" s="2" t="s">
        <v>3448</v>
      </c>
      <c r="AU42" s="2" t="s">
        <v>3442</v>
      </c>
      <c r="AV42" s="2" t="s">
        <v>564</v>
      </c>
      <c r="AW42" s="2">
        <v>125055</v>
      </c>
      <c r="AX42" s="2" t="s">
        <v>3447</v>
      </c>
      <c r="AY42" s="2" t="s">
        <v>37</v>
      </c>
      <c r="AZ42" s="2">
        <v>9521788899</v>
      </c>
      <c r="BA42" s="2">
        <v>9812581072</v>
      </c>
      <c r="BB42" s="2">
        <v>9992111072</v>
      </c>
      <c r="BD42" s="3" t="s">
        <v>3450</v>
      </c>
      <c r="BE42" s="2" t="s">
        <v>3451</v>
      </c>
      <c r="BF42" s="2" t="s">
        <v>3405</v>
      </c>
    </row>
    <row r="43" spans="1:58" s="2" customFormat="1" ht="80.099999999999994" customHeight="1" x14ac:dyDescent="0.25">
      <c r="A43" s="2">
        <v>41</v>
      </c>
      <c r="B43" s="6">
        <v>736</v>
      </c>
      <c r="C43" s="6" t="s">
        <v>4444</v>
      </c>
      <c r="D43" s="6" t="s">
        <v>278</v>
      </c>
      <c r="F43" s="8" t="s">
        <v>3460</v>
      </c>
      <c r="G43" s="6" t="s">
        <v>38</v>
      </c>
      <c r="H43" s="6" t="s">
        <v>35</v>
      </c>
      <c r="I43" s="2" t="s">
        <v>68</v>
      </c>
      <c r="J43" s="2" t="s">
        <v>36</v>
      </c>
      <c r="K43" s="2" t="s">
        <v>3549</v>
      </c>
      <c r="L43" s="2" t="s">
        <v>82</v>
      </c>
      <c r="M43" s="2" t="s">
        <v>1659</v>
      </c>
      <c r="N43" s="2" t="s">
        <v>3550</v>
      </c>
      <c r="O43" s="2" t="s">
        <v>83</v>
      </c>
      <c r="P43" s="2" t="s">
        <v>85</v>
      </c>
      <c r="Q43" s="2" t="s">
        <v>185</v>
      </c>
      <c r="R43" s="2">
        <v>1812222223</v>
      </c>
      <c r="S43" s="2">
        <v>2018</v>
      </c>
      <c r="T43" s="2" t="s">
        <v>89</v>
      </c>
      <c r="U43" s="2" t="s">
        <v>37</v>
      </c>
      <c r="V43" s="2" t="s">
        <v>215</v>
      </c>
      <c r="W43" s="2">
        <v>692</v>
      </c>
      <c r="X43" s="2">
        <f>W43/1000*100</f>
        <v>69.199999999999989</v>
      </c>
      <c r="Y43" s="2">
        <f>74+71+49+44+52+52+30+30</f>
        <v>402</v>
      </c>
      <c r="Z43" s="2">
        <v>530</v>
      </c>
      <c r="AA43" s="2">
        <f t="shared" si="3"/>
        <v>75.84905660377359</v>
      </c>
      <c r="AB43" s="2">
        <f>54+41+38+50+49+44+52+52+30+30</f>
        <v>440</v>
      </c>
      <c r="AC43" s="2">
        <v>600</v>
      </c>
      <c r="AD43" s="2">
        <f t="shared" si="4"/>
        <v>73.333333333333329</v>
      </c>
      <c r="AE43" s="2" t="s">
        <v>3157</v>
      </c>
      <c r="AF43" s="2" t="s">
        <v>2160</v>
      </c>
      <c r="AG43" s="2" t="s">
        <v>3497</v>
      </c>
      <c r="AH43" s="2">
        <v>10000</v>
      </c>
      <c r="AI43" s="2">
        <v>200000</v>
      </c>
      <c r="AJ43" s="2">
        <v>27500</v>
      </c>
      <c r="AK43" s="2">
        <f t="shared" si="5"/>
        <v>237500</v>
      </c>
      <c r="AL43" s="2" t="s">
        <v>3551</v>
      </c>
      <c r="AM43" s="2" t="s">
        <v>87</v>
      </c>
      <c r="AN43" s="2" t="s">
        <v>3552</v>
      </c>
      <c r="AO43" s="2" t="s">
        <v>139</v>
      </c>
      <c r="AP43" s="2">
        <v>400000</v>
      </c>
      <c r="AQ43" s="2" t="s">
        <v>3553</v>
      </c>
      <c r="AR43" s="4" t="s">
        <v>3554</v>
      </c>
      <c r="AS43" s="2" t="s">
        <v>3555</v>
      </c>
      <c r="AT43" s="2" t="s">
        <v>250</v>
      </c>
      <c r="AU43" s="2" t="s">
        <v>164</v>
      </c>
      <c r="AV43" s="2" t="s">
        <v>215</v>
      </c>
      <c r="AW43" s="2">
        <v>517501</v>
      </c>
      <c r="AX43" s="2" t="s">
        <v>3555</v>
      </c>
      <c r="AZ43" s="2">
        <v>7989134609</v>
      </c>
      <c r="BA43" s="2">
        <v>9959995239</v>
      </c>
      <c r="BD43" s="3" t="s">
        <v>3556</v>
      </c>
      <c r="BE43" s="2" t="s">
        <v>1069</v>
      </c>
      <c r="BF43" s="2" t="s">
        <v>882</v>
      </c>
    </row>
    <row r="44" spans="1:58" s="2" customFormat="1" ht="80.099999999999994" customHeight="1" x14ac:dyDescent="0.25">
      <c r="A44" s="2">
        <v>42</v>
      </c>
      <c r="B44" s="6">
        <v>763</v>
      </c>
      <c r="C44" s="6" t="s">
        <v>4444</v>
      </c>
      <c r="D44" s="6" t="s">
        <v>278</v>
      </c>
      <c r="F44" s="8" t="s">
        <v>3465</v>
      </c>
      <c r="G44" s="6" t="s">
        <v>38</v>
      </c>
      <c r="H44" s="6" t="s">
        <v>35</v>
      </c>
      <c r="I44" s="2" t="s">
        <v>68</v>
      </c>
      <c r="J44" s="2" t="s">
        <v>435</v>
      </c>
      <c r="K44" s="2" t="s">
        <v>435</v>
      </c>
      <c r="L44" s="2" t="s">
        <v>82</v>
      </c>
      <c r="M44" s="2" t="s">
        <v>3594</v>
      </c>
      <c r="N44" s="2" t="s">
        <v>3595</v>
      </c>
      <c r="O44" s="2" t="s">
        <v>72</v>
      </c>
      <c r="P44" s="2" t="s">
        <v>62</v>
      </c>
      <c r="Q44" s="2" t="s">
        <v>185</v>
      </c>
      <c r="R44" s="2">
        <v>4620764</v>
      </c>
      <c r="S44" s="2">
        <v>2018</v>
      </c>
      <c r="T44" s="2" t="s">
        <v>616</v>
      </c>
      <c r="U44" s="2" t="s">
        <v>37</v>
      </c>
      <c r="V44" s="2" t="s">
        <v>152</v>
      </c>
      <c r="W44" s="2" t="s">
        <v>37</v>
      </c>
      <c r="X44" s="2" t="s">
        <v>37</v>
      </c>
      <c r="Y44" s="2">
        <f>86+48+75+65+87</f>
        <v>361</v>
      </c>
      <c r="Z44" s="2">
        <v>500</v>
      </c>
      <c r="AA44" s="2">
        <f t="shared" si="3"/>
        <v>72.2</v>
      </c>
      <c r="AB44" s="2">
        <f>48+75+65</f>
        <v>188</v>
      </c>
      <c r="AC44" s="2">
        <v>300</v>
      </c>
      <c r="AD44" s="2">
        <f t="shared" si="4"/>
        <v>62.666666666666671</v>
      </c>
      <c r="AE44" s="2" t="s">
        <v>3596</v>
      </c>
      <c r="AF44" s="2" t="s">
        <v>2976</v>
      </c>
      <c r="AG44" s="2" t="s">
        <v>3497</v>
      </c>
      <c r="AH44" s="2">
        <v>10000</v>
      </c>
      <c r="AI44" s="2">
        <v>200000</v>
      </c>
      <c r="AJ44" s="2">
        <v>27500</v>
      </c>
      <c r="AK44" s="2">
        <f t="shared" si="5"/>
        <v>237500</v>
      </c>
      <c r="AL44" s="2" t="s">
        <v>3597</v>
      </c>
      <c r="AM44" s="2" t="s">
        <v>139</v>
      </c>
      <c r="AN44" s="2" t="s">
        <v>3598</v>
      </c>
      <c r="AO44" s="2" t="s">
        <v>139</v>
      </c>
      <c r="AP44" s="2">
        <v>500000</v>
      </c>
      <c r="AQ44" s="2" t="s">
        <v>3599</v>
      </c>
      <c r="AR44" s="4" t="s">
        <v>3600</v>
      </c>
      <c r="AS44" s="2" t="s">
        <v>3601</v>
      </c>
      <c r="AT44" s="2" t="s">
        <v>3602</v>
      </c>
      <c r="AU44" s="2" t="s">
        <v>1783</v>
      </c>
      <c r="AV44" s="2" t="s">
        <v>152</v>
      </c>
      <c r="AW44" s="2">
        <v>613006</v>
      </c>
      <c r="AX44" s="2" t="s">
        <v>3601</v>
      </c>
      <c r="AY44" s="2" t="s">
        <v>3603</v>
      </c>
      <c r="AZ44" s="2">
        <v>8667872098</v>
      </c>
      <c r="BA44" s="2">
        <v>9443806683</v>
      </c>
      <c r="BB44" s="2">
        <v>9940866831</v>
      </c>
      <c r="BD44" s="3" t="s">
        <v>3604</v>
      </c>
      <c r="BE44" s="2" t="s">
        <v>1862</v>
      </c>
      <c r="BF44" s="2" t="s">
        <v>37</v>
      </c>
    </row>
    <row r="45" spans="1:58" s="2" customFormat="1" ht="80.099999999999994" customHeight="1" x14ac:dyDescent="0.25">
      <c r="A45" s="2">
        <v>43</v>
      </c>
      <c r="B45" s="6">
        <v>788</v>
      </c>
      <c r="C45" s="6" t="s">
        <v>4444</v>
      </c>
      <c r="D45" s="6" t="s">
        <v>278</v>
      </c>
      <c r="F45" s="8" t="s">
        <v>3474</v>
      </c>
      <c r="G45" s="6" t="s">
        <v>38</v>
      </c>
      <c r="H45" s="6" t="s">
        <v>35</v>
      </c>
      <c r="I45" s="2" t="s">
        <v>68</v>
      </c>
      <c r="J45" s="2" t="s">
        <v>36</v>
      </c>
      <c r="K45" s="2" t="s">
        <v>207</v>
      </c>
      <c r="L45" s="2" t="s">
        <v>82</v>
      </c>
      <c r="M45" s="2" t="s">
        <v>1024</v>
      </c>
      <c r="N45" s="2" t="s">
        <v>3690</v>
      </c>
      <c r="O45" s="2" t="s">
        <v>83</v>
      </c>
      <c r="P45" s="2" t="s">
        <v>73</v>
      </c>
      <c r="Q45" s="2" t="s">
        <v>185</v>
      </c>
      <c r="R45" s="2">
        <v>1859228979</v>
      </c>
      <c r="S45" s="2">
        <v>2018</v>
      </c>
      <c r="T45" s="2" t="s">
        <v>75</v>
      </c>
      <c r="U45" s="2" t="s">
        <v>37</v>
      </c>
      <c r="V45" s="2" t="s">
        <v>76</v>
      </c>
      <c r="W45" s="2">
        <v>924</v>
      </c>
      <c r="X45" s="2">
        <f>W45/1000*100</f>
        <v>92.4</v>
      </c>
      <c r="Y45" s="2">
        <f>93+94+75+53+60+59+30+30</f>
        <v>494</v>
      </c>
      <c r="Z45" s="2">
        <v>530</v>
      </c>
      <c r="AA45" s="2">
        <f t="shared" si="3"/>
        <v>93.20754716981132</v>
      </c>
      <c r="AB45" s="2">
        <f>73+75+56+49+75+53+60+59+30+30</f>
        <v>560</v>
      </c>
      <c r="AC45" s="2">
        <v>600</v>
      </c>
      <c r="AD45" s="2">
        <f t="shared" si="4"/>
        <v>93.333333333333329</v>
      </c>
      <c r="AE45" s="2" t="s">
        <v>3536</v>
      </c>
      <c r="AF45" s="2" t="s">
        <v>1918</v>
      </c>
      <c r="AG45" s="2" t="s">
        <v>3681</v>
      </c>
      <c r="AH45" s="2">
        <v>10000</v>
      </c>
      <c r="AI45" s="2">
        <v>200000</v>
      </c>
      <c r="AJ45" s="2">
        <v>27500</v>
      </c>
      <c r="AK45" s="2">
        <f t="shared" si="5"/>
        <v>237500</v>
      </c>
      <c r="AL45" s="2" t="s">
        <v>3691</v>
      </c>
      <c r="AM45" s="2" t="s">
        <v>87</v>
      </c>
      <c r="AN45" s="2" t="s">
        <v>3692</v>
      </c>
      <c r="AO45" s="2" t="s">
        <v>897</v>
      </c>
      <c r="AP45" s="2">
        <v>665000</v>
      </c>
      <c r="AQ45" s="2" t="s">
        <v>3693</v>
      </c>
      <c r="AR45" s="4" t="s">
        <v>3694</v>
      </c>
      <c r="AS45" s="2" t="s">
        <v>3695</v>
      </c>
      <c r="AT45" s="2" t="s">
        <v>3696</v>
      </c>
      <c r="AU45" s="2" t="s">
        <v>3697</v>
      </c>
      <c r="AV45" s="2" t="s">
        <v>76</v>
      </c>
      <c r="AW45" s="2">
        <v>501505</v>
      </c>
      <c r="AX45" s="2" t="s">
        <v>3695</v>
      </c>
      <c r="AZ45" s="2">
        <v>7032673701</v>
      </c>
      <c r="BA45" s="2">
        <v>9618634458</v>
      </c>
      <c r="BB45" s="2">
        <v>9618634977</v>
      </c>
      <c r="BD45" s="3" t="s">
        <v>3698</v>
      </c>
      <c r="BE45" s="2" t="s">
        <v>3452</v>
      </c>
      <c r="BF45" s="2" t="s">
        <v>144</v>
      </c>
    </row>
    <row r="46" spans="1:58" s="2" customFormat="1" ht="80.099999999999994" customHeight="1" x14ac:dyDescent="0.25">
      <c r="A46" s="2">
        <v>44</v>
      </c>
      <c r="B46" s="6">
        <v>821</v>
      </c>
      <c r="C46" s="6" t="s">
        <v>4444</v>
      </c>
      <c r="D46" s="6" t="s">
        <v>278</v>
      </c>
      <c r="F46" s="8" t="s">
        <v>3488</v>
      </c>
      <c r="G46" s="6" t="s">
        <v>1505</v>
      </c>
      <c r="H46" s="6" t="s">
        <v>35</v>
      </c>
      <c r="I46" s="2" t="s">
        <v>68</v>
      </c>
      <c r="J46" s="2" t="s">
        <v>36</v>
      </c>
      <c r="K46" s="2" t="s">
        <v>3829</v>
      </c>
      <c r="L46" s="2" t="s">
        <v>82</v>
      </c>
      <c r="M46" s="2" t="s">
        <v>2247</v>
      </c>
      <c r="N46" s="2" t="s">
        <v>1829</v>
      </c>
      <c r="O46" s="2" t="s">
        <v>123</v>
      </c>
      <c r="P46" s="2" t="s">
        <v>62</v>
      </c>
      <c r="Q46" s="2" t="s">
        <v>185</v>
      </c>
      <c r="R46" s="2">
        <v>7660836</v>
      </c>
      <c r="S46" s="2">
        <v>2018</v>
      </c>
      <c r="T46" s="2" t="s">
        <v>616</v>
      </c>
      <c r="U46" s="2" t="s">
        <v>37</v>
      </c>
      <c r="V46" s="2" t="s">
        <v>1762</v>
      </c>
      <c r="W46" s="2" t="s">
        <v>37</v>
      </c>
      <c r="X46" s="2" t="s">
        <v>37</v>
      </c>
      <c r="Y46" s="2">
        <f>80+69+79+76+93</f>
        <v>397</v>
      </c>
      <c r="Z46" s="2">
        <v>500</v>
      </c>
      <c r="AA46" s="2">
        <f t="shared" si="3"/>
        <v>79.400000000000006</v>
      </c>
      <c r="AB46" s="2">
        <f>69+79+76</f>
        <v>224</v>
      </c>
      <c r="AC46" s="2">
        <v>300</v>
      </c>
      <c r="AD46" s="2">
        <f t="shared" si="4"/>
        <v>74.666666666666671</v>
      </c>
      <c r="AE46" s="2" t="s">
        <v>3830</v>
      </c>
      <c r="AF46" s="2" t="s">
        <v>3681</v>
      </c>
      <c r="AG46" s="2" t="s">
        <v>3681</v>
      </c>
      <c r="AH46" s="2">
        <v>10000</v>
      </c>
      <c r="AI46" s="2">
        <v>180000</v>
      </c>
      <c r="AJ46" s="2">
        <v>27500</v>
      </c>
      <c r="AK46" s="2">
        <f t="shared" si="5"/>
        <v>217500</v>
      </c>
      <c r="AL46" s="2" t="s">
        <v>3831</v>
      </c>
      <c r="AM46" s="2" t="s">
        <v>87</v>
      </c>
      <c r="AN46" s="2" t="s">
        <v>3832</v>
      </c>
      <c r="AO46" s="2" t="s">
        <v>187</v>
      </c>
      <c r="AP46" s="2">
        <v>800000</v>
      </c>
      <c r="AR46" s="4" t="s">
        <v>3833</v>
      </c>
      <c r="AS46" s="2" t="s">
        <v>3834</v>
      </c>
      <c r="AT46" s="2" t="s">
        <v>3835</v>
      </c>
      <c r="AU46" s="2" t="s">
        <v>3836</v>
      </c>
      <c r="AV46" s="2" t="s">
        <v>1762</v>
      </c>
      <c r="AW46" s="2">
        <v>829150</v>
      </c>
      <c r="AX46" s="2" t="s">
        <v>3834</v>
      </c>
      <c r="AZ46" s="2">
        <v>7762852202</v>
      </c>
      <c r="BA46" s="2">
        <v>9199897096</v>
      </c>
      <c r="BB46" s="2">
        <v>8986883622</v>
      </c>
      <c r="BC46" s="3" t="s">
        <v>3837</v>
      </c>
      <c r="BD46" s="3" t="s">
        <v>3838</v>
      </c>
      <c r="BE46" s="2" t="s">
        <v>3763</v>
      </c>
      <c r="BF46" s="2" t="s">
        <v>3764</v>
      </c>
    </row>
    <row r="47" spans="1:58" s="2" customFormat="1" ht="80.099999999999994" customHeight="1" x14ac:dyDescent="0.25">
      <c r="A47" s="2">
        <v>45</v>
      </c>
      <c r="B47" s="2">
        <v>869</v>
      </c>
      <c r="C47" s="2" t="s">
        <v>4444</v>
      </c>
      <c r="D47" s="2" t="s">
        <v>278</v>
      </c>
      <c r="F47" s="7" t="s">
        <v>3848</v>
      </c>
      <c r="G47" s="2" t="s">
        <v>38</v>
      </c>
      <c r="H47" s="2" t="s">
        <v>35</v>
      </c>
      <c r="I47" s="2" t="s">
        <v>68</v>
      </c>
      <c r="J47" s="2" t="s">
        <v>36</v>
      </c>
      <c r="K47" s="2" t="s">
        <v>159</v>
      </c>
      <c r="L47" s="2" t="s">
        <v>752</v>
      </c>
      <c r="M47" s="2" t="s">
        <v>3950</v>
      </c>
      <c r="N47" s="2" t="s">
        <v>1683</v>
      </c>
      <c r="O47" s="2" t="s">
        <v>162</v>
      </c>
      <c r="Q47" s="2" t="s">
        <v>185</v>
      </c>
      <c r="R47" s="2">
        <v>1858248757</v>
      </c>
      <c r="S47" s="2">
        <v>2018</v>
      </c>
      <c r="T47" s="2" t="s">
        <v>75</v>
      </c>
      <c r="U47" s="2" t="s">
        <v>37</v>
      </c>
      <c r="V47" s="2" t="s">
        <v>76</v>
      </c>
      <c r="W47" s="2">
        <v>910</v>
      </c>
      <c r="X47" s="2">
        <f>W47/1000*100</f>
        <v>91</v>
      </c>
      <c r="Y47" s="2">
        <f>91+94+73+61+60+51+29+29</f>
        <v>488</v>
      </c>
      <c r="Z47" s="2">
        <v>530</v>
      </c>
      <c r="AA47" s="2">
        <f t="shared" si="3"/>
        <v>92.075471698113205</v>
      </c>
      <c r="AB47" s="2">
        <f>75+67+57+49+73+61+60+51+29+29</f>
        <v>551</v>
      </c>
      <c r="AC47" s="2">
        <v>600</v>
      </c>
      <c r="AD47" s="2">
        <f t="shared" si="4"/>
        <v>91.833333333333329</v>
      </c>
      <c r="AE47" s="2" t="s">
        <v>3951</v>
      </c>
      <c r="AF47" s="2" t="s">
        <v>2275</v>
      </c>
      <c r="AG47" s="2" t="s">
        <v>3952</v>
      </c>
      <c r="AH47" s="2">
        <v>10000</v>
      </c>
      <c r="AI47" s="2">
        <v>200000</v>
      </c>
      <c r="AJ47" s="2">
        <v>27500</v>
      </c>
      <c r="AK47" s="2">
        <f t="shared" si="5"/>
        <v>237500</v>
      </c>
      <c r="AL47" s="2" t="s">
        <v>3953</v>
      </c>
      <c r="AM47" s="2" t="s">
        <v>78</v>
      </c>
      <c r="AN47" s="2" t="s">
        <v>3954</v>
      </c>
      <c r="AO47" s="2" t="s">
        <v>139</v>
      </c>
      <c r="AP47" s="2">
        <v>100000</v>
      </c>
      <c r="AQ47" s="2" t="s">
        <v>3955</v>
      </c>
      <c r="AR47" s="4" t="s">
        <v>3956</v>
      </c>
      <c r="AS47" s="2" t="s">
        <v>3957</v>
      </c>
      <c r="AT47" s="2" t="s">
        <v>1683</v>
      </c>
      <c r="AU47" s="2" t="s">
        <v>755</v>
      </c>
      <c r="AV47" s="2" t="s">
        <v>215</v>
      </c>
      <c r="AW47" s="2">
        <v>516360</v>
      </c>
      <c r="AX47" s="2" t="s">
        <v>3957</v>
      </c>
      <c r="AZ47" s="2">
        <v>9133662662</v>
      </c>
      <c r="BA47" s="2">
        <v>9959662662</v>
      </c>
      <c r="BB47" s="2">
        <v>9059094786</v>
      </c>
      <c r="BD47" s="3" t="s">
        <v>3958</v>
      </c>
      <c r="BE47" s="2" t="s">
        <v>3959</v>
      </c>
      <c r="BF47" s="2" t="s">
        <v>3857</v>
      </c>
    </row>
    <row r="48" spans="1:58" s="2" customFormat="1" ht="80.099999999999994" customHeight="1" x14ac:dyDescent="0.25">
      <c r="A48" s="2">
        <v>46</v>
      </c>
      <c r="B48" s="2">
        <v>860</v>
      </c>
      <c r="C48" s="2" t="s">
        <v>4444</v>
      </c>
      <c r="D48" s="2" t="s">
        <v>278</v>
      </c>
      <c r="F48" s="7" t="s">
        <v>3961</v>
      </c>
      <c r="G48" s="2" t="s">
        <v>38</v>
      </c>
      <c r="H48" s="2" t="s">
        <v>35</v>
      </c>
      <c r="I48" s="2" t="s">
        <v>68</v>
      </c>
      <c r="J48" s="2" t="s">
        <v>36</v>
      </c>
      <c r="K48" s="2" t="s">
        <v>285</v>
      </c>
      <c r="L48" s="2" t="s">
        <v>214</v>
      </c>
      <c r="M48" s="2" t="s">
        <v>2259</v>
      </c>
      <c r="N48" s="2" t="s">
        <v>95</v>
      </c>
      <c r="O48" s="2" t="s">
        <v>61</v>
      </c>
      <c r="P48" s="2" t="s">
        <v>85</v>
      </c>
      <c r="Q48" s="2" t="s">
        <v>63</v>
      </c>
      <c r="R48" s="2">
        <v>872203</v>
      </c>
      <c r="S48" s="2">
        <v>2018</v>
      </c>
      <c r="T48" s="2" t="s">
        <v>64</v>
      </c>
      <c r="U48" s="2" t="s">
        <v>65</v>
      </c>
      <c r="V48" s="2" t="s">
        <v>37</v>
      </c>
      <c r="W48" s="2" t="s">
        <v>37</v>
      </c>
      <c r="X48" s="2" t="s">
        <v>37</v>
      </c>
      <c r="Y48" s="2">
        <v>399</v>
      </c>
      <c r="Z48" s="2">
        <v>600</v>
      </c>
      <c r="AA48" s="2">
        <f t="shared" si="3"/>
        <v>66.5</v>
      </c>
      <c r="AB48" s="2">
        <f>75+70+46</f>
        <v>191</v>
      </c>
      <c r="AC48" s="2">
        <v>300</v>
      </c>
      <c r="AD48" s="2">
        <f t="shared" si="4"/>
        <v>63.666666666666671</v>
      </c>
      <c r="AE48" s="2" t="s">
        <v>3965</v>
      </c>
      <c r="AF48" s="2" t="s">
        <v>2914</v>
      </c>
      <c r="AG48" s="2" t="s">
        <v>3927</v>
      </c>
      <c r="AH48" s="2">
        <v>10000</v>
      </c>
      <c r="AI48" s="2">
        <v>200000</v>
      </c>
      <c r="AJ48" s="2">
        <v>27500</v>
      </c>
      <c r="AK48" s="2">
        <f t="shared" si="5"/>
        <v>237500</v>
      </c>
      <c r="AL48" s="2" t="s">
        <v>3966</v>
      </c>
      <c r="AM48" s="2" t="s">
        <v>78</v>
      </c>
      <c r="AN48" s="2" t="s">
        <v>3967</v>
      </c>
      <c r="AO48" s="2" t="s">
        <v>924</v>
      </c>
      <c r="AP48" s="2">
        <v>600000</v>
      </c>
      <c r="AQ48" s="2" t="s">
        <v>3968</v>
      </c>
      <c r="AR48" s="4" t="s">
        <v>3969</v>
      </c>
      <c r="AS48" s="2" t="s">
        <v>3970</v>
      </c>
      <c r="AT48" s="2" t="s">
        <v>108</v>
      </c>
      <c r="AU48" s="2" t="s">
        <v>95</v>
      </c>
      <c r="AV48" s="2" t="s">
        <v>65</v>
      </c>
      <c r="AW48" s="2">
        <v>560096</v>
      </c>
      <c r="AX48" s="2" t="s">
        <v>3970</v>
      </c>
      <c r="AY48" s="2" t="s">
        <v>3971</v>
      </c>
      <c r="AZ48" s="2">
        <v>9686696696</v>
      </c>
      <c r="BA48" s="2">
        <v>9448892733</v>
      </c>
      <c r="BB48" s="2">
        <v>9141228621</v>
      </c>
      <c r="BD48" s="3" t="s">
        <v>3972</v>
      </c>
      <c r="BE48" s="2" t="s">
        <v>3382</v>
      </c>
      <c r="BF48" s="2" t="s">
        <v>37</v>
      </c>
    </row>
    <row r="49" spans="1:58" s="2" customFormat="1" ht="80.099999999999994" customHeight="1" x14ac:dyDescent="0.25">
      <c r="A49" s="2">
        <v>47</v>
      </c>
      <c r="B49" s="6">
        <v>844</v>
      </c>
      <c r="C49" s="6" t="s">
        <v>4444</v>
      </c>
      <c r="D49" s="6" t="s">
        <v>278</v>
      </c>
      <c r="F49" s="8" t="s">
        <v>3962</v>
      </c>
      <c r="G49" s="6" t="s">
        <v>38</v>
      </c>
      <c r="H49" s="6" t="s">
        <v>35</v>
      </c>
      <c r="I49" s="2" t="s">
        <v>68</v>
      </c>
      <c r="J49" s="2" t="s">
        <v>36</v>
      </c>
      <c r="K49" s="2" t="s">
        <v>207</v>
      </c>
      <c r="L49" s="2" t="s">
        <v>82</v>
      </c>
      <c r="M49" s="2" t="s">
        <v>3974</v>
      </c>
      <c r="N49" s="2" t="s">
        <v>2153</v>
      </c>
      <c r="O49" s="2" t="s">
        <v>83</v>
      </c>
      <c r="P49" s="2" t="s">
        <v>73</v>
      </c>
      <c r="Q49" s="2" t="s">
        <v>185</v>
      </c>
      <c r="R49" s="2">
        <v>1807221891</v>
      </c>
      <c r="S49" s="2">
        <v>2018</v>
      </c>
      <c r="T49" s="2" t="s">
        <v>89</v>
      </c>
      <c r="U49" s="2" t="s">
        <v>37</v>
      </c>
      <c r="V49" s="2" t="s">
        <v>215</v>
      </c>
      <c r="W49" s="2">
        <v>639</v>
      </c>
      <c r="X49" s="2">
        <f>W49/1000*100</f>
        <v>63.9</v>
      </c>
      <c r="Y49" s="2">
        <f>81+40+46+39+28+33+29+29</f>
        <v>325</v>
      </c>
      <c r="Z49" s="2">
        <v>530</v>
      </c>
      <c r="AA49" s="2">
        <f t="shared" si="3"/>
        <v>61.320754716981128</v>
      </c>
      <c r="AB49" s="2">
        <f>55+46+41+32+46+39+28+33+29+29</f>
        <v>378</v>
      </c>
      <c r="AC49" s="2">
        <v>600</v>
      </c>
      <c r="AD49" s="2">
        <f t="shared" si="4"/>
        <v>63</v>
      </c>
      <c r="AG49" s="2" t="s">
        <v>3973</v>
      </c>
      <c r="AL49" s="2" t="s">
        <v>3975</v>
      </c>
      <c r="AM49" s="2" t="s">
        <v>99</v>
      </c>
      <c r="AN49" s="2" t="s">
        <v>3976</v>
      </c>
      <c r="AO49" s="2" t="s">
        <v>67</v>
      </c>
      <c r="AP49" s="2">
        <v>200000</v>
      </c>
      <c r="AQ49" s="2" t="s">
        <v>3977</v>
      </c>
      <c r="AR49" s="4" t="s">
        <v>3978</v>
      </c>
      <c r="AS49" s="2" t="s">
        <v>3979</v>
      </c>
      <c r="AT49" s="2" t="s">
        <v>2153</v>
      </c>
      <c r="AU49" s="2" t="s">
        <v>422</v>
      </c>
      <c r="AV49" s="2" t="s">
        <v>215</v>
      </c>
      <c r="AW49" s="2">
        <v>532357</v>
      </c>
      <c r="AX49" s="2" t="s">
        <v>3979</v>
      </c>
      <c r="AZ49" s="2">
        <v>7396938804</v>
      </c>
      <c r="BA49" s="2">
        <v>9849815010</v>
      </c>
      <c r="BB49" s="2">
        <v>7386774380</v>
      </c>
      <c r="BD49" s="3" t="s">
        <v>3980</v>
      </c>
      <c r="BE49" s="2" t="s">
        <v>3981</v>
      </c>
      <c r="BF49" s="2" t="s">
        <v>3982</v>
      </c>
    </row>
    <row r="50" spans="1:58" s="2" customFormat="1" ht="80.099999999999994" customHeight="1" x14ac:dyDescent="0.25">
      <c r="A50" s="2">
        <v>48</v>
      </c>
      <c r="B50" s="6">
        <v>889</v>
      </c>
      <c r="C50" s="6" t="s">
        <v>4444</v>
      </c>
      <c r="D50" s="6" t="s">
        <v>278</v>
      </c>
      <c r="F50" s="8" t="s">
        <v>3991</v>
      </c>
      <c r="G50" s="6" t="s">
        <v>38</v>
      </c>
      <c r="H50" s="6" t="s">
        <v>35</v>
      </c>
      <c r="I50" s="2" t="s">
        <v>68</v>
      </c>
      <c r="J50" s="2" t="s">
        <v>36</v>
      </c>
      <c r="K50" s="2" t="s">
        <v>4010</v>
      </c>
      <c r="L50" s="2" t="s">
        <v>82</v>
      </c>
      <c r="M50" s="2" t="s">
        <v>4011</v>
      </c>
      <c r="N50" s="2" t="s">
        <v>4012</v>
      </c>
      <c r="O50" s="2" t="s">
        <v>561</v>
      </c>
      <c r="P50" s="2" t="s">
        <v>3053</v>
      </c>
      <c r="Q50" s="2" t="s">
        <v>63</v>
      </c>
      <c r="R50" s="2">
        <v>101295</v>
      </c>
      <c r="S50" s="2">
        <v>2018</v>
      </c>
      <c r="T50" s="2" t="s">
        <v>64</v>
      </c>
      <c r="U50" s="2" t="s">
        <v>65</v>
      </c>
      <c r="V50" s="2" t="s">
        <v>37</v>
      </c>
      <c r="W50" s="2" t="s">
        <v>37</v>
      </c>
      <c r="X50" s="2" t="s">
        <v>37</v>
      </c>
      <c r="Y50" s="2">
        <v>374</v>
      </c>
      <c r="Z50" s="2">
        <v>600</v>
      </c>
      <c r="AA50" s="2">
        <f t="shared" si="3"/>
        <v>62.333333333333329</v>
      </c>
      <c r="AB50" s="2">
        <f>59+52+35</f>
        <v>146</v>
      </c>
      <c r="AC50" s="2">
        <v>300</v>
      </c>
      <c r="AD50" s="2">
        <f t="shared" si="4"/>
        <v>48.666666666666671</v>
      </c>
      <c r="AE50" s="2" t="s">
        <v>4013</v>
      </c>
      <c r="AF50" s="2" t="s">
        <v>3927</v>
      </c>
      <c r="AG50" s="2" t="s">
        <v>4000</v>
      </c>
      <c r="AH50" s="2">
        <v>10000</v>
      </c>
      <c r="AI50" s="2">
        <v>200000</v>
      </c>
      <c r="AJ50" s="2">
        <v>27500</v>
      </c>
      <c r="AK50" s="2">
        <f t="shared" ref="AK50:AK57" si="6">AH50+AI50+AJ50</f>
        <v>237500</v>
      </c>
      <c r="AL50" s="2" t="s">
        <v>4014</v>
      </c>
      <c r="AM50" s="2" t="s">
        <v>78</v>
      </c>
      <c r="AN50" s="2" t="s">
        <v>4015</v>
      </c>
      <c r="AO50" s="2" t="s">
        <v>4016</v>
      </c>
      <c r="AP50" s="2">
        <v>1400000</v>
      </c>
      <c r="AQ50" s="2" t="s">
        <v>4017</v>
      </c>
      <c r="AR50" s="4" t="s">
        <v>4018</v>
      </c>
      <c r="AS50" s="2" t="s">
        <v>4019</v>
      </c>
      <c r="AT50" s="2" t="s">
        <v>4020</v>
      </c>
      <c r="AU50" s="2" t="s">
        <v>95</v>
      </c>
      <c r="AV50" s="2" t="s">
        <v>65</v>
      </c>
      <c r="AW50" s="2">
        <v>560078</v>
      </c>
      <c r="AX50" s="2" t="s">
        <v>4019</v>
      </c>
      <c r="AY50" s="2" t="s">
        <v>4021</v>
      </c>
      <c r="AZ50" s="2">
        <v>8660065310</v>
      </c>
      <c r="BA50" s="2">
        <v>7795496870</v>
      </c>
      <c r="BB50" s="2">
        <v>9972342472</v>
      </c>
      <c r="BC50" s="3" t="s">
        <v>4022</v>
      </c>
      <c r="BD50" s="3" t="s">
        <v>4023</v>
      </c>
      <c r="BE50" s="2" t="s">
        <v>866</v>
      </c>
      <c r="BF50" s="2" t="s">
        <v>491</v>
      </c>
    </row>
    <row r="51" spans="1:58" s="2" customFormat="1" ht="80.099999999999994" customHeight="1" x14ac:dyDescent="0.25">
      <c r="A51" s="2">
        <v>49</v>
      </c>
      <c r="B51" s="6">
        <v>898</v>
      </c>
      <c r="C51" s="6" t="s">
        <v>4444</v>
      </c>
      <c r="D51" s="2" t="s">
        <v>278</v>
      </c>
      <c r="F51" s="7" t="s">
        <v>3998</v>
      </c>
      <c r="G51" s="2" t="s">
        <v>38</v>
      </c>
      <c r="H51" s="2" t="s">
        <v>35</v>
      </c>
      <c r="I51" s="2" t="s">
        <v>68</v>
      </c>
      <c r="J51" s="2" t="s">
        <v>36</v>
      </c>
      <c r="K51" s="2" t="s">
        <v>4054</v>
      </c>
      <c r="L51" s="2" t="s">
        <v>82</v>
      </c>
      <c r="M51" s="2" t="s">
        <v>2543</v>
      </c>
      <c r="N51" s="2" t="s">
        <v>4055</v>
      </c>
      <c r="O51" s="2" t="s">
        <v>226</v>
      </c>
      <c r="P51" s="2" t="s">
        <v>85</v>
      </c>
      <c r="Q51" s="2" t="s">
        <v>185</v>
      </c>
      <c r="R51" s="2" t="s">
        <v>4056</v>
      </c>
      <c r="S51" s="2">
        <v>2018</v>
      </c>
      <c r="T51" s="2" t="s">
        <v>1099</v>
      </c>
      <c r="U51" s="2" t="s">
        <v>37</v>
      </c>
      <c r="V51" s="2" t="s">
        <v>1100</v>
      </c>
      <c r="W51" s="2" t="s">
        <v>37</v>
      </c>
      <c r="X51" s="2" t="s">
        <v>37</v>
      </c>
      <c r="Y51" s="2">
        <v>494</v>
      </c>
      <c r="Z51" s="2">
        <v>650</v>
      </c>
      <c r="AA51" s="2">
        <f t="shared" si="3"/>
        <v>76</v>
      </c>
      <c r="AB51" s="2">
        <f>78+67+69</f>
        <v>214</v>
      </c>
      <c r="AC51" s="2">
        <v>300</v>
      </c>
      <c r="AD51" s="2">
        <f t="shared" si="4"/>
        <v>71.333333333333343</v>
      </c>
      <c r="AE51" s="2" t="s">
        <v>4057</v>
      </c>
      <c r="AF51" s="2" t="s">
        <v>3984</v>
      </c>
      <c r="AG51" s="2" t="s">
        <v>4000</v>
      </c>
      <c r="AH51" s="2">
        <v>10000</v>
      </c>
      <c r="AI51" s="2">
        <v>200000</v>
      </c>
      <c r="AJ51" s="2">
        <v>27500</v>
      </c>
      <c r="AK51" s="2">
        <f t="shared" si="6"/>
        <v>237500</v>
      </c>
      <c r="AL51" s="2" t="s">
        <v>4058</v>
      </c>
      <c r="AM51" s="2" t="s">
        <v>78</v>
      </c>
      <c r="AN51" s="2" t="s">
        <v>4059</v>
      </c>
      <c r="AO51" s="2" t="s">
        <v>187</v>
      </c>
      <c r="AP51" s="2">
        <v>1200000</v>
      </c>
      <c r="AQ51" s="2" t="s">
        <v>4064</v>
      </c>
      <c r="AR51" s="4" t="s">
        <v>4060</v>
      </c>
      <c r="AS51" s="2" t="s">
        <v>4061</v>
      </c>
      <c r="AT51" s="2" t="s">
        <v>3064</v>
      </c>
      <c r="AU51" s="2" t="s">
        <v>908</v>
      </c>
      <c r="AV51" s="2" t="s">
        <v>1101</v>
      </c>
      <c r="AW51" s="2">
        <v>401303</v>
      </c>
      <c r="AX51" s="2" t="s">
        <v>4062</v>
      </c>
      <c r="AZ51" s="2">
        <v>8806145164</v>
      </c>
      <c r="BA51" s="2">
        <v>9833385413</v>
      </c>
      <c r="BB51" s="2">
        <v>9833705486</v>
      </c>
      <c r="BC51" s="3" t="s">
        <v>4063</v>
      </c>
      <c r="BD51" s="3" t="s">
        <v>4065</v>
      </c>
      <c r="BE51" s="2" t="s">
        <v>1609</v>
      </c>
      <c r="BF51" s="2" t="s">
        <v>230</v>
      </c>
    </row>
    <row r="52" spans="1:58" s="2" customFormat="1" ht="80.099999999999994" customHeight="1" x14ac:dyDescent="0.25">
      <c r="A52" s="2">
        <v>50</v>
      </c>
      <c r="B52" s="6">
        <v>899</v>
      </c>
      <c r="C52" s="6" t="s">
        <v>4444</v>
      </c>
      <c r="D52" s="2" t="s">
        <v>278</v>
      </c>
      <c r="F52" s="7" t="s">
        <v>3995</v>
      </c>
      <c r="G52" s="2" t="s">
        <v>38</v>
      </c>
      <c r="H52" s="2" t="s">
        <v>35</v>
      </c>
      <c r="I52" s="2" t="s">
        <v>68</v>
      </c>
      <c r="J52" s="2" t="s">
        <v>36</v>
      </c>
      <c r="K52" s="2" t="s">
        <v>4066</v>
      </c>
      <c r="L52" s="2" t="s">
        <v>82</v>
      </c>
      <c r="M52" s="2" t="s">
        <v>71</v>
      </c>
      <c r="N52" s="2" t="s">
        <v>969</v>
      </c>
      <c r="O52" s="2" t="s">
        <v>395</v>
      </c>
      <c r="P52" s="2" t="s">
        <v>62</v>
      </c>
      <c r="Q52" s="2" t="s">
        <v>63</v>
      </c>
      <c r="R52" s="2">
        <v>390568</v>
      </c>
      <c r="S52" s="2">
        <v>2018</v>
      </c>
      <c r="T52" s="2" t="s">
        <v>64</v>
      </c>
      <c r="U52" s="2" t="s">
        <v>65</v>
      </c>
      <c r="V52" s="2" t="s">
        <v>37</v>
      </c>
      <c r="W52" s="2" t="s">
        <v>37</v>
      </c>
      <c r="X52" s="2" t="s">
        <v>37</v>
      </c>
      <c r="Y52" s="2">
        <v>477</v>
      </c>
      <c r="Z52" s="2">
        <v>600</v>
      </c>
      <c r="AA52" s="2">
        <f t="shared" si="3"/>
        <v>79.5</v>
      </c>
      <c r="AB52" s="2">
        <f>77+82+71</f>
        <v>230</v>
      </c>
      <c r="AC52" s="2">
        <v>300</v>
      </c>
      <c r="AD52" s="2">
        <f t="shared" si="4"/>
        <v>76.666666666666671</v>
      </c>
      <c r="AE52" s="2" t="s">
        <v>4067</v>
      </c>
      <c r="AF52" s="2" t="s">
        <v>4000</v>
      </c>
      <c r="AG52" s="2" t="s">
        <v>4000</v>
      </c>
      <c r="AH52" s="2">
        <v>10000</v>
      </c>
      <c r="AI52" s="2">
        <v>200000</v>
      </c>
      <c r="AJ52" s="2">
        <v>27500</v>
      </c>
      <c r="AK52" s="2">
        <f t="shared" si="6"/>
        <v>237500</v>
      </c>
      <c r="AL52" s="2" t="s">
        <v>4068</v>
      </c>
      <c r="AM52" s="2" t="s">
        <v>4069</v>
      </c>
      <c r="AN52" s="2" t="s">
        <v>4070</v>
      </c>
      <c r="AO52" s="2" t="s">
        <v>4071</v>
      </c>
      <c r="AP52" s="2">
        <v>2500000</v>
      </c>
      <c r="AQ52" s="2" t="s">
        <v>4072</v>
      </c>
      <c r="AR52" s="4" t="s">
        <v>4073</v>
      </c>
      <c r="AS52" s="2" t="s">
        <v>4074</v>
      </c>
      <c r="AT52" s="2" t="s">
        <v>4075</v>
      </c>
      <c r="AU52" s="2" t="s">
        <v>969</v>
      </c>
      <c r="AV52" s="2" t="s">
        <v>1101</v>
      </c>
      <c r="AW52" s="2">
        <v>400059</v>
      </c>
      <c r="AX52" s="2" t="s">
        <v>4074</v>
      </c>
      <c r="AZ52" s="2">
        <v>9108549009</v>
      </c>
      <c r="BA52" s="2">
        <v>9820035424</v>
      </c>
      <c r="BB52" s="2">
        <v>9769933908</v>
      </c>
      <c r="BC52" s="3" t="s">
        <v>4076</v>
      </c>
      <c r="BD52" s="3" t="s">
        <v>4077</v>
      </c>
      <c r="BE52" s="2" t="s">
        <v>3382</v>
      </c>
      <c r="BF52" s="2" t="s">
        <v>37</v>
      </c>
    </row>
    <row r="53" spans="1:58" s="6" customFormat="1" ht="80.099999999999994" customHeight="1" x14ac:dyDescent="0.25">
      <c r="A53" s="2">
        <v>51</v>
      </c>
      <c r="B53" s="6">
        <v>946</v>
      </c>
      <c r="C53" s="6" t="s">
        <v>4444</v>
      </c>
      <c r="D53" s="6" t="s">
        <v>278</v>
      </c>
      <c r="F53" s="8" t="s">
        <v>4229</v>
      </c>
      <c r="G53" s="6" t="s">
        <v>38</v>
      </c>
      <c r="H53" s="6" t="s">
        <v>35</v>
      </c>
      <c r="I53" s="6" t="s">
        <v>68</v>
      </c>
      <c r="J53" s="6" t="s">
        <v>36</v>
      </c>
      <c r="K53" s="6" t="s">
        <v>285</v>
      </c>
      <c r="L53" s="6" t="s">
        <v>286</v>
      </c>
      <c r="M53" s="6" t="s">
        <v>4261</v>
      </c>
      <c r="N53" s="6" t="s">
        <v>215</v>
      </c>
      <c r="O53" s="6" t="s">
        <v>83</v>
      </c>
      <c r="P53" s="6" t="s">
        <v>85</v>
      </c>
      <c r="Q53" s="6" t="s">
        <v>185</v>
      </c>
      <c r="R53" s="6">
        <v>1805228621</v>
      </c>
      <c r="S53" s="6">
        <v>2018</v>
      </c>
      <c r="T53" s="6" t="s">
        <v>89</v>
      </c>
      <c r="U53" s="6" t="s">
        <v>37</v>
      </c>
      <c r="V53" s="6" t="s">
        <v>215</v>
      </c>
      <c r="W53" s="6">
        <v>922</v>
      </c>
      <c r="X53" s="6">
        <f>W53/1000*100</f>
        <v>92.2</v>
      </c>
      <c r="Y53" s="6">
        <f>89+94+69+61+59+57+30+25</f>
        <v>484</v>
      </c>
      <c r="Z53" s="6">
        <v>530</v>
      </c>
      <c r="AA53" s="6">
        <f t="shared" si="3"/>
        <v>91.320754716981128</v>
      </c>
      <c r="AB53" s="6">
        <f>60+71+60+56+69+61+59+57+30+25</f>
        <v>548</v>
      </c>
      <c r="AC53" s="6">
        <v>600</v>
      </c>
      <c r="AD53" s="6">
        <f t="shared" si="4"/>
        <v>91.333333333333329</v>
      </c>
      <c r="AE53" s="6" t="s">
        <v>4262</v>
      </c>
      <c r="AF53" s="6" t="s">
        <v>4212</v>
      </c>
      <c r="AG53" s="6" t="s">
        <v>4260</v>
      </c>
      <c r="AH53" s="6">
        <v>10000</v>
      </c>
      <c r="AI53" s="6">
        <v>200000</v>
      </c>
      <c r="AJ53" s="6">
        <v>27500</v>
      </c>
      <c r="AK53" s="6">
        <f t="shared" si="6"/>
        <v>237500</v>
      </c>
      <c r="AL53" s="6" t="s">
        <v>4263</v>
      </c>
      <c r="AM53" s="6" t="s">
        <v>99</v>
      </c>
      <c r="AN53" s="6" t="s">
        <v>4264</v>
      </c>
      <c r="AO53" s="6" t="s">
        <v>115</v>
      </c>
      <c r="AP53" s="6">
        <v>300000</v>
      </c>
      <c r="AQ53" s="6" t="s">
        <v>4265</v>
      </c>
      <c r="AR53" s="13" t="s">
        <v>4266</v>
      </c>
      <c r="AS53" s="6" t="s">
        <v>4267</v>
      </c>
      <c r="AT53" s="6" t="s">
        <v>4268</v>
      </c>
      <c r="AU53" s="6" t="s">
        <v>256</v>
      </c>
      <c r="AV53" s="6" t="s">
        <v>215</v>
      </c>
      <c r="AW53" s="6">
        <v>522503</v>
      </c>
      <c r="AX53" s="6" t="s">
        <v>4267</v>
      </c>
      <c r="AZ53" s="6">
        <v>6300614175</v>
      </c>
      <c r="BA53" s="6">
        <v>9949231079</v>
      </c>
      <c r="BB53" s="6">
        <v>9704778062</v>
      </c>
      <c r="BC53" s="14" t="s">
        <v>4269</v>
      </c>
      <c r="BD53" s="14" t="s">
        <v>4270</v>
      </c>
      <c r="BE53" s="6" t="s">
        <v>4271</v>
      </c>
      <c r="BF53" s="6" t="s">
        <v>4272</v>
      </c>
    </row>
    <row r="54" spans="1:58" s="6" customFormat="1" ht="80.099999999999994" customHeight="1" x14ac:dyDescent="0.25">
      <c r="A54" s="2">
        <v>52</v>
      </c>
      <c r="B54" s="6">
        <v>947</v>
      </c>
      <c r="C54" s="6" t="s">
        <v>4444</v>
      </c>
      <c r="D54" s="6" t="s">
        <v>278</v>
      </c>
      <c r="F54" s="8" t="s">
        <v>4230</v>
      </c>
      <c r="G54" s="6" t="s">
        <v>4200</v>
      </c>
      <c r="H54" s="6" t="s">
        <v>35</v>
      </c>
      <c r="I54" s="6" t="s">
        <v>68</v>
      </c>
      <c r="J54" s="6" t="s">
        <v>36</v>
      </c>
      <c r="K54" s="6" t="s">
        <v>4273</v>
      </c>
      <c r="L54" s="6" t="s">
        <v>82</v>
      </c>
      <c r="M54" s="6" t="s">
        <v>1387</v>
      </c>
      <c r="N54" s="6" t="s">
        <v>95</v>
      </c>
      <c r="O54" s="6" t="s">
        <v>72</v>
      </c>
      <c r="P54" s="6" t="s">
        <v>73</v>
      </c>
      <c r="Q54" s="6" t="s">
        <v>185</v>
      </c>
      <c r="R54" s="6">
        <v>4626342</v>
      </c>
      <c r="S54" s="6">
        <v>2018</v>
      </c>
      <c r="T54" s="6" t="s">
        <v>616</v>
      </c>
      <c r="U54" s="6" t="s">
        <v>65</v>
      </c>
      <c r="V54" s="6" t="s">
        <v>37</v>
      </c>
      <c r="W54" s="6" t="s">
        <v>37</v>
      </c>
      <c r="X54" s="6" t="s">
        <v>37</v>
      </c>
      <c r="Y54" s="6">
        <f>88+62+51+34+60</f>
        <v>295</v>
      </c>
      <c r="Z54" s="6">
        <v>500</v>
      </c>
      <c r="AA54" s="6">
        <f t="shared" si="3"/>
        <v>59</v>
      </c>
      <c r="AB54" s="6">
        <f>62+51+34</f>
        <v>147</v>
      </c>
      <c r="AC54" s="6">
        <v>300</v>
      </c>
      <c r="AD54" s="6">
        <f t="shared" si="4"/>
        <v>49</v>
      </c>
      <c r="AE54" s="6" t="s">
        <v>4274</v>
      </c>
      <c r="AF54" s="6" t="s">
        <v>4190</v>
      </c>
      <c r="AG54" s="6" t="s">
        <v>4260</v>
      </c>
      <c r="AH54" s="6">
        <v>10000</v>
      </c>
      <c r="AI54" s="6">
        <v>200000</v>
      </c>
      <c r="AJ54" s="6">
        <v>27500</v>
      </c>
      <c r="AK54" s="6">
        <f t="shared" si="6"/>
        <v>237500</v>
      </c>
      <c r="AL54" s="6" t="s">
        <v>4275</v>
      </c>
      <c r="AM54" s="6" t="s">
        <v>78</v>
      </c>
      <c r="AN54" s="6" t="s">
        <v>4276</v>
      </c>
      <c r="AO54" s="6" t="s">
        <v>912</v>
      </c>
      <c r="AP54" s="6">
        <v>1500000</v>
      </c>
      <c r="AQ54" s="6" t="s">
        <v>4277</v>
      </c>
      <c r="AR54" s="13" t="s">
        <v>4278</v>
      </c>
      <c r="AS54" s="6" t="s">
        <v>4279</v>
      </c>
      <c r="AT54" s="6" t="s">
        <v>4280</v>
      </c>
      <c r="AU54" s="6" t="s">
        <v>95</v>
      </c>
      <c r="AV54" s="6" t="s">
        <v>65</v>
      </c>
      <c r="AW54" s="6">
        <v>560078</v>
      </c>
      <c r="AX54" s="6" t="s">
        <v>4279</v>
      </c>
      <c r="AZ54" s="6">
        <v>9845516188</v>
      </c>
      <c r="BA54" s="6">
        <v>9880336638</v>
      </c>
      <c r="BB54" s="6">
        <v>9945245282</v>
      </c>
      <c r="BC54" s="14" t="s">
        <v>4281</v>
      </c>
      <c r="BD54" s="14" t="s">
        <v>4282</v>
      </c>
      <c r="BE54" s="6" t="s">
        <v>4320</v>
      </c>
      <c r="BF54" s="6" t="s">
        <v>144</v>
      </c>
    </row>
    <row r="55" spans="1:58" s="2" customFormat="1" ht="80.099999999999994" customHeight="1" x14ac:dyDescent="0.25">
      <c r="A55" s="2">
        <v>53</v>
      </c>
      <c r="B55" s="6">
        <v>701</v>
      </c>
      <c r="C55" s="6" t="s">
        <v>4444</v>
      </c>
      <c r="D55" s="6" t="s">
        <v>278</v>
      </c>
      <c r="F55" s="8" t="s">
        <v>3369</v>
      </c>
      <c r="G55" s="6" t="s">
        <v>91</v>
      </c>
      <c r="H55" s="6" t="s">
        <v>35</v>
      </c>
      <c r="I55" s="2" t="s">
        <v>68</v>
      </c>
      <c r="J55" s="2" t="s">
        <v>36</v>
      </c>
      <c r="K55" s="2" t="s">
        <v>2337</v>
      </c>
      <c r="L55" s="2" t="s">
        <v>70</v>
      </c>
      <c r="M55" s="2" t="s">
        <v>586</v>
      </c>
      <c r="N55" s="2" t="s">
        <v>2136</v>
      </c>
      <c r="O55" s="2" t="s">
        <v>795</v>
      </c>
      <c r="P55" s="2" t="s">
        <v>85</v>
      </c>
      <c r="Q55" s="2" t="s">
        <v>185</v>
      </c>
      <c r="R55" s="2">
        <v>4831495</v>
      </c>
      <c r="S55" s="2">
        <v>2018</v>
      </c>
      <c r="T55" s="2" t="s">
        <v>616</v>
      </c>
      <c r="U55" s="2" t="s">
        <v>37</v>
      </c>
      <c r="V55" s="2" t="s">
        <v>794</v>
      </c>
      <c r="W55" s="2" t="s">
        <v>37</v>
      </c>
      <c r="X55" s="2" t="s">
        <v>37</v>
      </c>
      <c r="Y55" s="2">
        <f>93+66+70+81+93</f>
        <v>403</v>
      </c>
      <c r="Z55" s="2">
        <v>500</v>
      </c>
      <c r="AA55" s="2">
        <f t="shared" si="3"/>
        <v>80.600000000000009</v>
      </c>
      <c r="AB55" s="2">
        <f>66+70+81</f>
        <v>217</v>
      </c>
      <c r="AC55" s="2">
        <v>300</v>
      </c>
      <c r="AD55" s="2">
        <f t="shared" si="4"/>
        <v>72.333333333333343</v>
      </c>
      <c r="AE55" s="2" t="s">
        <v>3406</v>
      </c>
      <c r="AF55" s="2" t="s">
        <v>718</v>
      </c>
      <c r="AG55" s="2" t="s">
        <v>3319</v>
      </c>
      <c r="AH55" s="2">
        <v>10000</v>
      </c>
      <c r="AI55" s="2">
        <v>180000</v>
      </c>
      <c r="AJ55" s="2">
        <v>27500</v>
      </c>
      <c r="AK55" s="2">
        <f t="shared" si="6"/>
        <v>217500</v>
      </c>
      <c r="AL55" s="2" t="s">
        <v>3407</v>
      </c>
      <c r="AM55" s="2" t="s">
        <v>87</v>
      </c>
      <c r="AN55" s="2" t="s">
        <v>3408</v>
      </c>
      <c r="AO55" s="2" t="s">
        <v>139</v>
      </c>
      <c r="AP55" s="2">
        <v>600000</v>
      </c>
      <c r="AQ55" s="2" t="s">
        <v>3409</v>
      </c>
      <c r="AR55" s="4" t="s">
        <v>3410</v>
      </c>
      <c r="AS55" s="2" t="s">
        <v>3413</v>
      </c>
      <c r="AT55" s="2" t="s">
        <v>3411</v>
      </c>
      <c r="AU55" s="2" t="s">
        <v>2136</v>
      </c>
      <c r="AV55" s="2" t="s">
        <v>794</v>
      </c>
      <c r="AW55" s="2">
        <v>678543</v>
      </c>
      <c r="AX55" s="2" t="s">
        <v>3413</v>
      </c>
      <c r="AY55" s="2" t="s">
        <v>37</v>
      </c>
      <c r="AZ55" s="2">
        <v>9539675887</v>
      </c>
      <c r="BA55" s="2">
        <v>9447834708</v>
      </c>
      <c r="BB55" s="2">
        <v>9496596394</v>
      </c>
      <c r="BC55" s="3" t="s">
        <v>3412</v>
      </c>
      <c r="BD55" s="3" t="s">
        <v>3414</v>
      </c>
      <c r="BE55" s="2" t="s">
        <v>1862</v>
      </c>
      <c r="BF55" s="2" t="s">
        <v>37</v>
      </c>
    </row>
    <row r="56" spans="1:58" s="2" customFormat="1" ht="80.099999999999994" customHeight="1" x14ac:dyDescent="0.25">
      <c r="A56" s="2">
        <v>54</v>
      </c>
      <c r="B56" s="6">
        <v>453</v>
      </c>
      <c r="C56" s="6" t="s">
        <v>4444</v>
      </c>
      <c r="D56" s="6" t="s">
        <v>278</v>
      </c>
      <c r="F56" s="8" t="s">
        <v>2301</v>
      </c>
      <c r="G56" s="6" t="s">
        <v>38</v>
      </c>
      <c r="H56" s="6" t="s">
        <v>35</v>
      </c>
      <c r="I56" s="2" t="s">
        <v>68</v>
      </c>
      <c r="J56" s="2" t="s">
        <v>36</v>
      </c>
      <c r="K56" s="2" t="s">
        <v>2303</v>
      </c>
      <c r="L56" s="2" t="s">
        <v>82</v>
      </c>
      <c r="M56" s="2" t="s">
        <v>1509</v>
      </c>
      <c r="N56" s="2" t="s">
        <v>225</v>
      </c>
      <c r="O56" s="2" t="s">
        <v>226</v>
      </c>
      <c r="P56" s="2" t="s">
        <v>73</v>
      </c>
      <c r="Q56" s="2" t="s">
        <v>185</v>
      </c>
      <c r="R56" s="2" t="s">
        <v>2304</v>
      </c>
      <c r="S56" s="2">
        <v>2018</v>
      </c>
      <c r="T56" s="2" t="s">
        <v>227</v>
      </c>
      <c r="U56" s="2" t="s">
        <v>37</v>
      </c>
      <c r="V56" s="2" t="s">
        <v>1116</v>
      </c>
      <c r="W56" s="2" t="s">
        <v>37</v>
      </c>
      <c r="X56" s="2" t="s">
        <v>37</v>
      </c>
      <c r="Y56" s="2">
        <v>370</v>
      </c>
      <c r="Z56" s="2">
        <v>650</v>
      </c>
      <c r="AA56" s="2">
        <f t="shared" si="3"/>
        <v>56.92307692307692</v>
      </c>
      <c r="AB56" s="2">
        <f>40+39+45+50+45</f>
        <v>219</v>
      </c>
      <c r="AC56" s="2">
        <v>400</v>
      </c>
      <c r="AD56" s="2">
        <f t="shared" si="4"/>
        <v>54.75</v>
      </c>
      <c r="AE56" s="2" t="s">
        <v>4351</v>
      </c>
      <c r="AF56" s="2" t="s">
        <v>4352</v>
      </c>
      <c r="AG56" s="2" t="s">
        <v>2275</v>
      </c>
      <c r="AH56" s="2">
        <v>10000</v>
      </c>
      <c r="AI56" s="2">
        <v>200000</v>
      </c>
      <c r="AJ56" s="2">
        <v>27500</v>
      </c>
      <c r="AK56" s="2">
        <f t="shared" si="6"/>
        <v>237500</v>
      </c>
      <c r="AL56" s="2" t="s">
        <v>2305</v>
      </c>
      <c r="AM56" s="2" t="s">
        <v>1239</v>
      </c>
      <c r="AN56" s="2" t="s">
        <v>2306</v>
      </c>
      <c r="AO56" s="2" t="s">
        <v>1239</v>
      </c>
      <c r="AP56" s="2">
        <v>540000</v>
      </c>
      <c r="AQ56" s="2" t="s">
        <v>2313</v>
      </c>
      <c r="AR56" s="4" t="s">
        <v>2307</v>
      </c>
      <c r="AS56" s="2" t="s">
        <v>2309</v>
      </c>
      <c r="AT56" s="2" t="s">
        <v>2308</v>
      </c>
      <c r="AU56" s="2" t="s">
        <v>225</v>
      </c>
      <c r="AV56" s="2" t="s">
        <v>229</v>
      </c>
      <c r="AW56" s="2">
        <v>3900066</v>
      </c>
      <c r="AX56" s="2" t="s">
        <v>2309</v>
      </c>
      <c r="AY56" s="2" t="s">
        <v>2310</v>
      </c>
      <c r="AZ56" s="2">
        <v>6353607481</v>
      </c>
      <c r="BA56" s="2">
        <v>7874822909</v>
      </c>
      <c r="BB56" s="2">
        <v>9725334007</v>
      </c>
      <c r="BC56" s="3" t="s">
        <v>2311</v>
      </c>
      <c r="BD56" s="3" t="s">
        <v>2312</v>
      </c>
      <c r="BE56" s="2" t="s">
        <v>1862</v>
      </c>
      <c r="BF56" s="2" t="s">
        <v>37</v>
      </c>
    </row>
    <row r="57" spans="1:58" s="2" customFormat="1" ht="80.099999999999994" customHeight="1" x14ac:dyDescent="0.25">
      <c r="A57" s="2">
        <v>55</v>
      </c>
      <c r="B57" s="6">
        <v>130</v>
      </c>
      <c r="C57" s="6" t="s">
        <v>4444</v>
      </c>
      <c r="D57" s="6" t="s">
        <v>278</v>
      </c>
      <c r="F57" s="8" t="s">
        <v>722</v>
      </c>
      <c r="G57" s="6" t="s">
        <v>38</v>
      </c>
      <c r="H57" s="6" t="s">
        <v>35</v>
      </c>
      <c r="I57" s="2" t="s">
        <v>68</v>
      </c>
      <c r="J57" s="2" t="s">
        <v>36</v>
      </c>
      <c r="K57" s="2" t="s">
        <v>765</v>
      </c>
      <c r="L57" s="2" t="s">
        <v>136</v>
      </c>
      <c r="M57" s="2" t="s">
        <v>766</v>
      </c>
      <c r="N57" s="2" t="s">
        <v>143</v>
      </c>
      <c r="O57" s="2" t="s">
        <v>61</v>
      </c>
      <c r="P57" s="2" t="s">
        <v>137</v>
      </c>
      <c r="Q57" s="2" t="s">
        <v>185</v>
      </c>
      <c r="R57" s="4" t="s">
        <v>767</v>
      </c>
      <c r="S57" s="2">
        <v>2017</v>
      </c>
      <c r="T57" s="2" t="s">
        <v>768</v>
      </c>
      <c r="U57" s="2" t="s">
        <v>65</v>
      </c>
      <c r="V57" s="2" t="s">
        <v>37</v>
      </c>
      <c r="W57" s="2" t="s">
        <v>37</v>
      </c>
      <c r="X57" s="2" t="s">
        <v>37</v>
      </c>
      <c r="Y57" s="2">
        <v>400</v>
      </c>
      <c r="Z57" s="2">
        <v>600</v>
      </c>
      <c r="AA57" s="2">
        <f t="shared" si="3"/>
        <v>66.666666666666657</v>
      </c>
      <c r="AB57" s="2">
        <f>65+68+70</f>
        <v>203</v>
      </c>
      <c r="AC57" s="2">
        <v>300</v>
      </c>
      <c r="AD57" s="2">
        <f t="shared" si="4"/>
        <v>67.666666666666657</v>
      </c>
      <c r="AE57" s="2" t="s">
        <v>769</v>
      </c>
      <c r="AF57" s="2" t="s">
        <v>718</v>
      </c>
      <c r="AG57" s="2" t="s">
        <v>718</v>
      </c>
      <c r="AH57" s="2">
        <v>10000</v>
      </c>
      <c r="AI57" s="2">
        <v>200000</v>
      </c>
      <c r="AJ57" s="2">
        <v>27500</v>
      </c>
      <c r="AK57" s="2">
        <f t="shared" si="6"/>
        <v>237500</v>
      </c>
      <c r="AL57" s="2" t="s">
        <v>770</v>
      </c>
      <c r="AM57" s="2" t="s">
        <v>771</v>
      </c>
      <c r="AN57" s="2" t="s">
        <v>772</v>
      </c>
      <c r="AO57" s="2" t="s">
        <v>37</v>
      </c>
      <c r="AP57" s="2">
        <v>237600</v>
      </c>
      <c r="AQ57" s="2" t="s">
        <v>773</v>
      </c>
      <c r="AR57" s="4" t="s">
        <v>774</v>
      </c>
      <c r="AS57" s="2" t="s">
        <v>779</v>
      </c>
      <c r="AT57" s="2" t="s">
        <v>780</v>
      </c>
      <c r="AU57" s="2" t="s">
        <v>95</v>
      </c>
      <c r="AV57" s="2" t="s">
        <v>65</v>
      </c>
      <c r="AW57" s="2">
        <v>560086</v>
      </c>
      <c r="AX57" s="2" t="s">
        <v>775</v>
      </c>
      <c r="AZ57" s="2">
        <v>9731167779</v>
      </c>
      <c r="BA57" s="2">
        <v>9538273801</v>
      </c>
      <c r="BC57" s="3" t="s">
        <v>776</v>
      </c>
      <c r="BD57" s="3" t="s">
        <v>777</v>
      </c>
      <c r="BE57" s="2" t="s">
        <v>778</v>
      </c>
      <c r="BF57" s="2" t="s">
        <v>37</v>
      </c>
    </row>
  </sheetData>
  <mergeCells count="56">
    <mergeCell ref="BE1:BE2"/>
    <mergeCell ref="BF1:BF2"/>
    <mergeCell ref="AY1:AY2"/>
    <mergeCell ref="AZ1:AZ2"/>
    <mergeCell ref="BA1:BA2"/>
    <mergeCell ref="BB1:BB2"/>
    <mergeCell ref="BC1:BC2"/>
    <mergeCell ref="BD1:BD2"/>
    <mergeCell ref="AX1:AX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L1:AL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Z1:Z2"/>
    <mergeCell ref="N1:N2"/>
    <mergeCell ref="O1:O2"/>
    <mergeCell ref="P1:P2"/>
    <mergeCell ref="Q1:Q2"/>
    <mergeCell ref="R1:R2"/>
    <mergeCell ref="S1:S2"/>
    <mergeCell ref="T1:T2"/>
    <mergeCell ref="U1:V1"/>
    <mergeCell ref="W1:W2"/>
    <mergeCell ref="X1:X2"/>
    <mergeCell ref="Y1:Y2"/>
    <mergeCell ref="M1:M2"/>
    <mergeCell ref="A1:A2"/>
    <mergeCell ref="B1:B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hyperlinks>
    <hyperlink ref="BC3" r:id="rId1"/>
    <hyperlink ref="BD3" r:id="rId2"/>
    <hyperlink ref="BC4" r:id="rId3"/>
    <hyperlink ref="BD4" r:id="rId4"/>
    <hyperlink ref="BC5" r:id="rId5"/>
    <hyperlink ref="BD5" r:id="rId6"/>
    <hyperlink ref="BC6" r:id="rId7"/>
    <hyperlink ref="BD7" r:id="rId8"/>
    <hyperlink ref="BD8" r:id="rId9"/>
    <hyperlink ref="BC9" r:id="rId10"/>
    <hyperlink ref="BD9" r:id="rId11"/>
    <hyperlink ref="BD10" r:id="rId12"/>
    <hyperlink ref="BC11" r:id="rId13"/>
    <hyperlink ref="BD11" r:id="rId14"/>
    <hyperlink ref="BC12" r:id="rId15"/>
    <hyperlink ref="BD12" r:id="rId16"/>
    <hyperlink ref="BC13" r:id="rId17"/>
    <hyperlink ref="BD13" r:id="rId18"/>
    <hyperlink ref="BD14" r:id="rId19"/>
    <hyperlink ref="BD15" r:id="rId20"/>
    <hyperlink ref="BC16" r:id="rId21"/>
    <hyperlink ref="BD16" r:id="rId22"/>
    <hyperlink ref="BD17" r:id="rId23"/>
    <hyperlink ref="BC18" r:id="rId24"/>
    <hyperlink ref="BD18" r:id="rId25"/>
    <hyperlink ref="BD19" r:id="rId26"/>
    <hyperlink ref="BC20" r:id="rId27"/>
    <hyperlink ref="BD20" r:id="rId28"/>
    <hyperlink ref="BC21" r:id="rId29"/>
    <hyperlink ref="BD21" r:id="rId30"/>
    <hyperlink ref="BC22" r:id="rId31"/>
    <hyperlink ref="BC23" r:id="rId32"/>
    <hyperlink ref="BD23" r:id="rId33"/>
    <hyperlink ref="BC24" r:id="rId34"/>
    <hyperlink ref="BD24" r:id="rId35"/>
    <hyperlink ref="BD25" r:id="rId36"/>
    <hyperlink ref="BC26" r:id="rId37"/>
    <hyperlink ref="BD26" r:id="rId38"/>
    <hyperlink ref="BC27" r:id="rId39"/>
    <hyperlink ref="BD27" r:id="rId40"/>
    <hyperlink ref="BC28" r:id="rId41"/>
    <hyperlink ref="BD28" r:id="rId42"/>
    <hyperlink ref="BD29" r:id="rId43"/>
    <hyperlink ref="BC30" r:id="rId44"/>
    <hyperlink ref="BD30" r:id="rId45"/>
    <hyperlink ref="BD31" r:id="rId46"/>
    <hyperlink ref="BD32" r:id="rId47"/>
    <hyperlink ref="BC33" r:id="rId48"/>
    <hyperlink ref="BD33" r:id="rId49"/>
    <hyperlink ref="BC34" r:id="rId50"/>
    <hyperlink ref="BD34" r:id="rId51"/>
    <hyperlink ref="BD35" r:id="rId52"/>
    <hyperlink ref="BC36" r:id="rId53"/>
    <hyperlink ref="BD36" r:id="rId54"/>
    <hyperlink ref="BC37" r:id="rId55"/>
    <hyperlink ref="BD37" r:id="rId56"/>
    <hyperlink ref="BD38" r:id="rId57"/>
    <hyperlink ref="BC39" r:id="rId58"/>
    <hyperlink ref="BD39" r:id="rId59"/>
    <hyperlink ref="BC40" r:id="rId60"/>
    <hyperlink ref="BD40" r:id="rId61"/>
    <hyperlink ref="BC41" r:id="rId62"/>
    <hyperlink ref="BD41" r:id="rId63"/>
    <hyperlink ref="BD42" r:id="rId64"/>
    <hyperlink ref="BD43" r:id="rId65"/>
    <hyperlink ref="BD44" r:id="rId66"/>
    <hyperlink ref="BD45" r:id="rId67"/>
    <hyperlink ref="BC46" r:id="rId68"/>
    <hyperlink ref="BD46" r:id="rId69"/>
    <hyperlink ref="BD47" r:id="rId70"/>
    <hyperlink ref="BD48" r:id="rId71"/>
    <hyperlink ref="BD49" r:id="rId72"/>
    <hyperlink ref="BC50" r:id="rId73"/>
    <hyperlink ref="BD50" r:id="rId74"/>
    <hyperlink ref="BC51" r:id="rId75"/>
    <hyperlink ref="BD51" r:id="rId76"/>
    <hyperlink ref="BC52" r:id="rId77"/>
    <hyperlink ref="BD52" r:id="rId78"/>
    <hyperlink ref="BC53" r:id="rId79"/>
    <hyperlink ref="BD53" r:id="rId80"/>
    <hyperlink ref="BC54" r:id="rId81"/>
    <hyperlink ref="BD54" r:id="rId82"/>
    <hyperlink ref="BC55" r:id="rId83"/>
    <hyperlink ref="BD55" r:id="rId84"/>
    <hyperlink ref="BC57" r:id="rId85"/>
    <hyperlink ref="BD57" r:id="rId86"/>
    <hyperlink ref="BC56" r:id="rId87"/>
    <hyperlink ref="BD56" r:id="rId8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BG67"/>
  <sheetViews>
    <sheetView workbookViewId="0">
      <selection activeCell="D3" sqref="D3"/>
    </sheetView>
  </sheetViews>
  <sheetFormatPr defaultRowHeight="15" x14ac:dyDescent="0.25"/>
  <cols>
    <col min="1" max="1" width="5.7109375" style="86" customWidth="1"/>
    <col min="2" max="2" width="9.28515625" style="86" bestFit="1" customWidth="1"/>
    <col min="3" max="5" width="9.140625" style="86"/>
    <col min="6" max="6" width="23.7109375" style="86" customWidth="1"/>
    <col min="7" max="11" width="9.140625" style="86"/>
    <col min="12" max="12" width="9.28515625" style="86" bestFit="1" customWidth="1"/>
    <col min="13" max="17" width="9.140625" style="86"/>
    <col min="18" max="18" width="12.42578125" style="86" bestFit="1" customWidth="1"/>
    <col min="19" max="19" width="9.28515625" style="86" bestFit="1" customWidth="1"/>
    <col min="20" max="22" width="9.140625" style="86"/>
    <col min="23" max="23" width="9.28515625" style="86" bestFit="1" customWidth="1"/>
    <col min="24" max="24" width="13.28515625" style="86" bestFit="1" customWidth="1"/>
    <col min="25" max="26" width="9.28515625" style="86" bestFit="1" customWidth="1"/>
    <col min="27" max="27" width="13.28515625" style="86" bestFit="1" customWidth="1"/>
    <col min="28" max="29" width="9.28515625" style="86" bestFit="1" customWidth="1"/>
    <col min="30" max="30" width="13.28515625" style="86" bestFit="1" customWidth="1"/>
    <col min="31" max="33" width="9.140625" style="86"/>
    <col min="34" max="37" width="9.28515625" style="86" bestFit="1" customWidth="1"/>
    <col min="38" max="41" width="9.140625" style="86"/>
    <col min="42" max="42" width="9.28515625" style="86" bestFit="1" customWidth="1"/>
    <col min="43" max="48" width="9.140625" style="86"/>
    <col min="49" max="49" width="9.28515625" style="86" bestFit="1" customWidth="1"/>
    <col min="50" max="50" width="9.140625" style="86"/>
    <col min="51" max="52" width="12.42578125" style="86" bestFit="1" customWidth="1"/>
    <col min="53" max="54" width="13.7109375" style="86" bestFit="1" customWidth="1"/>
    <col min="55" max="16384" width="9.140625" style="86"/>
  </cols>
  <sheetData>
    <row r="1" spans="1:59" s="44" customFormat="1" ht="30.75" customHeight="1" x14ac:dyDescent="0.25">
      <c r="A1" s="58" t="s">
        <v>34</v>
      </c>
      <c r="B1" s="59" t="s">
        <v>57</v>
      </c>
      <c r="C1" s="60"/>
      <c r="D1" s="61" t="s">
        <v>0</v>
      </c>
      <c r="E1" s="58" t="s">
        <v>28</v>
      </c>
      <c r="F1" s="58" t="s">
        <v>1</v>
      </c>
      <c r="G1" s="61" t="s">
        <v>2</v>
      </c>
      <c r="H1" s="61" t="s">
        <v>3</v>
      </c>
      <c r="I1" s="61" t="s">
        <v>4</v>
      </c>
      <c r="J1" s="61" t="s">
        <v>5</v>
      </c>
      <c r="K1" s="58" t="s">
        <v>6</v>
      </c>
      <c r="L1" s="61" t="s">
        <v>10</v>
      </c>
      <c r="M1" s="62" t="s">
        <v>7</v>
      </c>
      <c r="N1" s="63" t="s">
        <v>8</v>
      </c>
      <c r="O1" s="61" t="s">
        <v>9</v>
      </c>
      <c r="P1" s="58" t="s">
        <v>43</v>
      </c>
      <c r="Q1" s="61" t="s">
        <v>11</v>
      </c>
      <c r="R1" s="64" t="s">
        <v>31</v>
      </c>
      <c r="S1" s="65" t="s">
        <v>12</v>
      </c>
      <c r="T1" s="58" t="s">
        <v>13</v>
      </c>
      <c r="U1" s="66" t="s">
        <v>27</v>
      </c>
      <c r="V1" s="67"/>
      <c r="W1" s="58" t="s">
        <v>44</v>
      </c>
      <c r="X1" s="58" t="s">
        <v>52</v>
      </c>
      <c r="Y1" s="58" t="s">
        <v>32</v>
      </c>
      <c r="Z1" s="61" t="s">
        <v>40</v>
      </c>
      <c r="AA1" s="61" t="s">
        <v>39</v>
      </c>
      <c r="AB1" s="61" t="s">
        <v>14</v>
      </c>
      <c r="AC1" s="58" t="s">
        <v>66</v>
      </c>
      <c r="AD1" s="61" t="s">
        <v>33</v>
      </c>
      <c r="AE1" s="58" t="s">
        <v>42</v>
      </c>
      <c r="AF1" s="61" t="s">
        <v>41</v>
      </c>
      <c r="AG1" s="61" t="s">
        <v>15</v>
      </c>
      <c r="AH1" s="58" t="s">
        <v>55</v>
      </c>
      <c r="AI1" s="58" t="s">
        <v>29</v>
      </c>
      <c r="AJ1" s="58" t="s">
        <v>45</v>
      </c>
      <c r="AK1" s="58" t="s">
        <v>56</v>
      </c>
      <c r="AL1" s="61" t="s">
        <v>16</v>
      </c>
      <c r="AM1" s="58" t="s">
        <v>17</v>
      </c>
      <c r="AN1" s="61" t="s">
        <v>18</v>
      </c>
      <c r="AO1" s="61" t="s">
        <v>17</v>
      </c>
      <c r="AP1" s="61" t="s">
        <v>19</v>
      </c>
      <c r="AQ1" s="61" t="s">
        <v>47</v>
      </c>
      <c r="AR1" s="68" t="s">
        <v>48</v>
      </c>
      <c r="AS1" s="61" t="s">
        <v>46</v>
      </c>
      <c r="AT1" s="61" t="s">
        <v>25</v>
      </c>
      <c r="AU1" s="61" t="s">
        <v>30</v>
      </c>
      <c r="AV1" s="61" t="s">
        <v>27</v>
      </c>
      <c r="AW1" s="61" t="s">
        <v>20</v>
      </c>
      <c r="AX1" s="61" t="s">
        <v>26</v>
      </c>
      <c r="AY1" s="61" t="s">
        <v>21</v>
      </c>
      <c r="AZ1" s="58" t="s">
        <v>49</v>
      </c>
      <c r="BA1" s="58" t="s">
        <v>50</v>
      </c>
      <c r="BB1" s="61" t="s">
        <v>51</v>
      </c>
      <c r="BC1" s="61" t="s">
        <v>53</v>
      </c>
      <c r="BD1" s="61" t="s">
        <v>54</v>
      </c>
      <c r="BE1" s="58" t="s">
        <v>145</v>
      </c>
      <c r="BF1" s="58" t="s">
        <v>22</v>
      </c>
    </row>
    <row r="2" spans="1:59" s="44" customFormat="1" ht="38.25" x14ac:dyDescent="0.25">
      <c r="A2" s="69"/>
      <c r="B2" s="59"/>
      <c r="C2" s="60"/>
      <c r="D2" s="61"/>
      <c r="E2" s="69"/>
      <c r="F2" s="69"/>
      <c r="G2" s="61"/>
      <c r="H2" s="61"/>
      <c r="I2" s="61"/>
      <c r="J2" s="61"/>
      <c r="K2" s="69"/>
      <c r="L2" s="61"/>
      <c r="M2" s="62"/>
      <c r="N2" s="63"/>
      <c r="O2" s="61"/>
      <c r="P2" s="69"/>
      <c r="Q2" s="61"/>
      <c r="R2" s="64"/>
      <c r="S2" s="65"/>
      <c r="T2" s="69"/>
      <c r="U2" s="70" t="s">
        <v>23</v>
      </c>
      <c r="V2" s="70" t="s">
        <v>24</v>
      </c>
      <c r="W2" s="69"/>
      <c r="X2" s="69"/>
      <c r="Y2" s="69"/>
      <c r="Z2" s="61"/>
      <c r="AA2" s="61"/>
      <c r="AB2" s="61"/>
      <c r="AC2" s="69"/>
      <c r="AD2" s="61"/>
      <c r="AE2" s="69"/>
      <c r="AF2" s="61"/>
      <c r="AG2" s="61"/>
      <c r="AH2" s="69"/>
      <c r="AI2" s="69"/>
      <c r="AJ2" s="69"/>
      <c r="AK2" s="69"/>
      <c r="AL2" s="61"/>
      <c r="AM2" s="69"/>
      <c r="AN2" s="61"/>
      <c r="AO2" s="61"/>
      <c r="AP2" s="61"/>
      <c r="AQ2" s="61"/>
      <c r="AR2" s="71"/>
      <c r="AS2" s="61"/>
      <c r="AT2" s="61"/>
      <c r="AU2" s="61"/>
      <c r="AV2" s="61"/>
      <c r="AW2" s="61"/>
      <c r="AX2" s="61"/>
      <c r="AY2" s="61"/>
      <c r="AZ2" s="69"/>
      <c r="BA2" s="69"/>
      <c r="BB2" s="61"/>
      <c r="BC2" s="61"/>
      <c r="BD2" s="61"/>
      <c r="BE2" s="69"/>
      <c r="BF2" s="69"/>
    </row>
    <row r="3" spans="1:59" s="38" customFormat="1" ht="80.099999999999994" customHeight="1" x14ac:dyDescent="0.25">
      <c r="A3" s="38">
        <v>1</v>
      </c>
      <c r="B3" s="38">
        <v>6</v>
      </c>
      <c r="C3" s="38" t="s">
        <v>4443</v>
      </c>
      <c r="D3" s="38" t="s">
        <v>107</v>
      </c>
      <c r="F3" s="43" t="s">
        <v>90</v>
      </c>
      <c r="G3" s="38" t="s">
        <v>91</v>
      </c>
      <c r="H3" s="38" t="s">
        <v>92</v>
      </c>
      <c r="I3" s="38" t="s">
        <v>68</v>
      </c>
      <c r="J3" s="38" t="s">
        <v>36</v>
      </c>
      <c r="K3" s="38" t="s">
        <v>93</v>
      </c>
      <c r="L3" s="38" t="s">
        <v>82</v>
      </c>
      <c r="M3" s="38" t="s">
        <v>94</v>
      </c>
      <c r="N3" s="38" t="s">
        <v>95</v>
      </c>
      <c r="O3" s="38" t="s">
        <v>61</v>
      </c>
      <c r="P3" s="15" t="s">
        <v>85</v>
      </c>
      <c r="Q3" s="38" t="s">
        <v>63</v>
      </c>
      <c r="R3" s="38">
        <v>390590</v>
      </c>
      <c r="S3" s="38">
        <v>2018</v>
      </c>
      <c r="T3" s="38" t="s">
        <v>64</v>
      </c>
      <c r="U3" s="38" t="s">
        <v>65</v>
      </c>
      <c r="V3" s="38" t="s">
        <v>37</v>
      </c>
      <c r="W3" s="38" t="s">
        <v>37</v>
      </c>
      <c r="X3" s="38" t="s">
        <v>37</v>
      </c>
      <c r="Y3" s="38">
        <v>439</v>
      </c>
      <c r="Z3" s="38">
        <v>600</v>
      </c>
      <c r="AA3" s="38">
        <f>Y3/Z3*100</f>
        <v>73.166666666666671</v>
      </c>
      <c r="AB3" s="38">
        <f>83+72+39</f>
        <v>194</v>
      </c>
      <c r="AC3" s="38">
        <v>300</v>
      </c>
      <c r="AD3" s="38">
        <f>AB3/AC3*100</f>
        <v>64.666666666666657</v>
      </c>
      <c r="AE3" s="38" t="s">
        <v>96</v>
      </c>
      <c r="AF3" s="15" t="s">
        <v>86</v>
      </c>
      <c r="AG3" s="15" t="s">
        <v>86</v>
      </c>
      <c r="AH3" s="38">
        <v>10000</v>
      </c>
      <c r="AI3" s="38">
        <v>200000</v>
      </c>
      <c r="AJ3" s="38">
        <v>27500</v>
      </c>
      <c r="AK3" s="38">
        <f>AH3+AI3+AJ3</f>
        <v>237500</v>
      </c>
      <c r="AL3" s="38" t="s">
        <v>97</v>
      </c>
      <c r="AM3" s="38" t="s">
        <v>99</v>
      </c>
      <c r="AN3" s="38" t="s">
        <v>98</v>
      </c>
      <c r="AO3" s="38" t="s">
        <v>100</v>
      </c>
      <c r="AP3" s="38">
        <v>840000</v>
      </c>
      <c r="AQ3" s="38" t="s">
        <v>101</v>
      </c>
      <c r="AR3" s="41" t="s">
        <v>102</v>
      </c>
      <c r="AS3" s="38" t="s">
        <v>103</v>
      </c>
      <c r="AT3" s="38" t="s">
        <v>104</v>
      </c>
      <c r="AU3" s="38" t="s">
        <v>95</v>
      </c>
      <c r="AV3" s="38" t="s">
        <v>65</v>
      </c>
      <c r="AW3" s="38">
        <v>560069</v>
      </c>
      <c r="AX3" s="38" t="s">
        <v>103</v>
      </c>
      <c r="AZ3" s="38">
        <v>8197747534</v>
      </c>
      <c r="BA3" s="38">
        <v>9686445028</v>
      </c>
      <c r="BB3" s="38">
        <v>9945726682</v>
      </c>
      <c r="BC3" s="42" t="s">
        <v>105</v>
      </c>
      <c r="BD3" s="42" t="s">
        <v>106</v>
      </c>
      <c r="BE3" s="72" t="s">
        <v>3396</v>
      </c>
      <c r="BF3" s="38" t="s">
        <v>3050</v>
      </c>
    </row>
    <row r="4" spans="1:59" s="38" customFormat="1" ht="80.099999999999994" customHeight="1" x14ac:dyDescent="0.25">
      <c r="A4" s="38">
        <v>2</v>
      </c>
      <c r="B4" s="38">
        <v>25</v>
      </c>
      <c r="C4" s="38" t="s">
        <v>4443</v>
      </c>
      <c r="D4" s="38" t="s">
        <v>107</v>
      </c>
      <c r="F4" s="43" t="s">
        <v>190</v>
      </c>
      <c r="G4" s="38" t="s">
        <v>91</v>
      </c>
      <c r="H4" s="38" t="s">
        <v>35</v>
      </c>
      <c r="I4" s="38" t="s">
        <v>68</v>
      </c>
      <c r="J4" s="38" t="s">
        <v>36</v>
      </c>
      <c r="K4" s="38" t="s">
        <v>114</v>
      </c>
      <c r="L4" s="38" t="s">
        <v>82</v>
      </c>
      <c r="M4" s="38" t="s">
        <v>191</v>
      </c>
      <c r="N4" s="38" t="s">
        <v>169</v>
      </c>
      <c r="O4" s="38" t="s">
        <v>83</v>
      </c>
      <c r="Q4" s="38" t="s">
        <v>74</v>
      </c>
      <c r="R4" s="38">
        <v>1810216803</v>
      </c>
      <c r="S4" s="38">
        <v>2018</v>
      </c>
      <c r="T4" s="38" t="s">
        <v>89</v>
      </c>
      <c r="U4" s="38" t="s">
        <v>37</v>
      </c>
      <c r="V4" s="38" t="s">
        <v>215</v>
      </c>
      <c r="W4" s="38">
        <v>854</v>
      </c>
      <c r="X4" s="38">
        <f>W4/1000*100</f>
        <v>85.399999999999991</v>
      </c>
      <c r="Y4" s="38">
        <f>92+85+58+49+44+30+42+30</f>
        <v>430</v>
      </c>
      <c r="Z4" s="38">
        <v>530</v>
      </c>
      <c r="AA4" s="38">
        <f>Y4/Z4*100</f>
        <v>81.132075471698116</v>
      </c>
      <c r="AB4" s="38">
        <f>69+71+58+42+58+49+44+30+42+30</f>
        <v>493</v>
      </c>
      <c r="AC4" s="38">
        <v>600</v>
      </c>
      <c r="AD4" s="38">
        <f>AB4/AC4*100</f>
        <v>82.166666666666671</v>
      </c>
      <c r="AE4" s="38" t="s">
        <v>192</v>
      </c>
      <c r="AF4" s="38" t="s">
        <v>193</v>
      </c>
      <c r="AG4" s="38" t="s">
        <v>194</v>
      </c>
      <c r="AH4" s="38">
        <v>10000</v>
      </c>
      <c r="AI4" s="38">
        <v>200000</v>
      </c>
      <c r="AJ4" s="38">
        <v>27500</v>
      </c>
      <c r="AK4" s="38">
        <f>AH4+AI4+AJ4</f>
        <v>237500</v>
      </c>
      <c r="AL4" s="38" t="s">
        <v>195</v>
      </c>
      <c r="AM4" s="38" t="s">
        <v>78</v>
      </c>
      <c r="AN4" s="38" t="s">
        <v>196</v>
      </c>
      <c r="AO4" s="38" t="s">
        <v>139</v>
      </c>
      <c r="AP4" s="38">
        <v>100000</v>
      </c>
      <c r="AQ4" s="38" t="s">
        <v>197</v>
      </c>
      <c r="AR4" s="41" t="s">
        <v>201</v>
      </c>
      <c r="AS4" s="38" t="s">
        <v>198</v>
      </c>
      <c r="AT4" s="38" t="s">
        <v>199</v>
      </c>
      <c r="AU4" s="38" t="s">
        <v>169</v>
      </c>
      <c r="AV4" s="38" t="s">
        <v>88</v>
      </c>
      <c r="AW4" s="38">
        <v>518001</v>
      </c>
      <c r="AX4" s="38" t="s">
        <v>198</v>
      </c>
      <c r="AZ4" s="38">
        <v>8328128867</v>
      </c>
      <c r="BA4" s="38">
        <v>9441032079</v>
      </c>
      <c r="BD4" s="42" t="s">
        <v>200</v>
      </c>
      <c r="BE4" s="38" t="s">
        <v>147</v>
      </c>
      <c r="BF4" s="38" t="s">
        <v>189</v>
      </c>
    </row>
    <row r="5" spans="1:59" s="38" customFormat="1" ht="80.099999999999994" customHeight="1" x14ac:dyDescent="0.25">
      <c r="A5" s="38">
        <v>3</v>
      </c>
      <c r="B5" s="15">
        <v>52</v>
      </c>
      <c r="C5" s="38" t="s">
        <v>4443</v>
      </c>
      <c r="D5" s="15" t="s">
        <v>107</v>
      </c>
      <c r="E5" s="15"/>
      <c r="F5" s="16" t="s">
        <v>362</v>
      </c>
      <c r="G5" s="15" t="s">
        <v>91</v>
      </c>
      <c r="H5" s="15" t="s">
        <v>35</v>
      </c>
      <c r="I5" s="15" t="s">
        <v>68</v>
      </c>
      <c r="J5" s="15" t="s">
        <v>36</v>
      </c>
      <c r="K5" s="15" t="s">
        <v>363</v>
      </c>
      <c r="L5" s="15" t="s">
        <v>82</v>
      </c>
      <c r="M5" s="15" t="s">
        <v>364</v>
      </c>
      <c r="N5" s="15" t="s">
        <v>365</v>
      </c>
      <c r="O5" s="15" t="s">
        <v>123</v>
      </c>
      <c r="P5" s="15" t="s">
        <v>62</v>
      </c>
      <c r="Q5" s="15" t="s">
        <v>74</v>
      </c>
      <c r="R5" s="15">
        <v>1811366094</v>
      </c>
      <c r="S5" s="15">
        <v>2018</v>
      </c>
      <c r="T5" s="15" t="s">
        <v>366</v>
      </c>
      <c r="U5" s="15" t="s">
        <v>37</v>
      </c>
      <c r="V5" s="15" t="s">
        <v>152</v>
      </c>
      <c r="W5" s="15"/>
      <c r="X5" s="15"/>
      <c r="Y5" s="15">
        <v>809</v>
      </c>
      <c r="Z5" s="15">
        <v>1200</v>
      </c>
      <c r="AA5" s="15">
        <f>Y5/Z5*100</f>
        <v>67.416666666666671</v>
      </c>
      <c r="AB5" s="15">
        <f>132+117+117</f>
        <v>366</v>
      </c>
      <c r="AC5" s="15">
        <v>600</v>
      </c>
      <c r="AD5" s="15">
        <f>AB5/AC5*100</f>
        <v>61</v>
      </c>
      <c r="AE5" s="15" t="s">
        <v>367</v>
      </c>
      <c r="AF5" s="15" t="s">
        <v>319</v>
      </c>
      <c r="AG5" s="15" t="s">
        <v>319</v>
      </c>
      <c r="AH5" s="15">
        <v>10000</v>
      </c>
      <c r="AI5" s="15">
        <v>200000</v>
      </c>
      <c r="AJ5" s="15">
        <v>27500</v>
      </c>
      <c r="AK5" s="15">
        <f>AH5+AI5+AJ5</f>
        <v>237500</v>
      </c>
      <c r="AL5" s="15" t="s">
        <v>368</v>
      </c>
      <c r="AM5" s="15" t="s">
        <v>369</v>
      </c>
      <c r="AN5" s="15" t="s">
        <v>370</v>
      </c>
      <c r="AO5" s="15" t="s">
        <v>154</v>
      </c>
      <c r="AP5" s="15">
        <v>100000</v>
      </c>
      <c r="AQ5" s="15" t="s">
        <v>371</v>
      </c>
      <c r="AR5" s="31" t="s">
        <v>372</v>
      </c>
      <c r="AS5" s="15" t="s">
        <v>373</v>
      </c>
      <c r="AT5" s="15" t="s">
        <v>374</v>
      </c>
      <c r="AU5" s="15" t="s">
        <v>375</v>
      </c>
      <c r="AV5" s="15" t="s">
        <v>152</v>
      </c>
      <c r="AW5" s="15">
        <v>627861</v>
      </c>
      <c r="AX5" s="15" t="s">
        <v>376</v>
      </c>
      <c r="AY5" s="15">
        <v>9965484469</v>
      </c>
      <c r="AZ5" s="15">
        <v>8220712541</v>
      </c>
      <c r="BA5" s="15">
        <v>9900200000</v>
      </c>
      <c r="BB5" s="15">
        <v>9842977156</v>
      </c>
      <c r="BC5" s="32" t="s">
        <v>377</v>
      </c>
      <c r="BD5" s="32" t="s">
        <v>378</v>
      </c>
      <c r="BE5" s="15" t="s">
        <v>3377</v>
      </c>
      <c r="BF5" s="15"/>
      <c r="BG5" s="15"/>
    </row>
    <row r="6" spans="1:59" s="38" customFormat="1" ht="80.099999999999994" customHeight="1" x14ac:dyDescent="0.25">
      <c r="A6" s="38">
        <v>4</v>
      </c>
      <c r="B6" s="38">
        <v>55</v>
      </c>
      <c r="C6" s="38" t="s">
        <v>4443</v>
      </c>
      <c r="D6" s="38" t="s">
        <v>107</v>
      </c>
      <c r="F6" s="43" t="s">
        <v>380</v>
      </c>
      <c r="G6" s="38" t="s">
        <v>38</v>
      </c>
      <c r="H6" s="38" t="s">
        <v>92</v>
      </c>
      <c r="I6" s="38" t="s">
        <v>68</v>
      </c>
      <c r="J6" s="38" t="s">
        <v>36</v>
      </c>
      <c r="K6" s="38" t="s">
        <v>381</v>
      </c>
      <c r="L6" s="38" t="s">
        <v>82</v>
      </c>
      <c r="M6" s="38" t="s">
        <v>382</v>
      </c>
      <c r="N6" s="38" t="s">
        <v>256</v>
      </c>
      <c r="O6" s="38" t="s">
        <v>83</v>
      </c>
      <c r="P6" s="38" t="s">
        <v>73</v>
      </c>
      <c r="Q6" s="38" t="s">
        <v>74</v>
      </c>
      <c r="R6" s="38">
        <v>1810218587</v>
      </c>
      <c r="S6" s="38">
        <v>2018</v>
      </c>
      <c r="T6" s="38" t="s">
        <v>89</v>
      </c>
      <c r="U6" s="38" t="s">
        <v>37</v>
      </c>
      <c r="V6" s="38" t="s">
        <v>215</v>
      </c>
      <c r="W6" s="38">
        <v>938</v>
      </c>
      <c r="X6" s="38">
        <f>W6/1000*100</f>
        <v>93.8</v>
      </c>
      <c r="Y6" s="38">
        <f>90+99+71+56+57+55+25+30</f>
        <v>483</v>
      </c>
      <c r="Z6" s="38">
        <v>530</v>
      </c>
      <c r="AA6" s="38">
        <f>Y6/Z6*100</f>
        <v>91.132075471698116</v>
      </c>
      <c r="AB6" s="38">
        <f>75+73+59+57+71+56+57+25+55+30</f>
        <v>558</v>
      </c>
      <c r="AC6" s="38">
        <v>600</v>
      </c>
      <c r="AD6" s="38">
        <f>AB6/AC6*100</f>
        <v>93</v>
      </c>
      <c r="AE6" s="38" t="s">
        <v>389</v>
      </c>
      <c r="AF6" s="38" t="s">
        <v>319</v>
      </c>
      <c r="AG6" s="38" t="s">
        <v>319</v>
      </c>
      <c r="AH6" s="38">
        <v>10000</v>
      </c>
      <c r="AI6" s="38">
        <v>210000</v>
      </c>
      <c r="AJ6" s="38">
        <v>27500</v>
      </c>
      <c r="AK6" s="38">
        <f>AH6+AI6+AJ6</f>
        <v>247500</v>
      </c>
      <c r="AL6" s="38" t="s">
        <v>383</v>
      </c>
      <c r="AM6" s="38" t="s">
        <v>78</v>
      </c>
      <c r="AN6" s="38" t="s">
        <v>384</v>
      </c>
      <c r="AO6" s="38" t="s">
        <v>187</v>
      </c>
      <c r="AP6" s="38">
        <v>1500000</v>
      </c>
      <c r="AQ6" s="38" t="s">
        <v>385</v>
      </c>
      <c r="AR6" s="41" t="s">
        <v>386</v>
      </c>
      <c r="AS6" s="38" t="s">
        <v>387</v>
      </c>
      <c r="AT6" s="38" t="s">
        <v>388</v>
      </c>
      <c r="AU6" s="38" t="s">
        <v>169</v>
      </c>
      <c r="AV6" s="38" t="s">
        <v>215</v>
      </c>
      <c r="AW6" s="38">
        <v>518005</v>
      </c>
      <c r="AX6" s="38" t="s">
        <v>387</v>
      </c>
      <c r="AZ6" s="38">
        <v>6281107059</v>
      </c>
      <c r="BA6" s="38">
        <v>9959022298</v>
      </c>
      <c r="BB6" s="38">
        <v>9704897351</v>
      </c>
      <c r="BC6" s="42" t="s">
        <v>390</v>
      </c>
      <c r="BD6" s="42" t="s">
        <v>391</v>
      </c>
      <c r="BE6" s="38" t="s">
        <v>3374</v>
      </c>
      <c r="BF6" s="38" t="s">
        <v>144</v>
      </c>
    </row>
    <row r="7" spans="1:59" s="15" customFormat="1" ht="80.099999999999994" customHeight="1" x14ac:dyDescent="0.25">
      <c r="A7" s="38">
        <v>5</v>
      </c>
      <c r="B7" s="38">
        <v>68</v>
      </c>
      <c r="C7" s="38" t="s">
        <v>4443</v>
      </c>
      <c r="D7" s="38" t="s">
        <v>107</v>
      </c>
      <c r="E7" s="38"/>
      <c r="F7" s="43" t="s">
        <v>434</v>
      </c>
      <c r="G7" s="38" t="s">
        <v>38</v>
      </c>
      <c r="H7" s="38" t="s">
        <v>35</v>
      </c>
      <c r="I7" s="38" t="s">
        <v>68</v>
      </c>
      <c r="J7" s="38" t="s">
        <v>36</v>
      </c>
      <c r="K7" s="38" t="s">
        <v>435</v>
      </c>
      <c r="L7" s="38" t="s">
        <v>82</v>
      </c>
      <c r="M7" s="38" t="s">
        <v>436</v>
      </c>
      <c r="N7" s="38" t="s">
        <v>437</v>
      </c>
      <c r="O7" s="38" t="s">
        <v>72</v>
      </c>
      <c r="P7" s="38" t="s">
        <v>73</v>
      </c>
      <c r="Q7" s="38" t="s">
        <v>74</v>
      </c>
      <c r="R7" s="38" t="s">
        <v>438</v>
      </c>
      <c r="S7" s="38">
        <v>2018</v>
      </c>
      <c r="T7" s="38" t="s">
        <v>227</v>
      </c>
      <c r="U7" s="38" t="s">
        <v>37</v>
      </c>
      <c r="V7" s="38" t="s">
        <v>228</v>
      </c>
      <c r="W7" s="38" t="s">
        <v>37</v>
      </c>
      <c r="X7" s="38" t="s">
        <v>37</v>
      </c>
      <c r="Y7" s="38">
        <v>464</v>
      </c>
      <c r="Z7" s="38">
        <v>650</v>
      </c>
      <c r="AA7" s="38">
        <f>Y7/Z7*100</f>
        <v>71.384615384615387</v>
      </c>
      <c r="AB7" s="38">
        <f>73+69+36+71+45</f>
        <v>294</v>
      </c>
      <c r="AC7" s="38">
        <v>400</v>
      </c>
      <c r="AD7" s="38">
        <f>AB7/AC7*100</f>
        <v>73.5</v>
      </c>
      <c r="AE7" s="38" t="s">
        <v>439</v>
      </c>
      <c r="AF7" s="38" t="s">
        <v>397</v>
      </c>
      <c r="AG7" s="38" t="s">
        <v>397</v>
      </c>
      <c r="AH7" s="38">
        <v>10000</v>
      </c>
      <c r="AI7" s="38">
        <v>210000</v>
      </c>
      <c r="AJ7" s="38">
        <v>27500</v>
      </c>
      <c r="AK7" s="38">
        <f>AH7+AI7+AJ7</f>
        <v>247500</v>
      </c>
      <c r="AL7" s="38" t="s">
        <v>441</v>
      </c>
      <c r="AM7" s="38" t="s">
        <v>78</v>
      </c>
      <c r="AN7" s="38" t="s">
        <v>440</v>
      </c>
      <c r="AO7" s="38" t="s">
        <v>139</v>
      </c>
      <c r="AP7" s="38">
        <v>600000</v>
      </c>
      <c r="AQ7" s="38"/>
      <c r="AR7" s="41" t="s">
        <v>442</v>
      </c>
      <c r="AS7" s="38" t="s">
        <v>443</v>
      </c>
      <c r="AT7" s="38" t="s">
        <v>444</v>
      </c>
      <c r="AU7" s="38" t="s">
        <v>437</v>
      </c>
      <c r="AV7" s="38" t="s">
        <v>229</v>
      </c>
      <c r="AW7" s="38"/>
      <c r="AX7" s="38" t="s">
        <v>443</v>
      </c>
      <c r="AY7" s="38"/>
      <c r="AZ7" s="38">
        <v>9924032401</v>
      </c>
      <c r="BA7" s="38">
        <v>9376693725</v>
      </c>
      <c r="BB7" s="38">
        <v>9328380958</v>
      </c>
      <c r="BC7" s="38"/>
      <c r="BD7" s="42" t="s">
        <v>447</v>
      </c>
      <c r="BE7" s="38" t="s">
        <v>445</v>
      </c>
      <c r="BF7" s="38" t="s">
        <v>446</v>
      </c>
      <c r="BG7" s="38"/>
    </row>
    <row r="8" spans="1:59" s="38" customFormat="1" ht="80.099999999999994" customHeight="1" x14ac:dyDescent="0.25">
      <c r="A8" s="38">
        <v>6</v>
      </c>
      <c r="B8" s="15">
        <v>70</v>
      </c>
      <c r="C8" s="38" t="s">
        <v>4443</v>
      </c>
      <c r="D8" s="15" t="s">
        <v>107</v>
      </c>
      <c r="F8" s="16" t="s">
        <v>452</v>
      </c>
      <c r="G8" s="15" t="s">
        <v>38</v>
      </c>
      <c r="H8" s="15" t="s">
        <v>35</v>
      </c>
      <c r="I8" s="38" t="s">
        <v>68</v>
      </c>
      <c r="J8" s="38" t="s">
        <v>158</v>
      </c>
      <c r="K8" s="38" t="s">
        <v>455</v>
      </c>
      <c r="L8" s="38" t="s">
        <v>70</v>
      </c>
      <c r="M8" s="38" t="s">
        <v>456</v>
      </c>
      <c r="N8" s="38" t="s">
        <v>457</v>
      </c>
      <c r="O8" s="38" t="s">
        <v>162</v>
      </c>
      <c r="P8" s="38" t="s">
        <v>85</v>
      </c>
      <c r="Q8" s="38" t="s">
        <v>74</v>
      </c>
      <c r="R8" s="38">
        <v>1843220848</v>
      </c>
      <c r="S8" s="38">
        <v>2018</v>
      </c>
      <c r="T8" s="38" t="s">
        <v>75</v>
      </c>
      <c r="U8" s="38" t="s">
        <v>37</v>
      </c>
      <c r="V8" s="38" t="s">
        <v>76</v>
      </c>
      <c r="W8" s="38">
        <v>912</v>
      </c>
      <c r="X8" s="38">
        <f>W8/1000*100</f>
        <v>91.2</v>
      </c>
      <c r="Y8" s="38">
        <f>94+97+69+51+58+55+30+30</f>
        <v>484</v>
      </c>
      <c r="Z8" s="38">
        <v>530</v>
      </c>
      <c r="AA8" s="38">
        <f>Y8/Z8*100</f>
        <v>91.320754716981128</v>
      </c>
      <c r="AB8" s="38">
        <f>58+73+53+54+69+51+58+30+55+30</f>
        <v>531</v>
      </c>
      <c r="AC8" s="38">
        <v>600</v>
      </c>
      <c r="AD8" s="38">
        <f>AB8/AC8*100</f>
        <v>88.5</v>
      </c>
      <c r="AE8" s="38" t="s">
        <v>458</v>
      </c>
      <c r="AF8" s="38" t="s">
        <v>193</v>
      </c>
      <c r="AG8" s="38" t="s">
        <v>459</v>
      </c>
      <c r="AH8" s="38">
        <v>10000</v>
      </c>
      <c r="AI8" s="38">
        <v>210000</v>
      </c>
      <c r="AJ8" s="38">
        <v>27500</v>
      </c>
      <c r="AK8" s="38">
        <f>AH8+AI8+AJ8</f>
        <v>247500</v>
      </c>
      <c r="AL8" s="38" t="s">
        <v>460</v>
      </c>
      <c r="AM8" s="38" t="s">
        <v>87</v>
      </c>
      <c r="AN8" s="38" t="s">
        <v>461</v>
      </c>
      <c r="AO8" s="38" t="s">
        <v>462</v>
      </c>
      <c r="AP8" s="38">
        <v>480000</v>
      </c>
      <c r="AQ8" s="38" t="s">
        <v>463</v>
      </c>
      <c r="AR8" s="41" t="s">
        <v>464</v>
      </c>
      <c r="AS8" s="38" t="s">
        <v>468</v>
      </c>
      <c r="AT8" s="38" t="s">
        <v>465</v>
      </c>
      <c r="AU8" s="38" t="s">
        <v>177</v>
      </c>
      <c r="AV8" s="38" t="s">
        <v>76</v>
      </c>
      <c r="AX8" s="38" t="s">
        <v>468</v>
      </c>
      <c r="AZ8" s="38">
        <v>9177051434</v>
      </c>
      <c r="BA8" s="38">
        <v>9491379112</v>
      </c>
      <c r="BD8" s="42" t="s">
        <v>466</v>
      </c>
      <c r="BE8" s="38" t="s">
        <v>467</v>
      </c>
      <c r="BF8" s="38" t="s">
        <v>113</v>
      </c>
    </row>
    <row r="9" spans="1:59" s="38" customFormat="1" ht="80.099999999999994" customHeight="1" x14ac:dyDescent="0.25">
      <c r="A9" s="38">
        <v>7</v>
      </c>
      <c r="B9" s="15">
        <v>71</v>
      </c>
      <c r="C9" s="38" t="s">
        <v>4443</v>
      </c>
      <c r="D9" s="15" t="s">
        <v>107</v>
      </c>
      <c r="F9" s="16" t="s">
        <v>453</v>
      </c>
      <c r="G9" s="15" t="s">
        <v>91</v>
      </c>
      <c r="H9" s="15" t="s">
        <v>35</v>
      </c>
      <c r="I9" s="38" t="s">
        <v>68</v>
      </c>
      <c r="J9" s="38" t="s">
        <v>36</v>
      </c>
      <c r="K9" s="38" t="s">
        <v>469</v>
      </c>
      <c r="L9" s="38" t="s">
        <v>82</v>
      </c>
      <c r="M9" s="38" t="s">
        <v>470</v>
      </c>
      <c r="N9" s="38" t="s">
        <v>471</v>
      </c>
      <c r="O9" s="38" t="s">
        <v>83</v>
      </c>
      <c r="P9" s="38" t="s">
        <v>431</v>
      </c>
      <c r="Q9" s="38" t="s">
        <v>74</v>
      </c>
      <c r="R9" s="38">
        <v>1843221241</v>
      </c>
      <c r="S9" s="38">
        <v>2018</v>
      </c>
      <c r="T9" s="38" t="s">
        <v>75</v>
      </c>
      <c r="U9" s="38" t="s">
        <v>37</v>
      </c>
      <c r="V9" s="38" t="s">
        <v>76</v>
      </c>
      <c r="W9" s="38">
        <v>908</v>
      </c>
      <c r="X9" s="38">
        <f>W9/1000*100</f>
        <v>90.8</v>
      </c>
      <c r="Y9" s="38">
        <f>89+87+75+62+56+53+30+30</f>
        <v>482</v>
      </c>
      <c r="Z9" s="38">
        <v>530</v>
      </c>
      <c r="AA9" s="38">
        <f>Y9/Z9*100</f>
        <v>90.943396226415103</v>
      </c>
      <c r="AB9" s="38">
        <f>71+74+49+51+75+62+56+53+30+30</f>
        <v>551</v>
      </c>
      <c r="AC9" s="38">
        <v>600</v>
      </c>
      <c r="AD9" s="38">
        <f>AB9/AC9*100</f>
        <v>91.833333333333329</v>
      </c>
      <c r="AE9" s="38" t="s">
        <v>472</v>
      </c>
      <c r="AF9" s="38" t="s">
        <v>397</v>
      </c>
      <c r="AG9" s="38" t="s">
        <v>459</v>
      </c>
      <c r="AH9" s="38">
        <v>10000</v>
      </c>
      <c r="AI9" s="38">
        <v>200000</v>
      </c>
      <c r="AJ9" s="38">
        <v>27500</v>
      </c>
      <c r="AK9" s="38">
        <f>AH9+AI9+AJ9</f>
        <v>237500</v>
      </c>
      <c r="AL9" s="38" t="s">
        <v>473</v>
      </c>
      <c r="AM9" s="38" t="s">
        <v>78</v>
      </c>
      <c r="AN9" s="38" t="s">
        <v>474</v>
      </c>
      <c r="AO9" s="38" t="s">
        <v>139</v>
      </c>
      <c r="AP9" s="38">
        <v>1000000</v>
      </c>
      <c r="AQ9" s="38" t="s">
        <v>475</v>
      </c>
      <c r="AR9" s="41" t="s">
        <v>476</v>
      </c>
      <c r="AS9" s="38" t="s">
        <v>477</v>
      </c>
      <c r="AT9" s="38" t="s">
        <v>478</v>
      </c>
      <c r="AU9" s="38" t="s">
        <v>177</v>
      </c>
      <c r="AV9" s="38" t="s">
        <v>76</v>
      </c>
      <c r="AW9" s="38">
        <v>507002</v>
      </c>
      <c r="AX9" s="38" t="s">
        <v>477</v>
      </c>
      <c r="AZ9" s="38">
        <v>8801838444</v>
      </c>
      <c r="BA9" s="38">
        <v>8801838444</v>
      </c>
      <c r="BB9" s="38">
        <v>9989606272</v>
      </c>
      <c r="BC9" s="42" t="s">
        <v>479</v>
      </c>
      <c r="BD9" s="42" t="s">
        <v>480</v>
      </c>
      <c r="BE9" s="38" t="s">
        <v>467</v>
      </c>
      <c r="BF9" s="38" t="s">
        <v>113</v>
      </c>
    </row>
    <row r="10" spans="1:59" s="38" customFormat="1" ht="80.099999999999994" customHeight="1" x14ac:dyDescent="0.25">
      <c r="A10" s="38">
        <v>8</v>
      </c>
      <c r="B10" s="15">
        <v>85</v>
      </c>
      <c r="C10" s="38" t="s">
        <v>4443</v>
      </c>
      <c r="D10" s="15" t="s">
        <v>107</v>
      </c>
      <c r="F10" s="16" t="s">
        <v>507</v>
      </c>
      <c r="G10" s="15" t="s">
        <v>91</v>
      </c>
      <c r="H10" s="15" t="s">
        <v>35</v>
      </c>
      <c r="I10" s="38" t="s">
        <v>68</v>
      </c>
      <c r="J10" s="38" t="s">
        <v>36</v>
      </c>
      <c r="K10" s="38" t="s">
        <v>469</v>
      </c>
      <c r="L10" s="38" t="s">
        <v>82</v>
      </c>
      <c r="M10" s="38" t="s">
        <v>548</v>
      </c>
      <c r="N10" s="38" t="s">
        <v>169</v>
      </c>
      <c r="O10" s="38" t="s">
        <v>83</v>
      </c>
      <c r="P10" s="38" t="s">
        <v>73</v>
      </c>
      <c r="Q10" s="38" t="s">
        <v>185</v>
      </c>
      <c r="R10" s="38">
        <v>1810214968</v>
      </c>
      <c r="S10" s="38">
        <v>2018</v>
      </c>
      <c r="T10" s="38" t="s">
        <v>89</v>
      </c>
      <c r="U10" s="38" t="s">
        <v>37</v>
      </c>
      <c r="V10" s="38" t="s">
        <v>215</v>
      </c>
      <c r="W10" s="38">
        <v>913</v>
      </c>
      <c r="X10" s="38">
        <f>W10/1000*100</f>
        <v>91.3</v>
      </c>
      <c r="Y10" s="38">
        <f>94+93+74+75+58+58+29+27</f>
        <v>508</v>
      </c>
      <c r="Z10" s="38">
        <v>530</v>
      </c>
      <c r="AA10" s="38">
        <f>Y10/Z10*100</f>
        <v>95.84905660377359</v>
      </c>
      <c r="AB10" s="38">
        <f>55+62+53+57+74+75+58+58+29+27</f>
        <v>548</v>
      </c>
      <c r="AC10" s="38">
        <v>600</v>
      </c>
      <c r="AD10" s="38">
        <f>AB10/AC10*100</f>
        <v>91.333333333333329</v>
      </c>
      <c r="AE10" s="38" t="s">
        <v>549</v>
      </c>
      <c r="AF10" s="38" t="s">
        <v>495</v>
      </c>
      <c r="AG10" s="38" t="s">
        <v>495</v>
      </c>
      <c r="AH10" s="38">
        <v>10000</v>
      </c>
      <c r="AI10" s="38">
        <v>200000</v>
      </c>
      <c r="AJ10" s="38">
        <v>27500</v>
      </c>
      <c r="AK10" s="38">
        <f>AH10+AI10+AJ10</f>
        <v>237500</v>
      </c>
      <c r="AL10" s="38" t="s">
        <v>550</v>
      </c>
      <c r="AM10" s="38" t="s">
        <v>78</v>
      </c>
      <c r="AN10" s="38" t="s">
        <v>551</v>
      </c>
      <c r="AO10" s="38" t="s">
        <v>552</v>
      </c>
      <c r="AP10" s="38">
        <v>300000</v>
      </c>
      <c r="AQ10" s="38" t="s">
        <v>553</v>
      </c>
      <c r="AR10" s="41" t="s">
        <v>554</v>
      </c>
      <c r="AS10" s="38" t="s">
        <v>555</v>
      </c>
      <c r="AT10" s="38" t="s">
        <v>556</v>
      </c>
      <c r="AU10" s="38" t="s">
        <v>169</v>
      </c>
      <c r="AV10" s="38" t="s">
        <v>215</v>
      </c>
      <c r="AW10" s="38">
        <v>518452</v>
      </c>
      <c r="AX10" s="38" t="s">
        <v>557</v>
      </c>
      <c r="AZ10" s="38">
        <v>7032214529</v>
      </c>
      <c r="BA10" s="38">
        <v>8019879285</v>
      </c>
      <c r="BB10" s="38">
        <v>9010051485</v>
      </c>
      <c r="BD10" s="42" t="s">
        <v>558</v>
      </c>
      <c r="BE10" s="38" t="s">
        <v>559</v>
      </c>
      <c r="BF10" s="38" t="s">
        <v>113</v>
      </c>
    </row>
    <row r="11" spans="1:59" s="38" customFormat="1" ht="80.099999999999994" customHeight="1" x14ac:dyDescent="0.25">
      <c r="A11" s="38">
        <v>9</v>
      </c>
      <c r="B11" s="39">
        <v>92</v>
      </c>
      <c r="C11" s="38" t="s">
        <v>4443</v>
      </c>
      <c r="D11" s="39" t="s">
        <v>107</v>
      </c>
      <c r="F11" s="40" t="s">
        <v>569</v>
      </c>
      <c r="G11" s="39" t="s">
        <v>38</v>
      </c>
      <c r="H11" s="39" t="s">
        <v>35</v>
      </c>
      <c r="I11" s="38" t="s">
        <v>68</v>
      </c>
      <c r="J11" s="38" t="s">
        <v>36</v>
      </c>
      <c r="K11" s="38" t="s">
        <v>469</v>
      </c>
      <c r="L11" s="38" t="s">
        <v>82</v>
      </c>
      <c r="M11" s="38" t="s">
        <v>574</v>
      </c>
      <c r="N11" s="38" t="s">
        <v>482</v>
      </c>
      <c r="O11" s="38" t="s">
        <v>83</v>
      </c>
      <c r="P11" s="38" t="s">
        <v>85</v>
      </c>
      <c r="Q11" s="38" t="s">
        <v>185</v>
      </c>
      <c r="R11" s="38">
        <v>1810229001</v>
      </c>
      <c r="S11" s="38">
        <v>2018</v>
      </c>
      <c r="T11" s="38" t="s">
        <v>89</v>
      </c>
      <c r="U11" s="38" t="s">
        <v>37</v>
      </c>
      <c r="V11" s="38" t="s">
        <v>215</v>
      </c>
      <c r="W11" s="38">
        <v>936</v>
      </c>
      <c r="X11" s="38">
        <f>W11/1000*100</f>
        <v>93.600000000000009</v>
      </c>
      <c r="Y11" s="38">
        <f>87+98+71+66+57+43+30+30</f>
        <v>482</v>
      </c>
      <c r="Z11" s="38">
        <v>530</v>
      </c>
      <c r="AA11" s="38">
        <f>Y11/Z11*100</f>
        <v>90.943396226415103</v>
      </c>
      <c r="AB11" s="38">
        <f>75+75+59+55+71+66+57+43+30+30</f>
        <v>561</v>
      </c>
      <c r="AC11" s="38">
        <v>600</v>
      </c>
      <c r="AD11" s="38">
        <f>AB11/AC11*100</f>
        <v>93.5</v>
      </c>
      <c r="AE11" s="38" t="s">
        <v>575</v>
      </c>
      <c r="AF11" s="38" t="s">
        <v>166</v>
      </c>
      <c r="AG11" s="38" t="s">
        <v>576</v>
      </c>
      <c r="AH11" s="38">
        <v>10000</v>
      </c>
      <c r="AI11" s="38">
        <v>210000</v>
      </c>
      <c r="AJ11" s="38">
        <v>27500</v>
      </c>
      <c r="AK11" s="38">
        <f>AH11+AI11+AJ11</f>
        <v>247500</v>
      </c>
      <c r="AL11" s="38" t="s">
        <v>577</v>
      </c>
      <c r="AM11" s="38" t="s">
        <v>579</v>
      </c>
      <c r="AN11" s="38" t="s">
        <v>578</v>
      </c>
      <c r="AO11" s="38" t="s">
        <v>139</v>
      </c>
      <c r="AQ11" s="38" t="s">
        <v>580</v>
      </c>
      <c r="AR11" s="41" t="s">
        <v>581</v>
      </c>
      <c r="AS11" s="38" t="s">
        <v>582</v>
      </c>
      <c r="AT11" s="38" t="s">
        <v>482</v>
      </c>
      <c r="AU11" s="38" t="s">
        <v>169</v>
      </c>
      <c r="AV11" s="38" t="s">
        <v>215</v>
      </c>
      <c r="AW11" s="38">
        <v>518501</v>
      </c>
      <c r="AX11" s="38" t="s">
        <v>582</v>
      </c>
      <c r="AZ11" s="38">
        <v>9182367358</v>
      </c>
      <c r="BA11" s="38">
        <v>9848130506</v>
      </c>
      <c r="BB11" s="38">
        <v>9848038808</v>
      </c>
      <c r="BD11" s="42" t="s">
        <v>583</v>
      </c>
      <c r="BE11" s="38" t="s">
        <v>565</v>
      </c>
      <c r="BF11" s="38" t="s">
        <v>584</v>
      </c>
    </row>
    <row r="12" spans="1:59" s="38" customFormat="1" ht="80.099999999999994" customHeight="1" x14ac:dyDescent="0.25">
      <c r="A12" s="38">
        <v>10</v>
      </c>
      <c r="B12" s="39">
        <v>95</v>
      </c>
      <c r="C12" s="38" t="s">
        <v>4443</v>
      </c>
      <c r="D12" s="39" t="s">
        <v>107</v>
      </c>
      <c r="F12" s="40" t="s">
        <v>570</v>
      </c>
      <c r="G12" s="39" t="s">
        <v>91</v>
      </c>
      <c r="H12" s="39" t="s">
        <v>35</v>
      </c>
      <c r="I12" s="38" t="s">
        <v>68</v>
      </c>
      <c r="J12" s="38" t="s">
        <v>36</v>
      </c>
      <c r="K12" s="38" t="s">
        <v>81</v>
      </c>
      <c r="L12" s="38" t="s">
        <v>82</v>
      </c>
      <c r="M12" s="38" t="s">
        <v>586</v>
      </c>
      <c r="N12" s="38" t="s">
        <v>482</v>
      </c>
      <c r="O12" s="38" t="s">
        <v>83</v>
      </c>
      <c r="P12" s="38" t="s">
        <v>85</v>
      </c>
      <c r="Q12" s="38" t="s">
        <v>185</v>
      </c>
      <c r="R12" s="38">
        <v>1810227098</v>
      </c>
      <c r="S12" s="38">
        <v>2018</v>
      </c>
      <c r="T12" s="38" t="s">
        <v>89</v>
      </c>
      <c r="U12" s="38" t="s">
        <v>37</v>
      </c>
      <c r="V12" s="38" t="s">
        <v>215</v>
      </c>
      <c r="W12" s="38">
        <v>777</v>
      </c>
      <c r="X12" s="38">
        <f>W12/1000*100</f>
        <v>77.7</v>
      </c>
      <c r="Y12" s="38">
        <f>88+90+43+40+51+48+28+21</f>
        <v>409</v>
      </c>
      <c r="Z12" s="38">
        <v>530</v>
      </c>
      <c r="AA12" s="38">
        <f>Y12/Z12*100</f>
        <v>77.169811320754718</v>
      </c>
      <c r="AB12" s="38">
        <f>54+36+58+47+43+40+51+48+28+21</f>
        <v>426</v>
      </c>
      <c r="AC12" s="38">
        <v>600</v>
      </c>
      <c r="AD12" s="38">
        <f>AB12/AC12*100</f>
        <v>71</v>
      </c>
      <c r="AE12" s="38" t="s">
        <v>587</v>
      </c>
      <c r="AF12" s="38" t="s">
        <v>576</v>
      </c>
      <c r="AG12" s="38" t="s">
        <v>576</v>
      </c>
      <c r="AH12" s="38">
        <v>10000</v>
      </c>
      <c r="AI12" s="38">
        <v>200000</v>
      </c>
      <c r="AJ12" s="38">
        <v>27500</v>
      </c>
      <c r="AK12" s="38">
        <f>AH12+AI12+AJ12</f>
        <v>237500</v>
      </c>
      <c r="AL12" s="38" t="s">
        <v>588</v>
      </c>
      <c r="AM12" s="38" t="s">
        <v>579</v>
      </c>
      <c r="AN12" s="38" t="s">
        <v>589</v>
      </c>
      <c r="AO12" s="38" t="s">
        <v>139</v>
      </c>
      <c r="AQ12" s="38" t="s">
        <v>590</v>
      </c>
      <c r="AR12" s="41" t="s">
        <v>595</v>
      </c>
      <c r="AS12" s="38" t="s">
        <v>591</v>
      </c>
      <c r="AT12" s="38" t="s">
        <v>592</v>
      </c>
      <c r="AU12" s="38" t="s">
        <v>169</v>
      </c>
      <c r="AV12" s="38" t="s">
        <v>215</v>
      </c>
      <c r="AW12" s="38">
        <v>518135</v>
      </c>
      <c r="AX12" s="38" t="s">
        <v>593</v>
      </c>
      <c r="AZ12" s="38">
        <v>9182428648</v>
      </c>
      <c r="BA12" s="38">
        <v>9848840102</v>
      </c>
      <c r="BB12" s="38">
        <v>9553576042</v>
      </c>
      <c r="BD12" s="42" t="s">
        <v>594</v>
      </c>
      <c r="BE12" s="38" t="s">
        <v>3376</v>
      </c>
      <c r="BF12" s="38" t="s">
        <v>144</v>
      </c>
    </row>
    <row r="13" spans="1:59" s="38" customFormat="1" ht="80.099999999999994" customHeight="1" x14ac:dyDescent="0.25">
      <c r="A13" s="38">
        <v>11</v>
      </c>
      <c r="B13" s="15">
        <v>105</v>
      </c>
      <c r="C13" s="38" t="s">
        <v>4443</v>
      </c>
      <c r="D13" s="15" t="s">
        <v>107</v>
      </c>
      <c r="F13" s="16" t="s">
        <v>598</v>
      </c>
      <c r="G13" s="15" t="s">
        <v>38</v>
      </c>
      <c r="H13" s="15" t="s">
        <v>35</v>
      </c>
      <c r="I13" s="38" t="s">
        <v>68</v>
      </c>
      <c r="J13" s="38" t="s">
        <v>36</v>
      </c>
      <c r="K13" s="38" t="s">
        <v>148</v>
      </c>
      <c r="L13" s="38" t="s">
        <v>82</v>
      </c>
      <c r="M13" s="38" t="s">
        <v>650</v>
      </c>
      <c r="N13" s="38" t="s">
        <v>161</v>
      </c>
      <c r="O13" s="38" t="s">
        <v>83</v>
      </c>
      <c r="P13" s="38" t="s">
        <v>85</v>
      </c>
      <c r="Q13" s="38" t="s">
        <v>185</v>
      </c>
      <c r="R13" s="38">
        <v>1805231166</v>
      </c>
      <c r="S13" s="38">
        <v>2018</v>
      </c>
      <c r="T13" s="38" t="s">
        <v>89</v>
      </c>
      <c r="U13" s="38" t="s">
        <v>37</v>
      </c>
      <c r="V13" s="38" t="s">
        <v>215</v>
      </c>
      <c r="W13" s="38">
        <v>789</v>
      </c>
      <c r="X13" s="38">
        <f>W13/1000*100</f>
        <v>78.900000000000006</v>
      </c>
      <c r="Y13" s="38">
        <f>82+94+46+42+42+44+28+26</f>
        <v>404</v>
      </c>
      <c r="Z13" s="38">
        <v>530</v>
      </c>
      <c r="AA13" s="38">
        <f>Y13/Z13*100</f>
        <v>76.226415094339629</v>
      </c>
      <c r="AB13" s="38">
        <f>65+66+57+54+46+42+42+44+28+26</f>
        <v>470</v>
      </c>
      <c r="AC13" s="38">
        <v>600</v>
      </c>
      <c r="AD13" s="38">
        <f>AB13/AC13*100</f>
        <v>78.333333333333329</v>
      </c>
      <c r="AE13" s="38" t="s">
        <v>651</v>
      </c>
      <c r="AF13" s="38" t="s">
        <v>576</v>
      </c>
      <c r="AG13" s="38" t="s">
        <v>576</v>
      </c>
      <c r="AH13" s="38">
        <v>10000</v>
      </c>
      <c r="AI13" s="38">
        <v>210000</v>
      </c>
      <c r="AJ13" s="38">
        <v>27500</v>
      </c>
      <c r="AK13" s="38">
        <f>AH13+AI13+AJ13</f>
        <v>247500</v>
      </c>
      <c r="AL13" s="38" t="s">
        <v>652</v>
      </c>
      <c r="AM13" s="38" t="s">
        <v>78</v>
      </c>
      <c r="AN13" s="38" t="s">
        <v>653</v>
      </c>
      <c r="AO13" s="38" t="s">
        <v>139</v>
      </c>
      <c r="AP13" s="38">
        <v>300000</v>
      </c>
      <c r="AQ13" s="38" t="s">
        <v>654</v>
      </c>
      <c r="AR13" s="41" t="s">
        <v>655</v>
      </c>
      <c r="AS13" s="38" t="s">
        <v>656</v>
      </c>
      <c r="AT13" s="38" t="s">
        <v>657</v>
      </c>
      <c r="AU13" s="38" t="s">
        <v>161</v>
      </c>
      <c r="AV13" s="38" t="s">
        <v>215</v>
      </c>
      <c r="AW13" s="38">
        <v>520010</v>
      </c>
      <c r="AX13" s="38" t="s">
        <v>656</v>
      </c>
      <c r="AZ13" s="38">
        <v>9490995342</v>
      </c>
      <c r="BA13" s="38">
        <v>9246477031</v>
      </c>
      <c r="BB13" s="38">
        <v>9492177031</v>
      </c>
      <c r="BC13" s="42" t="s">
        <v>658</v>
      </c>
      <c r="BD13" s="42" t="s">
        <v>659</v>
      </c>
      <c r="BE13" s="38" t="s">
        <v>660</v>
      </c>
      <c r="BF13" s="38" t="s">
        <v>661</v>
      </c>
    </row>
    <row r="14" spans="1:59" s="38" customFormat="1" ht="80.099999999999994" customHeight="1" x14ac:dyDescent="0.25">
      <c r="A14" s="38">
        <v>12</v>
      </c>
      <c r="B14" s="15">
        <v>106</v>
      </c>
      <c r="C14" s="38" t="s">
        <v>4443</v>
      </c>
      <c r="D14" s="15" t="s">
        <v>107</v>
      </c>
      <c r="F14" s="16" t="s">
        <v>599</v>
      </c>
      <c r="G14" s="15" t="s">
        <v>91</v>
      </c>
      <c r="H14" s="15" t="s">
        <v>92</v>
      </c>
      <c r="I14" s="38" t="s">
        <v>68</v>
      </c>
      <c r="J14" s="38" t="s">
        <v>36</v>
      </c>
      <c r="K14" s="38" t="s">
        <v>157</v>
      </c>
      <c r="L14" s="38" t="s">
        <v>82</v>
      </c>
      <c r="M14" s="38" t="s">
        <v>662</v>
      </c>
      <c r="N14" s="38" t="s">
        <v>663</v>
      </c>
      <c r="O14" s="38" t="s">
        <v>123</v>
      </c>
      <c r="P14" s="38" t="s">
        <v>62</v>
      </c>
      <c r="Q14" s="38" t="s">
        <v>185</v>
      </c>
      <c r="R14" s="38">
        <v>1811433226</v>
      </c>
      <c r="S14" s="38">
        <v>2018</v>
      </c>
      <c r="T14" s="38" t="s">
        <v>366</v>
      </c>
      <c r="U14" s="38" t="s">
        <v>37</v>
      </c>
      <c r="V14" s="38" t="s">
        <v>155</v>
      </c>
      <c r="W14" s="38" t="s">
        <v>37</v>
      </c>
      <c r="X14" s="38" t="s">
        <v>37</v>
      </c>
      <c r="Y14" s="38">
        <v>1031</v>
      </c>
      <c r="Z14" s="38">
        <v>1200</v>
      </c>
      <c r="AA14" s="38">
        <f>Y14/Z14*100</f>
        <v>85.916666666666657</v>
      </c>
      <c r="AB14" s="38">
        <f>191+172+170</f>
        <v>533</v>
      </c>
      <c r="AC14" s="38">
        <v>600</v>
      </c>
      <c r="AD14" s="38">
        <f>AB14/AC14*100</f>
        <v>88.833333333333329</v>
      </c>
      <c r="AE14" s="38" t="s">
        <v>664</v>
      </c>
      <c r="AF14" s="38" t="s">
        <v>576</v>
      </c>
      <c r="AG14" s="38" t="s">
        <v>576</v>
      </c>
      <c r="AH14" s="38">
        <v>10000</v>
      </c>
      <c r="AI14" s="38">
        <v>200000</v>
      </c>
      <c r="AJ14" s="38">
        <v>27500</v>
      </c>
      <c r="AK14" s="38">
        <f>AH14+AI14+AJ14</f>
        <v>237500</v>
      </c>
      <c r="AL14" s="38" t="s">
        <v>665</v>
      </c>
      <c r="AM14" s="38" t="s">
        <v>78</v>
      </c>
      <c r="AN14" s="38" t="s">
        <v>666</v>
      </c>
      <c r="AO14" s="38" t="s">
        <v>139</v>
      </c>
      <c r="AP14" s="38">
        <v>100000</v>
      </c>
      <c r="AQ14" s="38" t="s">
        <v>667</v>
      </c>
      <c r="AR14" s="41" t="s">
        <v>668</v>
      </c>
      <c r="AS14" s="38" t="s">
        <v>671</v>
      </c>
      <c r="AT14" s="38" t="s">
        <v>669</v>
      </c>
      <c r="AU14" s="38" t="s">
        <v>672</v>
      </c>
      <c r="AV14" s="38" t="s">
        <v>152</v>
      </c>
      <c r="AW14" s="38">
        <v>600001</v>
      </c>
      <c r="AX14" s="38" t="s">
        <v>671</v>
      </c>
      <c r="AZ14" s="38">
        <v>9487683708</v>
      </c>
      <c r="BA14" s="38">
        <v>9750219406</v>
      </c>
      <c r="BB14" s="38">
        <v>9842709980</v>
      </c>
      <c r="BC14" s="42" t="s">
        <v>670</v>
      </c>
      <c r="BD14" s="42" t="s">
        <v>673</v>
      </c>
      <c r="BE14" s="38" t="s">
        <v>565</v>
      </c>
      <c r="BF14" s="38" t="s">
        <v>113</v>
      </c>
    </row>
    <row r="15" spans="1:59" s="38" customFormat="1" ht="80.099999999999994" customHeight="1" x14ac:dyDescent="0.25">
      <c r="A15" s="38">
        <v>13</v>
      </c>
      <c r="B15" s="15">
        <v>117</v>
      </c>
      <c r="C15" s="38" t="s">
        <v>4443</v>
      </c>
      <c r="D15" s="15" t="s">
        <v>107</v>
      </c>
      <c r="E15" s="15"/>
      <c r="F15" s="16" t="s">
        <v>679</v>
      </c>
      <c r="G15" s="15" t="s">
        <v>91</v>
      </c>
      <c r="H15" s="15" t="s">
        <v>35</v>
      </c>
      <c r="I15" s="15" t="s">
        <v>68</v>
      </c>
      <c r="J15" s="15" t="s">
        <v>36</v>
      </c>
      <c r="K15" s="15" t="s">
        <v>469</v>
      </c>
      <c r="L15" s="15" t="s">
        <v>82</v>
      </c>
      <c r="M15" s="15" t="s">
        <v>687</v>
      </c>
      <c r="N15" s="15" t="s">
        <v>95</v>
      </c>
      <c r="O15" s="15" t="s">
        <v>83</v>
      </c>
      <c r="P15" s="15" t="s">
        <v>73</v>
      </c>
      <c r="Q15" s="15" t="s">
        <v>63</v>
      </c>
      <c r="R15" s="15">
        <v>384841</v>
      </c>
      <c r="S15" s="15">
        <v>2018</v>
      </c>
      <c r="T15" s="15" t="s">
        <v>64</v>
      </c>
      <c r="U15" s="15" t="s">
        <v>65</v>
      </c>
      <c r="V15" s="15" t="s">
        <v>37</v>
      </c>
      <c r="W15" s="15" t="s">
        <v>37</v>
      </c>
      <c r="X15" s="15" t="s">
        <v>37</v>
      </c>
      <c r="Y15" s="15">
        <v>512</v>
      </c>
      <c r="Z15" s="15">
        <v>600</v>
      </c>
      <c r="AA15" s="15">
        <f>Y15/Z15*100</f>
        <v>85.333333333333343</v>
      </c>
      <c r="AB15" s="15">
        <f>87+96+76</f>
        <v>259</v>
      </c>
      <c r="AC15" s="15">
        <v>300</v>
      </c>
      <c r="AD15" s="15">
        <f>AB15/AC15*100</f>
        <v>86.333333333333329</v>
      </c>
      <c r="AE15" s="15" t="s">
        <v>688</v>
      </c>
      <c r="AF15" s="15" t="s">
        <v>149</v>
      </c>
      <c r="AG15" s="15" t="s">
        <v>678</v>
      </c>
      <c r="AH15" s="15">
        <v>10000</v>
      </c>
      <c r="AI15" s="15">
        <v>200000</v>
      </c>
      <c r="AJ15" s="15">
        <v>27500</v>
      </c>
      <c r="AK15" s="15">
        <f>AH15+AI15+AJ15</f>
        <v>237500</v>
      </c>
      <c r="AL15" s="15" t="s">
        <v>689</v>
      </c>
      <c r="AM15" s="15" t="s">
        <v>78</v>
      </c>
      <c r="AN15" s="15" t="s">
        <v>690</v>
      </c>
      <c r="AO15" s="15" t="s">
        <v>139</v>
      </c>
      <c r="AP15" s="15">
        <v>500000</v>
      </c>
      <c r="AQ15" s="15" t="s">
        <v>691</v>
      </c>
      <c r="AR15" s="31" t="s">
        <v>692</v>
      </c>
      <c r="AS15" s="15" t="s">
        <v>696</v>
      </c>
      <c r="AT15" s="15" t="s">
        <v>693</v>
      </c>
      <c r="AU15" s="15" t="s">
        <v>95</v>
      </c>
      <c r="AV15" s="15" t="s">
        <v>65</v>
      </c>
      <c r="AW15" s="15">
        <v>560078</v>
      </c>
      <c r="AX15" s="15" t="s">
        <v>696</v>
      </c>
      <c r="AY15" s="15">
        <v>29753454</v>
      </c>
      <c r="AZ15" s="15">
        <v>9945603576</v>
      </c>
      <c r="BA15" s="15">
        <v>9886028922</v>
      </c>
      <c r="BB15" s="15">
        <v>9449695709</v>
      </c>
      <c r="BC15" s="32" t="s">
        <v>694</v>
      </c>
      <c r="BD15" s="32" t="s">
        <v>695</v>
      </c>
      <c r="BE15" s="15" t="s">
        <v>3386</v>
      </c>
      <c r="BF15" s="15"/>
      <c r="BG15" s="15"/>
    </row>
    <row r="16" spans="1:59" s="38" customFormat="1" ht="80.099999999999994" customHeight="1" x14ac:dyDescent="0.25">
      <c r="A16" s="38">
        <v>14</v>
      </c>
      <c r="B16" s="15">
        <v>120</v>
      </c>
      <c r="C16" s="38" t="s">
        <v>4443</v>
      </c>
      <c r="D16" s="15" t="s">
        <v>107</v>
      </c>
      <c r="F16" s="16" t="s">
        <v>681</v>
      </c>
      <c r="G16" s="15" t="s">
        <v>38</v>
      </c>
      <c r="H16" s="15" t="s">
        <v>35</v>
      </c>
      <c r="I16" s="38" t="s">
        <v>68</v>
      </c>
      <c r="J16" s="38" t="s">
        <v>435</v>
      </c>
      <c r="K16" s="38" t="s">
        <v>435</v>
      </c>
      <c r="L16" s="38" t="s">
        <v>82</v>
      </c>
      <c r="M16" s="38" t="s">
        <v>704</v>
      </c>
      <c r="N16" s="38" t="s">
        <v>705</v>
      </c>
      <c r="O16" s="38" t="s">
        <v>72</v>
      </c>
      <c r="P16" s="38" t="s">
        <v>562</v>
      </c>
      <c r="Q16" s="38" t="s">
        <v>63</v>
      </c>
      <c r="R16" s="38">
        <v>384912</v>
      </c>
      <c r="S16" s="38">
        <v>2018</v>
      </c>
      <c r="T16" s="38" t="s">
        <v>64</v>
      </c>
      <c r="U16" s="38" t="s">
        <v>65</v>
      </c>
      <c r="V16" s="38" t="s">
        <v>37</v>
      </c>
      <c r="W16" s="38" t="s">
        <v>37</v>
      </c>
      <c r="X16" s="38" t="s">
        <v>37</v>
      </c>
      <c r="Y16" s="38">
        <v>401</v>
      </c>
      <c r="Z16" s="38">
        <v>600</v>
      </c>
      <c r="AA16" s="38">
        <f>Y16/Z16*100</f>
        <v>66.833333333333329</v>
      </c>
      <c r="AB16" s="38">
        <f>68+59+42</f>
        <v>169</v>
      </c>
      <c r="AC16" s="38">
        <v>300</v>
      </c>
      <c r="AD16" s="38">
        <f>AB16/AC16*100</f>
        <v>56.333333333333336</v>
      </c>
      <c r="AE16" s="38" t="s">
        <v>706</v>
      </c>
      <c r="AF16" s="38" t="s">
        <v>193</v>
      </c>
      <c r="AG16" s="38" t="s">
        <v>678</v>
      </c>
      <c r="AH16" s="38">
        <v>10000</v>
      </c>
      <c r="AI16" s="38">
        <v>210000</v>
      </c>
      <c r="AJ16" s="38">
        <v>27500</v>
      </c>
      <c r="AK16" s="38">
        <f>AH16+AI16+AJ16</f>
        <v>247500</v>
      </c>
      <c r="AL16" s="38" t="s">
        <v>707</v>
      </c>
      <c r="AM16" s="38" t="s">
        <v>78</v>
      </c>
      <c r="AN16" s="38" t="s">
        <v>708</v>
      </c>
      <c r="AO16" s="38" t="s">
        <v>139</v>
      </c>
      <c r="AP16" s="38">
        <v>1000000</v>
      </c>
      <c r="AQ16" s="38" t="s">
        <v>712</v>
      </c>
      <c r="AR16" s="41" t="s">
        <v>713</v>
      </c>
      <c r="AS16" s="38" t="s">
        <v>709</v>
      </c>
      <c r="AT16" s="38" t="s">
        <v>710</v>
      </c>
      <c r="AU16" s="38" t="s">
        <v>95</v>
      </c>
      <c r="AV16" s="38" t="s">
        <v>65</v>
      </c>
      <c r="AW16" s="38">
        <v>560068</v>
      </c>
      <c r="AX16" s="38" t="s">
        <v>709</v>
      </c>
      <c r="AZ16" s="38">
        <v>8904622635</v>
      </c>
      <c r="BA16" s="38">
        <v>7349091462</v>
      </c>
      <c r="BB16" s="38">
        <v>7349091461</v>
      </c>
      <c r="BD16" s="42" t="s">
        <v>711</v>
      </c>
      <c r="BE16" s="38" t="s">
        <v>2850</v>
      </c>
    </row>
    <row r="17" spans="1:59" s="38" customFormat="1" ht="80.099999999999994" customHeight="1" x14ac:dyDescent="0.25">
      <c r="A17" s="38">
        <v>15</v>
      </c>
      <c r="B17" s="73">
        <v>127</v>
      </c>
      <c r="C17" s="38" t="s">
        <v>4443</v>
      </c>
      <c r="D17" s="73" t="s">
        <v>107</v>
      </c>
      <c r="F17" s="74" t="s">
        <v>720</v>
      </c>
      <c r="G17" s="73" t="s">
        <v>91</v>
      </c>
      <c r="H17" s="73" t="s">
        <v>35</v>
      </c>
      <c r="I17" s="38" t="s">
        <v>68</v>
      </c>
      <c r="J17" s="38" t="s">
        <v>36</v>
      </c>
      <c r="K17" s="38" t="s">
        <v>737</v>
      </c>
      <c r="L17" s="38" t="s">
        <v>82</v>
      </c>
      <c r="M17" s="38" t="s">
        <v>738</v>
      </c>
      <c r="N17" s="38" t="s">
        <v>739</v>
      </c>
      <c r="O17" s="38" t="s">
        <v>737</v>
      </c>
      <c r="P17" s="38" t="s">
        <v>62</v>
      </c>
      <c r="Q17" s="38" t="s">
        <v>185</v>
      </c>
      <c r="R17" s="38">
        <v>6608686</v>
      </c>
      <c r="S17" s="38">
        <v>2018</v>
      </c>
      <c r="T17" s="38" t="s">
        <v>616</v>
      </c>
      <c r="U17" s="38" t="s">
        <v>37</v>
      </c>
      <c r="V17" s="38" t="s">
        <v>247</v>
      </c>
      <c r="W17" s="38" t="s">
        <v>37</v>
      </c>
      <c r="X17" s="38" t="s">
        <v>37</v>
      </c>
      <c r="Y17" s="38">
        <f>83+33+68+60+82</f>
        <v>326</v>
      </c>
      <c r="Z17" s="38">
        <v>500</v>
      </c>
      <c r="AA17" s="38">
        <f>Y17/Z17*100</f>
        <v>65.2</v>
      </c>
      <c r="AB17" s="38">
        <f>33+68+60</f>
        <v>161</v>
      </c>
      <c r="AC17" s="38">
        <v>300</v>
      </c>
      <c r="AD17" s="38">
        <f>AB17/AC17*100</f>
        <v>53.666666666666664</v>
      </c>
      <c r="AE17" s="38" t="s">
        <v>740</v>
      </c>
      <c r="AF17" s="38" t="s">
        <v>718</v>
      </c>
      <c r="AG17" s="38" t="s">
        <v>718</v>
      </c>
      <c r="AH17" s="38">
        <v>10000</v>
      </c>
      <c r="AI17" s="38">
        <v>200000</v>
      </c>
      <c r="AJ17" s="38">
        <v>27500</v>
      </c>
      <c r="AK17" s="38">
        <f>AH17+AI17+AJ17</f>
        <v>237500</v>
      </c>
      <c r="AL17" s="38" t="s">
        <v>750</v>
      </c>
      <c r="AM17" s="38" t="s">
        <v>78</v>
      </c>
      <c r="AN17" s="38" t="s">
        <v>741</v>
      </c>
      <c r="AO17" s="38" t="s">
        <v>139</v>
      </c>
      <c r="AP17" s="38">
        <v>2000000</v>
      </c>
      <c r="AQ17" s="38" t="s">
        <v>742</v>
      </c>
      <c r="AR17" s="41" t="s">
        <v>743</v>
      </c>
      <c r="AS17" s="38" t="s">
        <v>744</v>
      </c>
      <c r="AT17" s="38" t="s">
        <v>745</v>
      </c>
      <c r="AU17" s="38" t="s">
        <v>746</v>
      </c>
      <c r="AV17" s="38" t="s">
        <v>747</v>
      </c>
      <c r="AW17" s="38">
        <v>753104</v>
      </c>
      <c r="AX17" s="38" t="s">
        <v>744</v>
      </c>
      <c r="AZ17" s="38">
        <v>8249013829</v>
      </c>
      <c r="BA17" s="38">
        <v>7008140919</v>
      </c>
      <c r="BB17" s="38">
        <v>9937083064</v>
      </c>
      <c r="BC17" s="42" t="s">
        <v>748</v>
      </c>
      <c r="BD17" s="42" t="s">
        <v>749</v>
      </c>
      <c r="BE17" s="38" t="s">
        <v>3096</v>
      </c>
    </row>
    <row r="18" spans="1:59" s="38" customFormat="1" ht="80.099999999999994" customHeight="1" x14ac:dyDescent="0.25">
      <c r="A18" s="38">
        <v>16</v>
      </c>
      <c r="B18" s="15">
        <v>162</v>
      </c>
      <c r="C18" s="38" t="s">
        <v>4443</v>
      </c>
      <c r="D18" s="15" t="s">
        <v>107</v>
      </c>
      <c r="F18" s="16" t="s">
        <v>925</v>
      </c>
      <c r="G18" s="15" t="s">
        <v>38</v>
      </c>
      <c r="H18" s="15" t="s">
        <v>92</v>
      </c>
      <c r="I18" s="38" t="s">
        <v>68</v>
      </c>
      <c r="J18" s="38" t="s">
        <v>435</v>
      </c>
      <c r="K18" s="38" t="s">
        <v>435</v>
      </c>
      <c r="L18" s="38" t="s">
        <v>82</v>
      </c>
      <c r="M18" s="38" t="s">
        <v>926</v>
      </c>
      <c r="N18" s="38" t="s">
        <v>95</v>
      </c>
      <c r="O18" s="38" t="s">
        <v>72</v>
      </c>
      <c r="P18" s="38" t="s">
        <v>85</v>
      </c>
      <c r="Q18" s="38" t="s">
        <v>185</v>
      </c>
      <c r="R18" s="38">
        <v>1809225329</v>
      </c>
      <c r="S18" s="38">
        <v>2018</v>
      </c>
      <c r="T18" s="38" t="s">
        <v>89</v>
      </c>
      <c r="U18" s="38" t="s">
        <v>37</v>
      </c>
      <c r="V18" s="38" t="s">
        <v>215</v>
      </c>
      <c r="W18" s="38">
        <v>942</v>
      </c>
      <c r="X18" s="38">
        <f>W18/1000*100</f>
        <v>94.199999999999989</v>
      </c>
      <c r="Y18" s="38">
        <f>95+98+72+66+60+53+30+30</f>
        <v>504</v>
      </c>
      <c r="Z18" s="38">
        <v>530</v>
      </c>
      <c r="AA18" s="38">
        <f>Y18/Z18*100</f>
        <v>95.094339622641513</v>
      </c>
      <c r="AB18" s="38">
        <f>72+74+58+42+72+66+60+53+30+30</f>
        <v>557</v>
      </c>
      <c r="AC18" s="38">
        <v>600</v>
      </c>
      <c r="AD18" s="38">
        <f>AB18/AC18*100</f>
        <v>92.833333333333329</v>
      </c>
      <c r="AE18" s="38" t="s">
        <v>927</v>
      </c>
      <c r="AF18" s="38" t="s">
        <v>204</v>
      </c>
      <c r="AG18" s="38" t="s">
        <v>920</v>
      </c>
      <c r="AH18" s="38">
        <v>10000</v>
      </c>
      <c r="AI18" s="38">
        <v>210000</v>
      </c>
      <c r="AJ18" s="38">
        <v>27500</v>
      </c>
      <c r="AK18" s="38">
        <f>AH18+AI18+AJ18</f>
        <v>247500</v>
      </c>
      <c r="AL18" s="38" t="s">
        <v>928</v>
      </c>
      <c r="AM18" s="38" t="s">
        <v>78</v>
      </c>
      <c r="AN18" s="38" t="s">
        <v>929</v>
      </c>
      <c r="AO18" s="38" t="s">
        <v>139</v>
      </c>
      <c r="AP18" s="38">
        <v>100000</v>
      </c>
      <c r="AQ18" s="38" t="s">
        <v>930</v>
      </c>
      <c r="AR18" s="41" t="s">
        <v>931</v>
      </c>
      <c r="AS18" s="38" t="s">
        <v>933</v>
      </c>
      <c r="AT18" s="38" t="s">
        <v>932</v>
      </c>
      <c r="AU18" s="38" t="s">
        <v>250</v>
      </c>
      <c r="AV18" s="38" t="s">
        <v>215</v>
      </c>
      <c r="AX18" s="38" t="s">
        <v>933</v>
      </c>
      <c r="AY18" s="38" t="s">
        <v>934</v>
      </c>
      <c r="AZ18" s="38">
        <v>6301900397</v>
      </c>
      <c r="BA18" s="38">
        <v>9440078916</v>
      </c>
      <c r="BB18" s="38">
        <v>7989997860</v>
      </c>
      <c r="BC18" s="42" t="s">
        <v>935</v>
      </c>
      <c r="BD18" s="42" t="s">
        <v>936</v>
      </c>
      <c r="BE18" s="38" t="s">
        <v>937</v>
      </c>
      <c r="BF18" s="38" t="s">
        <v>144</v>
      </c>
    </row>
    <row r="19" spans="1:59" s="38" customFormat="1" ht="80.099999999999994" customHeight="1" x14ac:dyDescent="0.25">
      <c r="A19" s="38">
        <v>17</v>
      </c>
      <c r="B19" s="38">
        <v>166</v>
      </c>
      <c r="C19" s="38" t="s">
        <v>4443</v>
      </c>
      <c r="D19" s="38" t="s">
        <v>107</v>
      </c>
      <c r="F19" s="43" t="s">
        <v>938</v>
      </c>
      <c r="G19" s="38" t="s">
        <v>38</v>
      </c>
      <c r="H19" s="38" t="s">
        <v>92</v>
      </c>
      <c r="I19" s="38" t="s">
        <v>68</v>
      </c>
      <c r="J19" s="38" t="s">
        <v>36</v>
      </c>
      <c r="K19" s="38" t="s">
        <v>942</v>
      </c>
      <c r="L19" s="38" t="s">
        <v>82</v>
      </c>
      <c r="M19" s="38" t="s">
        <v>943</v>
      </c>
      <c r="N19" s="38" t="s">
        <v>944</v>
      </c>
      <c r="O19" s="38" t="s">
        <v>83</v>
      </c>
      <c r="P19" s="38" t="s">
        <v>431</v>
      </c>
      <c r="Q19" s="38" t="s">
        <v>185</v>
      </c>
      <c r="R19" s="38">
        <v>4624017</v>
      </c>
      <c r="S19" s="38">
        <v>2018</v>
      </c>
      <c r="T19" s="38" t="s">
        <v>616</v>
      </c>
      <c r="U19" s="38" t="s">
        <v>65</v>
      </c>
      <c r="V19" s="38" t="s">
        <v>37</v>
      </c>
      <c r="W19" s="38" t="s">
        <v>37</v>
      </c>
      <c r="X19" s="38" t="s">
        <v>37</v>
      </c>
      <c r="Y19" s="38">
        <f>91+82+87+84+81</f>
        <v>425</v>
      </c>
      <c r="Z19" s="38">
        <v>500</v>
      </c>
      <c r="AA19" s="38">
        <f>Y19/Z19*100</f>
        <v>85</v>
      </c>
      <c r="AB19" s="38">
        <f>82+87+84</f>
        <v>253</v>
      </c>
      <c r="AC19" s="38">
        <v>300</v>
      </c>
      <c r="AD19" s="38">
        <f>AB19/AC19*100</f>
        <v>84.333333333333343</v>
      </c>
      <c r="AE19" s="38" t="s">
        <v>945</v>
      </c>
      <c r="AF19" s="38" t="s">
        <v>920</v>
      </c>
      <c r="AG19" s="38" t="s">
        <v>920</v>
      </c>
      <c r="AH19" s="38">
        <v>10000</v>
      </c>
      <c r="AI19" s="38">
        <v>210000</v>
      </c>
      <c r="AJ19" s="38">
        <v>27500</v>
      </c>
      <c r="AK19" s="38">
        <f>AH19+AI19+AJ19</f>
        <v>247500</v>
      </c>
      <c r="AL19" s="38" t="s">
        <v>946</v>
      </c>
      <c r="AM19" s="38" t="s">
        <v>87</v>
      </c>
      <c r="AN19" s="38" t="s">
        <v>947</v>
      </c>
      <c r="AO19" s="38" t="s">
        <v>320</v>
      </c>
      <c r="AP19" s="38">
        <v>2300000</v>
      </c>
      <c r="AQ19" s="38" t="s">
        <v>948</v>
      </c>
      <c r="AR19" s="41" t="s">
        <v>949</v>
      </c>
      <c r="AS19" s="38" t="s">
        <v>953</v>
      </c>
      <c r="AT19" s="38" t="s">
        <v>950</v>
      </c>
      <c r="AU19" s="38" t="s">
        <v>95</v>
      </c>
      <c r="AV19" s="38" t="s">
        <v>65</v>
      </c>
      <c r="AW19" s="38">
        <v>560067</v>
      </c>
      <c r="AX19" s="38" t="s">
        <v>953</v>
      </c>
      <c r="AZ19" s="38">
        <v>9164292257</v>
      </c>
      <c r="BA19" s="38">
        <v>7389905990</v>
      </c>
      <c r="BB19" s="38">
        <v>8217734579</v>
      </c>
      <c r="BC19" s="42" t="s">
        <v>951</v>
      </c>
      <c r="BD19" s="42" t="s">
        <v>952</v>
      </c>
      <c r="BE19" s="38" t="s">
        <v>3048</v>
      </c>
      <c r="BF19" s="38" t="s">
        <v>2349</v>
      </c>
    </row>
    <row r="20" spans="1:59" s="38" customFormat="1" ht="80.099999999999994" customHeight="1" x14ac:dyDescent="0.25">
      <c r="A20" s="38">
        <v>18</v>
      </c>
      <c r="B20" s="15">
        <v>170</v>
      </c>
      <c r="C20" s="38" t="s">
        <v>4443</v>
      </c>
      <c r="D20" s="15" t="s">
        <v>107</v>
      </c>
      <c r="E20" s="15"/>
      <c r="F20" s="16" t="s">
        <v>954</v>
      </c>
      <c r="G20" s="15" t="s">
        <v>38</v>
      </c>
      <c r="H20" s="15" t="s">
        <v>35</v>
      </c>
      <c r="I20" s="38" t="s">
        <v>68</v>
      </c>
      <c r="J20" s="38" t="s">
        <v>36</v>
      </c>
      <c r="K20" s="38" t="s">
        <v>157</v>
      </c>
      <c r="L20" s="38" t="s">
        <v>82</v>
      </c>
      <c r="M20" s="38" t="s">
        <v>968</v>
      </c>
      <c r="N20" s="38" t="s">
        <v>969</v>
      </c>
      <c r="O20" s="38" t="s">
        <v>83</v>
      </c>
      <c r="Q20" s="38" t="s">
        <v>63</v>
      </c>
      <c r="R20" s="38">
        <v>483236</v>
      </c>
      <c r="S20" s="38">
        <v>2018</v>
      </c>
      <c r="T20" s="38" t="s">
        <v>64</v>
      </c>
      <c r="U20" s="38" t="s">
        <v>65</v>
      </c>
      <c r="V20" s="38" t="s">
        <v>37</v>
      </c>
      <c r="W20" s="38" t="s">
        <v>37</v>
      </c>
      <c r="X20" s="38" t="s">
        <v>37</v>
      </c>
      <c r="Y20" s="38">
        <v>472</v>
      </c>
      <c r="Z20" s="38">
        <v>600</v>
      </c>
      <c r="AA20" s="38">
        <f>Y20/Z20*100</f>
        <v>78.666666666666657</v>
      </c>
      <c r="AB20" s="38">
        <f>92+80+96</f>
        <v>268</v>
      </c>
      <c r="AC20" s="38">
        <v>300</v>
      </c>
      <c r="AD20" s="38">
        <f>AB20/AC20*100</f>
        <v>89.333333333333329</v>
      </c>
      <c r="AE20" s="38" t="s">
        <v>970</v>
      </c>
      <c r="AF20" s="38" t="s">
        <v>971</v>
      </c>
      <c r="AG20" s="38" t="s">
        <v>920</v>
      </c>
      <c r="AH20" s="38">
        <v>10000</v>
      </c>
      <c r="AI20" s="38">
        <v>210000</v>
      </c>
      <c r="AJ20" s="38">
        <v>27500</v>
      </c>
      <c r="AK20" s="38">
        <f>AH20+AI20+AJ20</f>
        <v>247500</v>
      </c>
      <c r="AL20" s="38" t="s">
        <v>972</v>
      </c>
      <c r="AM20" s="38" t="s">
        <v>78</v>
      </c>
      <c r="AN20" s="38" t="s">
        <v>973</v>
      </c>
      <c r="AO20" s="38" t="s">
        <v>187</v>
      </c>
      <c r="AP20" s="38">
        <v>500000</v>
      </c>
      <c r="AQ20" s="38" t="s">
        <v>974</v>
      </c>
      <c r="AR20" s="41" t="s">
        <v>975</v>
      </c>
      <c r="AS20" s="38" t="s">
        <v>980</v>
      </c>
      <c r="AT20" s="38" t="s">
        <v>976</v>
      </c>
      <c r="AU20" s="38" t="s">
        <v>95</v>
      </c>
      <c r="AV20" s="38" t="s">
        <v>65</v>
      </c>
      <c r="AW20" s="38">
        <v>562123</v>
      </c>
      <c r="AX20" s="38" t="s">
        <v>980</v>
      </c>
      <c r="AY20" s="38" t="s">
        <v>977</v>
      </c>
      <c r="AZ20" s="38">
        <v>9481685375</v>
      </c>
      <c r="BA20" s="38">
        <v>9880395375</v>
      </c>
      <c r="BB20" s="38">
        <v>9482512700</v>
      </c>
      <c r="BC20" s="42" t="s">
        <v>978</v>
      </c>
      <c r="BD20" s="42" t="s">
        <v>979</v>
      </c>
      <c r="BE20" s="38" t="s">
        <v>3398</v>
      </c>
      <c r="BF20" s="38" t="s">
        <v>3397</v>
      </c>
    </row>
    <row r="21" spans="1:59" s="38" customFormat="1" ht="80.099999999999994" customHeight="1" x14ac:dyDescent="0.25">
      <c r="A21" s="38">
        <v>19</v>
      </c>
      <c r="B21" s="15">
        <v>176</v>
      </c>
      <c r="C21" s="38" t="s">
        <v>4443</v>
      </c>
      <c r="D21" s="15" t="s">
        <v>107</v>
      </c>
      <c r="E21" s="15"/>
      <c r="F21" s="16" t="s">
        <v>957</v>
      </c>
      <c r="G21" s="15" t="s">
        <v>38</v>
      </c>
      <c r="H21" s="15" t="s">
        <v>35</v>
      </c>
      <c r="I21" s="15" t="s">
        <v>68</v>
      </c>
      <c r="J21" s="15" t="s">
        <v>36</v>
      </c>
      <c r="K21" s="15" t="s">
        <v>1009</v>
      </c>
      <c r="L21" s="15" t="s">
        <v>70</v>
      </c>
      <c r="M21" s="15" t="s">
        <v>1010</v>
      </c>
      <c r="N21" s="15" t="s">
        <v>1011</v>
      </c>
      <c r="O21" s="15" t="s">
        <v>737</v>
      </c>
      <c r="P21" s="15" t="s">
        <v>73</v>
      </c>
      <c r="Q21" s="15" t="s">
        <v>185</v>
      </c>
      <c r="R21" s="15">
        <v>6613584</v>
      </c>
      <c r="S21" s="15">
        <v>2018</v>
      </c>
      <c r="T21" s="15" t="s">
        <v>616</v>
      </c>
      <c r="U21" s="15" t="s">
        <v>37</v>
      </c>
      <c r="V21" s="15" t="s">
        <v>247</v>
      </c>
      <c r="W21" s="15" t="s">
        <v>37</v>
      </c>
      <c r="X21" s="15" t="s">
        <v>37</v>
      </c>
      <c r="Y21" s="15">
        <f>63+59+50+59+56+48</f>
        <v>335</v>
      </c>
      <c r="Z21" s="15">
        <v>600</v>
      </c>
      <c r="AA21" s="38">
        <f>Y21/Z21*100</f>
        <v>55.833333333333336</v>
      </c>
      <c r="AB21" s="15">
        <f>59+50+48</f>
        <v>157</v>
      </c>
      <c r="AC21" s="15">
        <v>300</v>
      </c>
      <c r="AD21" s="15">
        <f>AB21/AC21*100</f>
        <v>52.333333333333329</v>
      </c>
      <c r="AE21" s="38" t="s">
        <v>1012</v>
      </c>
      <c r="AF21" s="15" t="s">
        <v>920</v>
      </c>
      <c r="AG21" s="38" t="s">
        <v>920</v>
      </c>
      <c r="AH21" s="38">
        <v>10000</v>
      </c>
      <c r="AI21" s="15">
        <v>210000</v>
      </c>
      <c r="AJ21" s="38">
        <v>27500</v>
      </c>
      <c r="AK21" s="38">
        <f>AH21+AI21+AJ21</f>
        <v>247500</v>
      </c>
      <c r="AL21" s="15" t="s">
        <v>1013</v>
      </c>
      <c r="AM21" s="15" t="s">
        <v>78</v>
      </c>
      <c r="AN21" s="15" t="s">
        <v>1014</v>
      </c>
      <c r="AO21" s="15" t="s">
        <v>1015</v>
      </c>
      <c r="AP21" s="15">
        <v>350000</v>
      </c>
      <c r="AQ21" s="15" t="s">
        <v>1016</v>
      </c>
      <c r="AR21" s="31" t="s">
        <v>1017</v>
      </c>
      <c r="AS21" s="15" t="s">
        <v>1018</v>
      </c>
      <c r="AT21" s="15" t="s">
        <v>1019</v>
      </c>
      <c r="AU21" s="15" t="s">
        <v>1011</v>
      </c>
      <c r="AV21" s="15" t="s">
        <v>247</v>
      </c>
      <c r="AW21" s="15">
        <v>752069</v>
      </c>
      <c r="AX21" s="15" t="s">
        <v>1018</v>
      </c>
      <c r="AY21" s="15" t="s">
        <v>37</v>
      </c>
      <c r="AZ21" s="15">
        <v>7008174887</v>
      </c>
      <c r="BA21" s="15">
        <v>8249419764</v>
      </c>
      <c r="BB21" s="15">
        <v>9437111708</v>
      </c>
      <c r="BC21" s="32" t="s">
        <v>1020</v>
      </c>
      <c r="BD21" s="32" t="s">
        <v>1021</v>
      </c>
      <c r="BE21" s="38" t="s">
        <v>3125</v>
      </c>
      <c r="BG21" s="15"/>
    </row>
    <row r="22" spans="1:59" s="38" customFormat="1" ht="80.099999999999994" customHeight="1" x14ac:dyDescent="0.25">
      <c r="A22" s="38">
        <v>20</v>
      </c>
      <c r="B22" s="38">
        <v>201</v>
      </c>
      <c r="C22" s="38" t="s">
        <v>4443</v>
      </c>
      <c r="D22" s="38" t="s">
        <v>107</v>
      </c>
      <c r="F22" s="43" t="s">
        <v>1130</v>
      </c>
      <c r="G22" s="38" t="s">
        <v>38</v>
      </c>
      <c r="H22" s="38" t="s">
        <v>35</v>
      </c>
      <c r="I22" s="38" t="s">
        <v>68</v>
      </c>
      <c r="J22" s="38" t="s">
        <v>36</v>
      </c>
      <c r="K22" s="38" t="s">
        <v>1131</v>
      </c>
      <c r="L22" s="38" t="s">
        <v>82</v>
      </c>
      <c r="M22" s="38" t="s">
        <v>448</v>
      </c>
      <c r="N22" s="38" t="s">
        <v>1132</v>
      </c>
      <c r="O22" s="38" t="s">
        <v>1133</v>
      </c>
      <c r="P22" s="38" t="s">
        <v>62</v>
      </c>
      <c r="Q22" s="38" t="s">
        <v>185</v>
      </c>
      <c r="R22" s="38">
        <v>1811220460</v>
      </c>
      <c r="S22" s="38">
        <v>2018</v>
      </c>
      <c r="T22" s="38" t="s">
        <v>366</v>
      </c>
      <c r="U22" s="38" t="s">
        <v>37</v>
      </c>
      <c r="V22" s="38" t="s">
        <v>155</v>
      </c>
      <c r="W22" s="38" t="s">
        <v>37</v>
      </c>
      <c r="X22" s="38" t="s">
        <v>37</v>
      </c>
      <c r="Y22" s="38">
        <v>905</v>
      </c>
      <c r="Z22" s="38">
        <v>1200</v>
      </c>
      <c r="AA22" s="38">
        <f>Y22/Z22*100</f>
        <v>75.416666666666671</v>
      </c>
      <c r="AB22" s="38">
        <f>180+162+109</f>
        <v>451</v>
      </c>
      <c r="AC22" s="38">
        <v>600</v>
      </c>
      <c r="AD22" s="38">
        <f>AB22/AC22*100</f>
        <v>75.166666666666671</v>
      </c>
      <c r="AE22" s="39" t="s">
        <v>1134</v>
      </c>
      <c r="AF22" s="38" t="s">
        <v>1118</v>
      </c>
      <c r="AG22" s="38" t="s">
        <v>1118</v>
      </c>
      <c r="AH22" s="38">
        <v>10000</v>
      </c>
      <c r="AI22" s="38">
        <v>210000</v>
      </c>
      <c r="AJ22" s="38">
        <v>27500</v>
      </c>
      <c r="AK22" s="38">
        <f>AH22+AI22+AJ22</f>
        <v>247500</v>
      </c>
      <c r="AL22" s="38" t="s">
        <v>1135</v>
      </c>
      <c r="AM22" s="38" t="s">
        <v>87</v>
      </c>
      <c r="AN22" s="38" t="s">
        <v>1136</v>
      </c>
      <c r="AO22" s="38" t="s">
        <v>154</v>
      </c>
      <c r="AP22" s="38">
        <v>200000</v>
      </c>
      <c r="AQ22" s="38" t="s">
        <v>1137</v>
      </c>
      <c r="AR22" s="41" t="s">
        <v>1138</v>
      </c>
      <c r="AS22" s="38" t="s">
        <v>1139</v>
      </c>
      <c r="AT22" s="38" t="s">
        <v>1140</v>
      </c>
      <c r="AU22" s="38" t="s">
        <v>764</v>
      </c>
      <c r="AV22" s="38" t="s">
        <v>152</v>
      </c>
      <c r="AW22" s="38">
        <v>643213</v>
      </c>
      <c r="AX22" s="38" t="s">
        <v>1141</v>
      </c>
      <c r="AY22" s="38" t="s">
        <v>1142</v>
      </c>
      <c r="AZ22" s="38">
        <v>8903485948</v>
      </c>
      <c r="BA22" s="38">
        <v>9787497496</v>
      </c>
      <c r="BB22" s="38">
        <v>8903455948</v>
      </c>
      <c r="BC22" s="38" t="s">
        <v>37</v>
      </c>
      <c r="BD22" s="42" t="s">
        <v>1143</v>
      </c>
      <c r="BE22" s="38" t="s">
        <v>2913</v>
      </c>
    </row>
    <row r="23" spans="1:59" s="38" customFormat="1" ht="80.099999999999994" customHeight="1" x14ac:dyDescent="0.25">
      <c r="A23" s="38">
        <v>21</v>
      </c>
      <c r="B23" s="38">
        <v>203</v>
      </c>
      <c r="C23" s="38" t="s">
        <v>4443</v>
      </c>
      <c r="D23" s="15" t="s">
        <v>107</v>
      </c>
      <c r="F23" s="16" t="s">
        <v>1145</v>
      </c>
      <c r="G23" s="15" t="s">
        <v>38</v>
      </c>
      <c r="H23" s="15" t="s">
        <v>35</v>
      </c>
      <c r="I23" s="38" t="s">
        <v>68</v>
      </c>
      <c r="J23" s="38" t="s">
        <v>36</v>
      </c>
      <c r="K23" s="38" t="s">
        <v>1161</v>
      </c>
      <c r="L23" s="38" t="s">
        <v>82</v>
      </c>
      <c r="M23" s="38" t="s">
        <v>907</v>
      </c>
      <c r="N23" s="38" t="s">
        <v>95</v>
      </c>
      <c r="O23" s="38" t="s">
        <v>72</v>
      </c>
      <c r="P23" s="38" t="s">
        <v>37</v>
      </c>
      <c r="Q23" s="38" t="s">
        <v>185</v>
      </c>
      <c r="R23" s="38">
        <v>6387624</v>
      </c>
      <c r="S23" s="38">
        <v>2018</v>
      </c>
      <c r="T23" s="38" t="s">
        <v>184</v>
      </c>
      <c r="U23" s="38" t="s">
        <v>65</v>
      </c>
      <c r="V23" s="38" t="s">
        <v>37</v>
      </c>
      <c r="W23" s="38" t="s">
        <v>37</v>
      </c>
      <c r="X23" s="38" t="s">
        <v>37</v>
      </c>
      <c r="Y23" s="38">
        <f>69+52+57+40+80</f>
        <v>298</v>
      </c>
      <c r="Z23" s="38">
        <v>500</v>
      </c>
      <c r="AA23" s="38">
        <f>Y23/Z23*100</f>
        <v>59.599999999999994</v>
      </c>
      <c r="AB23" s="38">
        <f>52+57+40</f>
        <v>149</v>
      </c>
      <c r="AC23" s="38">
        <v>300</v>
      </c>
      <c r="AD23" s="38">
        <f>AB23/AC23*100</f>
        <v>49.666666666666664</v>
      </c>
      <c r="AE23" s="38" t="s">
        <v>1162</v>
      </c>
      <c r="AF23" s="38" t="s">
        <v>1118</v>
      </c>
      <c r="AG23" s="38" t="s">
        <v>1118</v>
      </c>
      <c r="AH23" s="38">
        <v>10000</v>
      </c>
      <c r="AI23" s="38">
        <v>210000</v>
      </c>
      <c r="AJ23" s="38">
        <v>27500</v>
      </c>
      <c r="AK23" s="38">
        <f>AH23+AI23+AJ23</f>
        <v>247500</v>
      </c>
      <c r="AL23" s="38" t="s">
        <v>1163</v>
      </c>
      <c r="AM23" s="38" t="s">
        <v>614</v>
      </c>
      <c r="AN23" s="38" t="s">
        <v>1164</v>
      </c>
      <c r="AO23" s="38" t="s">
        <v>139</v>
      </c>
      <c r="AP23" s="38">
        <v>360000</v>
      </c>
      <c r="AQ23" s="38" t="s">
        <v>1165</v>
      </c>
      <c r="AR23" s="41" t="s">
        <v>1166</v>
      </c>
      <c r="AS23" s="38" t="s">
        <v>1168</v>
      </c>
      <c r="AT23" s="38" t="s">
        <v>1167</v>
      </c>
      <c r="AU23" s="38" t="s">
        <v>95</v>
      </c>
      <c r="AV23" s="38" t="s">
        <v>65</v>
      </c>
      <c r="AW23" s="38">
        <v>560087</v>
      </c>
      <c r="AX23" s="38" t="s">
        <v>1168</v>
      </c>
      <c r="AZ23" s="38">
        <v>8317498215</v>
      </c>
      <c r="BA23" s="38">
        <v>9590295893</v>
      </c>
      <c r="BB23" s="38">
        <v>7760262484</v>
      </c>
      <c r="BC23" s="38" t="s">
        <v>37</v>
      </c>
      <c r="BD23" s="42" t="s">
        <v>1169</v>
      </c>
      <c r="BE23" s="38" t="s">
        <v>1170</v>
      </c>
      <c r="BF23" s="38" t="s">
        <v>230</v>
      </c>
    </row>
    <row r="24" spans="1:59" s="38" customFormat="1" ht="80.099999999999994" customHeight="1" x14ac:dyDescent="0.25">
      <c r="A24" s="38">
        <v>22</v>
      </c>
      <c r="B24" s="15">
        <v>210</v>
      </c>
      <c r="C24" s="38" t="s">
        <v>4443</v>
      </c>
      <c r="D24" s="15" t="s">
        <v>107</v>
      </c>
      <c r="F24" s="16" t="s">
        <v>1159</v>
      </c>
      <c r="G24" s="15" t="s">
        <v>38</v>
      </c>
      <c r="H24" s="15" t="s">
        <v>35</v>
      </c>
      <c r="I24" s="38" t="s">
        <v>68</v>
      </c>
      <c r="J24" s="38" t="s">
        <v>36</v>
      </c>
      <c r="K24" s="38" t="s">
        <v>248</v>
      </c>
      <c r="L24" s="38" t="s">
        <v>82</v>
      </c>
      <c r="M24" s="38" t="s">
        <v>1194</v>
      </c>
      <c r="N24" s="38" t="s">
        <v>631</v>
      </c>
      <c r="O24" s="38" t="s">
        <v>83</v>
      </c>
      <c r="P24" s="38" t="s">
        <v>73</v>
      </c>
      <c r="Q24" s="38" t="s">
        <v>185</v>
      </c>
      <c r="R24" s="38">
        <v>1809220308</v>
      </c>
      <c r="S24" s="38">
        <v>2018</v>
      </c>
      <c r="T24" s="38" t="s">
        <v>89</v>
      </c>
      <c r="U24" s="38" t="s">
        <v>37</v>
      </c>
      <c r="V24" s="38" t="s">
        <v>215</v>
      </c>
      <c r="W24" s="38">
        <v>978</v>
      </c>
      <c r="X24" s="38">
        <f>W24/1000*100</f>
        <v>97.8</v>
      </c>
      <c r="Y24" s="38">
        <f>95+99+75+72+60+60+30+30</f>
        <v>521</v>
      </c>
      <c r="Z24" s="38">
        <v>530</v>
      </c>
      <c r="AA24" s="38">
        <f>Y24/Z24*100</f>
        <v>98.301886792452834</v>
      </c>
      <c r="AB24" s="38">
        <f>75+75+59+57+75+72+60+60+30+30</f>
        <v>593</v>
      </c>
      <c r="AC24" s="38">
        <v>600</v>
      </c>
      <c r="AD24" s="38">
        <f>AB24/AC24*100</f>
        <v>98.833333333333329</v>
      </c>
      <c r="AE24" s="38" t="s">
        <v>1195</v>
      </c>
      <c r="AF24" s="38" t="s">
        <v>1118</v>
      </c>
      <c r="AG24" s="38" t="s">
        <v>1118</v>
      </c>
      <c r="AH24" s="38">
        <v>10000</v>
      </c>
      <c r="AI24" s="38">
        <v>210000</v>
      </c>
      <c r="AJ24" s="38">
        <v>27500</v>
      </c>
      <c r="AK24" s="38">
        <f>AH24+AI24+AJ24</f>
        <v>247500</v>
      </c>
      <c r="AL24" s="38" t="s">
        <v>1196</v>
      </c>
      <c r="AM24" s="38" t="s">
        <v>1198</v>
      </c>
      <c r="AN24" s="38" t="s">
        <v>1197</v>
      </c>
      <c r="AO24" s="38" t="s">
        <v>1198</v>
      </c>
      <c r="AP24" s="38">
        <v>2400000</v>
      </c>
      <c r="AQ24" s="38" t="s">
        <v>1199</v>
      </c>
      <c r="AR24" s="41" t="s">
        <v>1200</v>
      </c>
      <c r="AS24" s="38" t="s">
        <v>1201</v>
      </c>
      <c r="AT24" s="38" t="s">
        <v>1202</v>
      </c>
      <c r="AU24" s="38" t="s">
        <v>250</v>
      </c>
      <c r="AV24" s="38" t="s">
        <v>215</v>
      </c>
      <c r="AW24" s="38">
        <v>517501</v>
      </c>
      <c r="AX24" s="38" t="s">
        <v>1201</v>
      </c>
      <c r="AY24" s="38" t="s">
        <v>1203</v>
      </c>
      <c r="AZ24" s="38">
        <v>7893399230</v>
      </c>
      <c r="BA24" s="38">
        <v>9573433345</v>
      </c>
      <c r="BB24" s="38">
        <v>8332030612</v>
      </c>
      <c r="BC24" s="42" t="s">
        <v>1204</v>
      </c>
      <c r="BD24" s="42" t="s">
        <v>1205</v>
      </c>
      <c r="BE24" s="38" t="s">
        <v>4368</v>
      </c>
    </row>
    <row r="25" spans="1:59" s="38" customFormat="1" ht="80.099999999999994" customHeight="1" x14ac:dyDescent="0.25">
      <c r="A25" s="38">
        <v>23</v>
      </c>
      <c r="B25" s="15">
        <v>223</v>
      </c>
      <c r="C25" s="38" t="s">
        <v>4443</v>
      </c>
      <c r="D25" s="15" t="s">
        <v>107</v>
      </c>
      <c r="F25" s="16" t="s">
        <v>1217</v>
      </c>
      <c r="G25" s="15" t="s">
        <v>38</v>
      </c>
      <c r="H25" s="15" t="s">
        <v>35</v>
      </c>
      <c r="I25" s="38" t="s">
        <v>68</v>
      </c>
      <c r="J25" s="38" t="s">
        <v>36</v>
      </c>
      <c r="K25" s="38" t="s">
        <v>1221</v>
      </c>
      <c r="L25" s="38" t="s">
        <v>70</v>
      </c>
      <c r="M25" s="38" t="s">
        <v>1222</v>
      </c>
      <c r="N25" s="38" t="s">
        <v>1223</v>
      </c>
      <c r="O25" s="38" t="s">
        <v>123</v>
      </c>
      <c r="P25" s="38" t="s">
        <v>85</v>
      </c>
      <c r="Q25" s="38" t="s">
        <v>185</v>
      </c>
      <c r="R25" s="38">
        <v>1811571567</v>
      </c>
      <c r="S25" s="38">
        <v>2018</v>
      </c>
      <c r="T25" s="38" t="s">
        <v>366</v>
      </c>
      <c r="U25" s="38" t="s">
        <v>37</v>
      </c>
      <c r="V25" s="38" t="s">
        <v>155</v>
      </c>
      <c r="W25" s="38" t="s">
        <v>37</v>
      </c>
      <c r="X25" s="38" t="s">
        <v>37</v>
      </c>
      <c r="Y25" s="38">
        <v>826</v>
      </c>
      <c r="Z25" s="38">
        <v>1200</v>
      </c>
      <c r="AA25" s="38">
        <f>Y25/Z25*100</f>
        <v>68.833333333333329</v>
      </c>
      <c r="AB25" s="38">
        <f>112+135+91</f>
        <v>338</v>
      </c>
      <c r="AC25" s="38">
        <v>600</v>
      </c>
      <c r="AD25" s="38">
        <f>AB25/AC25*100</f>
        <v>56.333333333333336</v>
      </c>
      <c r="AE25" s="38" t="s">
        <v>1224</v>
      </c>
      <c r="AF25" s="38" t="s">
        <v>204</v>
      </c>
      <c r="AG25" s="38" t="s">
        <v>1219</v>
      </c>
      <c r="AH25" s="38">
        <v>10000</v>
      </c>
      <c r="AI25" s="38">
        <v>210000</v>
      </c>
      <c r="AJ25" s="38">
        <v>27500</v>
      </c>
      <c r="AK25" s="38">
        <f>AH25+AI25+AJ25</f>
        <v>247500</v>
      </c>
      <c r="AL25" s="38" t="s">
        <v>1225</v>
      </c>
      <c r="AM25" s="38" t="s">
        <v>87</v>
      </c>
      <c r="AN25" s="38" t="s">
        <v>1226</v>
      </c>
      <c r="AO25" s="38" t="s">
        <v>1227</v>
      </c>
      <c r="AP25" s="38">
        <v>426036</v>
      </c>
      <c r="AQ25" s="38" t="s">
        <v>1228</v>
      </c>
      <c r="AR25" s="41" t="s">
        <v>1229</v>
      </c>
      <c r="AS25" s="38" t="s">
        <v>1232</v>
      </c>
      <c r="AT25" s="38" t="s">
        <v>1230</v>
      </c>
      <c r="AU25" s="38" t="s">
        <v>1231</v>
      </c>
      <c r="AV25" s="38" t="s">
        <v>1223</v>
      </c>
      <c r="AW25" s="38">
        <v>605008</v>
      </c>
      <c r="AX25" s="38" t="s">
        <v>1232</v>
      </c>
      <c r="BA25" s="38">
        <v>9940931892</v>
      </c>
      <c r="BB25" s="38">
        <v>9600831540</v>
      </c>
      <c r="BC25" s="42" t="s">
        <v>1234</v>
      </c>
      <c r="BD25" s="42" t="s">
        <v>1233</v>
      </c>
      <c r="BE25" s="38" t="s">
        <v>2913</v>
      </c>
    </row>
    <row r="26" spans="1:59" s="38" customFormat="1" ht="80.099999999999994" customHeight="1" x14ac:dyDescent="0.25">
      <c r="A26" s="38">
        <v>24</v>
      </c>
      <c r="B26" s="15">
        <v>235</v>
      </c>
      <c r="C26" s="38" t="s">
        <v>4443</v>
      </c>
      <c r="D26" s="15" t="s">
        <v>107</v>
      </c>
      <c r="F26" s="16" t="s">
        <v>1253</v>
      </c>
      <c r="G26" s="15" t="s">
        <v>38</v>
      </c>
      <c r="H26" s="15" t="s">
        <v>35</v>
      </c>
      <c r="I26" s="38" t="s">
        <v>68</v>
      </c>
      <c r="J26" s="38" t="s">
        <v>36</v>
      </c>
      <c r="K26" s="38" t="s">
        <v>469</v>
      </c>
      <c r="L26" s="38" t="s">
        <v>82</v>
      </c>
      <c r="M26" s="38" t="s">
        <v>1275</v>
      </c>
      <c r="N26" s="38" t="s">
        <v>84</v>
      </c>
      <c r="O26" s="38" t="s">
        <v>83</v>
      </c>
      <c r="P26" s="38" t="s">
        <v>73</v>
      </c>
      <c r="Q26" s="38" t="s">
        <v>185</v>
      </c>
      <c r="R26" s="38">
        <v>4630080</v>
      </c>
      <c r="S26" s="38">
        <v>2018</v>
      </c>
      <c r="T26" s="38" t="s">
        <v>616</v>
      </c>
      <c r="U26" s="38" t="s">
        <v>65</v>
      </c>
      <c r="V26" s="38" t="s">
        <v>37</v>
      </c>
      <c r="W26" s="38" t="s">
        <v>37</v>
      </c>
      <c r="X26" s="38" t="s">
        <v>37</v>
      </c>
      <c r="Y26" s="38">
        <f>84+81+75+71+84</f>
        <v>395</v>
      </c>
      <c r="Z26" s="38">
        <v>500</v>
      </c>
      <c r="AA26" s="38">
        <f>Y26/Z26*100</f>
        <v>79</v>
      </c>
      <c r="AB26" s="38">
        <f>81+75+71</f>
        <v>227</v>
      </c>
      <c r="AC26" s="38">
        <v>300</v>
      </c>
      <c r="AD26" s="38">
        <f>AB26/AC26*100</f>
        <v>75.666666666666671</v>
      </c>
      <c r="AE26" s="38" t="s">
        <v>1276</v>
      </c>
      <c r="AF26" s="38" t="s">
        <v>204</v>
      </c>
      <c r="AG26" s="38" t="s">
        <v>1258</v>
      </c>
      <c r="AH26" s="38">
        <v>10000</v>
      </c>
      <c r="AI26" s="38">
        <v>210000</v>
      </c>
      <c r="AJ26" s="38">
        <v>27500</v>
      </c>
      <c r="AK26" s="38">
        <f>AH26+AI26+AJ26</f>
        <v>247500</v>
      </c>
      <c r="AL26" s="38" t="s">
        <v>1277</v>
      </c>
      <c r="AM26" s="38" t="s">
        <v>78</v>
      </c>
      <c r="AN26" s="38" t="s">
        <v>1278</v>
      </c>
      <c r="AO26" s="38" t="s">
        <v>187</v>
      </c>
      <c r="AP26" s="38">
        <v>1200000</v>
      </c>
      <c r="AQ26" s="38" t="s">
        <v>1279</v>
      </c>
      <c r="AR26" s="41" t="s">
        <v>1280</v>
      </c>
      <c r="AS26" s="38" t="s">
        <v>1281</v>
      </c>
      <c r="AT26" s="38" t="s">
        <v>1282</v>
      </c>
      <c r="AU26" s="38" t="s">
        <v>95</v>
      </c>
      <c r="AV26" s="38" t="s">
        <v>65</v>
      </c>
      <c r="AW26" s="38">
        <v>560066</v>
      </c>
      <c r="AX26" s="38" t="s">
        <v>1281</v>
      </c>
      <c r="AY26" s="38" t="s">
        <v>1283</v>
      </c>
      <c r="AZ26" s="38">
        <v>9108592303</v>
      </c>
      <c r="BA26" s="38">
        <v>9900919148</v>
      </c>
      <c r="BB26" s="38">
        <v>9686809637</v>
      </c>
      <c r="BC26" s="42" t="s">
        <v>1284</v>
      </c>
      <c r="BD26" s="42" t="s">
        <v>1285</v>
      </c>
      <c r="BE26" s="38" t="s">
        <v>2913</v>
      </c>
    </row>
    <row r="27" spans="1:59" s="38" customFormat="1" ht="80.099999999999994" customHeight="1" x14ac:dyDescent="0.25">
      <c r="A27" s="38">
        <v>25</v>
      </c>
      <c r="B27" s="38">
        <v>243</v>
      </c>
      <c r="C27" s="38" t="s">
        <v>4443</v>
      </c>
      <c r="D27" s="38" t="s">
        <v>107</v>
      </c>
      <c r="F27" s="43" t="s">
        <v>1286</v>
      </c>
      <c r="G27" s="38" t="s">
        <v>38</v>
      </c>
      <c r="H27" s="38" t="s">
        <v>35</v>
      </c>
      <c r="I27" s="38" t="s">
        <v>68</v>
      </c>
      <c r="J27" s="38" t="s">
        <v>435</v>
      </c>
      <c r="K27" s="38" t="s">
        <v>435</v>
      </c>
      <c r="L27" s="38" t="s">
        <v>82</v>
      </c>
      <c r="M27" s="38" t="s">
        <v>1237</v>
      </c>
      <c r="N27" s="38" t="s">
        <v>1336</v>
      </c>
      <c r="O27" s="38" t="s">
        <v>1337</v>
      </c>
      <c r="P27" s="38" t="s">
        <v>62</v>
      </c>
      <c r="Q27" s="38" t="s">
        <v>63</v>
      </c>
      <c r="R27" s="38">
        <v>384936</v>
      </c>
      <c r="S27" s="38">
        <v>2018</v>
      </c>
      <c r="T27" s="38" t="s">
        <v>64</v>
      </c>
      <c r="U27" s="38" t="s">
        <v>65</v>
      </c>
      <c r="V27" s="38" t="s">
        <v>37</v>
      </c>
      <c r="W27" s="38" t="s">
        <v>37</v>
      </c>
      <c r="X27" s="38" t="s">
        <v>37</v>
      </c>
      <c r="Y27" s="38">
        <v>559</v>
      </c>
      <c r="Z27" s="38">
        <v>600</v>
      </c>
      <c r="AA27" s="38">
        <f>Y27/Z27*100</f>
        <v>93.166666666666657</v>
      </c>
      <c r="AB27" s="38">
        <f>91+92+100</f>
        <v>283</v>
      </c>
      <c r="AC27" s="38">
        <v>300</v>
      </c>
      <c r="AD27" s="38">
        <f>AB27/AC27*100</f>
        <v>94.333333333333343</v>
      </c>
      <c r="AE27" s="38" t="s">
        <v>1338</v>
      </c>
      <c r="AF27" s="38" t="s">
        <v>1023</v>
      </c>
      <c r="AG27" s="38" t="s">
        <v>1258</v>
      </c>
      <c r="AH27" s="38">
        <v>10000</v>
      </c>
      <c r="AI27" s="38">
        <v>210000</v>
      </c>
      <c r="AJ27" s="38">
        <v>27500</v>
      </c>
      <c r="AK27" s="38">
        <f>AH27+AI27+AJ27</f>
        <v>247500</v>
      </c>
      <c r="AL27" s="38" t="s">
        <v>1339</v>
      </c>
      <c r="AM27" s="38" t="s">
        <v>78</v>
      </c>
      <c r="AN27" s="38" t="s">
        <v>1340</v>
      </c>
      <c r="AO27" s="38" t="s">
        <v>912</v>
      </c>
      <c r="AP27" s="38">
        <v>400000</v>
      </c>
      <c r="AQ27" s="38" t="s">
        <v>1341</v>
      </c>
      <c r="AR27" s="41" t="s">
        <v>1347</v>
      </c>
      <c r="AS27" s="38" t="s">
        <v>1342</v>
      </c>
      <c r="AT27" s="38" t="s">
        <v>1343</v>
      </c>
      <c r="AU27" s="38" t="s">
        <v>1344</v>
      </c>
      <c r="AV27" s="38" t="s">
        <v>450</v>
      </c>
      <c r="AW27" s="38">
        <v>733211</v>
      </c>
      <c r="AX27" s="38" t="s">
        <v>1342</v>
      </c>
      <c r="AZ27" s="38">
        <v>7019073614</v>
      </c>
      <c r="BA27" s="38">
        <v>9733187239</v>
      </c>
      <c r="BB27" s="38">
        <v>7478572471</v>
      </c>
      <c r="BC27" s="42" t="s">
        <v>1345</v>
      </c>
      <c r="BD27" s="42" t="s">
        <v>1346</v>
      </c>
      <c r="BE27" s="38" t="s">
        <v>3985</v>
      </c>
    </row>
    <row r="28" spans="1:59" s="38" customFormat="1" ht="80.099999999999994" customHeight="1" x14ac:dyDescent="0.25">
      <c r="A28" s="38">
        <v>26</v>
      </c>
      <c r="B28" s="15">
        <v>255</v>
      </c>
      <c r="C28" s="38" t="s">
        <v>4443</v>
      </c>
      <c r="D28" s="15" t="s">
        <v>107</v>
      </c>
      <c r="F28" s="16" t="s">
        <v>1352</v>
      </c>
      <c r="G28" s="15" t="s">
        <v>38</v>
      </c>
      <c r="H28" s="15" t="s">
        <v>35</v>
      </c>
      <c r="I28" s="38" t="s">
        <v>68</v>
      </c>
      <c r="J28" s="38" t="s">
        <v>36</v>
      </c>
      <c r="K28" s="38" t="s">
        <v>1372</v>
      </c>
      <c r="L28" s="38" t="s">
        <v>82</v>
      </c>
      <c r="M28" s="38" t="s">
        <v>926</v>
      </c>
      <c r="N28" s="38" t="s">
        <v>560</v>
      </c>
      <c r="O28" s="38" t="s">
        <v>83</v>
      </c>
      <c r="Q28" s="38" t="s">
        <v>185</v>
      </c>
      <c r="R28" s="38">
        <v>1858230233</v>
      </c>
      <c r="S28" s="38">
        <v>2018</v>
      </c>
      <c r="T28" s="38" t="s">
        <v>75</v>
      </c>
      <c r="U28" s="38" t="s">
        <v>37</v>
      </c>
      <c r="V28" s="38" t="s">
        <v>76</v>
      </c>
      <c r="W28" s="38">
        <v>962</v>
      </c>
      <c r="X28" s="38">
        <f>W28/1000*100</f>
        <v>96.2</v>
      </c>
      <c r="Y28" s="38">
        <f>95+98+75+75+51+57+30+30</f>
        <v>511</v>
      </c>
      <c r="Z28" s="38">
        <v>530</v>
      </c>
      <c r="AA28" s="38">
        <f>Y28/Z28*100</f>
        <v>96.415094339622641</v>
      </c>
      <c r="AB28" s="38">
        <f>74+72+57+58+75+75+51+57+30+30</f>
        <v>579</v>
      </c>
      <c r="AC28" s="38">
        <v>600</v>
      </c>
      <c r="AD28" s="38">
        <f>AB28/AC28*100</f>
        <v>96.5</v>
      </c>
      <c r="AE28" s="38" t="s">
        <v>1373</v>
      </c>
      <c r="AF28" s="38" t="s">
        <v>1349</v>
      </c>
      <c r="AG28" s="38" t="s">
        <v>1349</v>
      </c>
      <c r="AH28" s="38">
        <v>10000</v>
      </c>
      <c r="AI28" s="38">
        <v>210000</v>
      </c>
      <c r="AJ28" s="38">
        <v>27500</v>
      </c>
      <c r="AK28" s="38">
        <f>AH28+AI28+AJ28</f>
        <v>247500</v>
      </c>
      <c r="AL28" s="38" t="s">
        <v>1375</v>
      </c>
      <c r="AM28" s="38" t="s">
        <v>37</v>
      </c>
      <c r="AN28" s="38" t="s">
        <v>1374</v>
      </c>
      <c r="AO28" s="38" t="s">
        <v>1198</v>
      </c>
      <c r="AP28" s="38">
        <v>700000</v>
      </c>
      <c r="AQ28" s="38" t="s">
        <v>1376</v>
      </c>
      <c r="AR28" s="41" t="s">
        <v>1377</v>
      </c>
      <c r="AS28" s="38" t="s">
        <v>1378</v>
      </c>
      <c r="AT28" s="38" t="s">
        <v>940</v>
      </c>
      <c r="AU28" s="38" t="s">
        <v>95</v>
      </c>
      <c r="AV28" s="38" t="s">
        <v>65</v>
      </c>
      <c r="AW28" s="38">
        <v>560102</v>
      </c>
      <c r="AX28" s="38" t="s">
        <v>1378</v>
      </c>
      <c r="AY28" s="38">
        <v>9652568999</v>
      </c>
      <c r="AZ28" s="38">
        <v>8367766555</v>
      </c>
      <c r="BA28" s="38">
        <v>9440078901</v>
      </c>
      <c r="BC28" s="42" t="s">
        <v>1379</v>
      </c>
      <c r="BD28" s="42" t="s">
        <v>1380</v>
      </c>
      <c r="BE28" s="38" t="s">
        <v>1381</v>
      </c>
      <c r="BF28" s="38" t="s">
        <v>1382</v>
      </c>
    </row>
    <row r="29" spans="1:59" s="38" customFormat="1" ht="80.099999999999994" customHeight="1" x14ac:dyDescent="0.25">
      <c r="A29" s="38">
        <v>27</v>
      </c>
      <c r="B29" s="15">
        <v>270</v>
      </c>
      <c r="C29" s="38" t="s">
        <v>4443</v>
      </c>
      <c r="D29" s="15" t="s">
        <v>107</v>
      </c>
      <c r="F29" s="16" t="s">
        <v>1370</v>
      </c>
      <c r="G29" s="15" t="s">
        <v>38</v>
      </c>
      <c r="H29" s="15" t="s">
        <v>35</v>
      </c>
      <c r="I29" s="38" t="s">
        <v>68</v>
      </c>
      <c r="J29" s="38" t="s">
        <v>36</v>
      </c>
      <c r="K29" s="38" t="s">
        <v>157</v>
      </c>
      <c r="L29" s="38" t="s">
        <v>82</v>
      </c>
      <c r="M29" s="38" t="s">
        <v>1470</v>
      </c>
      <c r="N29" s="38" t="s">
        <v>560</v>
      </c>
      <c r="O29" s="38" t="s">
        <v>72</v>
      </c>
      <c r="P29" s="38" t="s">
        <v>85</v>
      </c>
      <c r="Q29" s="38" t="s">
        <v>63</v>
      </c>
      <c r="R29" s="38">
        <v>385017</v>
      </c>
      <c r="S29" s="38">
        <v>2018</v>
      </c>
      <c r="T29" s="38" t="s">
        <v>64</v>
      </c>
      <c r="U29" s="38" t="s">
        <v>65</v>
      </c>
      <c r="V29" s="38" t="s">
        <v>37</v>
      </c>
      <c r="W29" s="38" t="s">
        <v>37</v>
      </c>
      <c r="X29" s="38" t="s">
        <v>37</v>
      </c>
      <c r="Y29" s="38">
        <v>529</v>
      </c>
      <c r="Z29" s="38">
        <v>600</v>
      </c>
      <c r="AA29" s="38">
        <f>Y29/Z29*100</f>
        <v>88.166666666666671</v>
      </c>
      <c r="AB29" s="38">
        <f>94+78+82</f>
        <v>254</v>
      </c>
      <c r="AC29" s="38">
        <v>300</v>
      </c>
      <c r="AD29" s="38">
        <f>AB29/AC29*100</f>
        <v>84.666666666666671</v>
      </c>
      <c r="AE29" s="38" t="s">
        <v>1471</v>
      </c>
      <c r="AF29" s="38" t="s">
        <v>246</v>
      </c>
      <c r="AG29" s="38" t="s">
        <v>1349</v>
      </c>
      <c r="AH29" s="38">
        <v>10000</v>
      </c>
      <c r="AI29" s="38">
        <v>210000</v>
      </c>
      <c r="AJ29" s="38">
        <v>27500</v>
      </c>
      <c r="AK29" s="38">
        <f>AH29+AI29+AJ29</f>
        <v>247500</v>
      </c>
      <c r="AL29" s="38" t="s">
        <v>1472</v>
      </c>
      <c r="AM29" s="38" t="s">
        <v>78</v>
      </c>
      <c r="AN29" s="38" t="s">
        <v>1473</v>
      </c>
      <c r="AO29" s="38" t="s">
        <v>79</v>
      </c>
      <c r="AP29" s="38">
        <v>480000</v>
      </c>
      <c r="AQ29" s="38" t="s">
        <v>1474</v>
      </c>
      <c r="AR29" s="41" t="s">
        <v>1475</v>
      </c>
      <c r="AS29" s="38" t="s">
        <v>1476</v>
      </c>
      <c r="AT29" s="38" t="s">
        <v>1477</v>
      </c>
      <c r="AU29" s="38" t="s">
        <v>95</v>
      </c>
      <c r="AV29" s="38" t="s">
        <v>65</v>
      </c>
      <c r="AW29" s="38">
        <v>560050</v>
      </c>
      <c r="AX29" s="38" t="s">
        <v>1476</v>
      </c>
      <c r="AY29" s="38" t="s">
        <v>1478</v>
      </c>
      <c r="AZ29" s="38">
        <v>9980827075</v>
      </c>
      <c r="BA29" s="38">
        <v>9845564575</v>
      </c>
      <c r="BB29" s="38">
        <v>8050502077</v>
      </c>
      <c r="BC29" s="42" t="s">
        <v>1479</v>
      </c>
      <c r="BD29" s="42" t="s">
        <v>1480</v>
      </c>
      <c r="BE29" s="38" t="s">
        <v>2058</v>
      </c>
      <c r="BF29" s="38" t="s">
        <v>37</v>
      </c>
    </row>
    <row r="30" spans="1:59" s="38" customFormat="1" ht="80.099999999999994" customHeight="1" x14ac:dyDescent="0.25">
      <c r="A30" s="38">
        <v>28</v>
      </c>
      <c r="B30" s="38">
        <v>284</v>
      </c>
      <c r="C30" s="38" t="s">
        <v>4443</v>
      </c>
      <c r="D30" s="38" t="s">
        <v>107</v>
      </c>
      <c r="F30" s="43" t="s">
        <v>1550</v>
      </c>
      <c r="G30" s="38" t="s">
        <v>38</v>
      </c>
      <c r="H30" s="38" t="s">
        <v>35</v>
      </c>
      <c r="I30" s="38" t="s">
        <v>68</v>
      </c>
      <c r="J30" s="38" t="s">
        <v>36</v>
      </c>
      <c r="K30" s="38" t="s">
        <v>918</v>
      </c>
      <c r="L30" s="38" t="s">
        <v>82</v>
      </c>
      <c r="M30" s="38" t="s">
        <v>1115</v>
      </c>
      <c r="N30" s="38" t="s">
        <v>1551</v>
      </c>
      <c r="O30" s="38" t="s">
        <v>72</v>
      </c>
      <c r="P30" s="38" t="s">
        <v>85</v>
      </c>
      <c r="Q30" s="38" t="s">
        <v>185</v>
      </c>
      <c r="R30" s="38">
        <v>1858230403</v>
      </c>
      <c r="S30" s="38">
        <v>2018</v>
      </c>
      <c r="T30" s="38" t="s">
        <v>75</v>
      </c>
      <c r="U30" s="38" t="s">
        <v>37</v>
      </c>
      <c r="V30" s="38" t="s">
        <v>76</v>
      </c>
      <c r="W30" s="38">
        <v>938</v>
      </c>
      <c r="X30" s="38">
        <f>W30/1000*100</f>
        <v>93.8</v>
      </c>
      <c r="Y30" s="38">
        <f>88+98+75+67+60+59+30+30</f>
        <v>507</v>
      </c>
      <c r="Z30" s="38">
        <v>530</v>
      </c>
      <c r="AA30" s="38">
        <f>Y30/Z30*100</f>
        <v>95.660377358490564</v>
      </c>
      <c r="AB30" s="38">
        <f>74+50+65+53+75+67+60+59+30+30</f>
        <v>563</v>
      </c>
      <c r="AC30" s="38">
        <v>600</v>
      </c>
      <c r="AD30" s="38">
        <f>AB30/AC30*100</f>
        <v>93.833333333333329</v>
      </c>
      <c r="AE30" s="38" t="s">
        <v>651</v>
      </c>
      <c r="AF30" s="38" t="s">
        <v>678</v>
      </c>
      <c r="AG30" s="38" t="s">
        <v>1512</v>
      </c>
      <c r="AH30" s="38">
        <v>10000</v>
      </c>
      <c r="AI30" s="38">
        <v>210000</v>
      </c>
      <c r="AJ30" s="38">
        <v>27500</v>
      </c>
      <c r="AK30" s="38">
        <f>AH30+AI30+AJ30</f>
        <v>247500</v>
      </c>
      <c r="AL30" s="38" t="s">
        <v>1552</v>
      </c>
      <c r="AM30" s="38" t="s">
        <v>78</v>
      </c>
      <c r="AN30" s="38" t="s">
        <v>1553</v>
      </c>
      <c r="AO30" s="38" t="s">
        <v>139</v>
      </c>
      <c r="AP30" s="38">
        <v>500000</v>
      </c>
      <c r="AQ30" s="38" t="s">
        <v>1554</v>
      </c>
      <c r="AR30" s="41" t="s">
        <v>1555</v>
      </c>
      <c r="AS30" s="38" t="s">
        <v>1556</v>
      </c>
      <c r="AT30" s="38" t="s">
        <v>1557</v>
      </c>
      <c r="AU30" s="38" t="s">
        <v>1551</v>
      </c>
      <c r="AV30" s="38" t="s">
        <v>1101</v>
      </c>
      <c r="AW30" s="38">
        <v>440024</v>
      </c>
      <c r="AX30" s="38" t="s">
        <v>1556</v>
      </c>
      <c r="AZ30" s="38">
        <v>7774069913</v>
      </c>
      <c r="BA30" s="38">
        <v>9822564009</v>
      </c>
      <c r="BB30" s="38">
        <v>7000198364</v>
      </c>
      <c r="BC30" s="42" t="s">
        <v>1558</v>
      </c>
      <c r="BD30" s="42" t="s">
        <v>1559</v>
      </c>
      <c r="BE30" s="38" t="s">
        <v>2074</v>
      </c>
      <c r="BF30" s="38" t="s">
        <v>144</v>
      </c>
    </row>
    <row r="31" spans="1:59" s="38" customFormat="1" ht="80.099999999999994" customHeight="1" x14ac:dyDescent="0.25">
      <c r="A31" s="38">
        <v>29</v>
      </c>
      <c r="B31" s="15">
        <v>325</v>
      </c>
      <c r="C31" s="38" t="s">
        <v>4443</v>
      </c>
      <c r="D31" s="15" t="s">
        <v>107</v>
      </c>
      <c r="F31" s="16" t="s">
        <v>1733</v>
      </c>
      <c r="G31" s="15" t="s">
        <v>38</v>
      </c>
      <c r="H31" s="15" t="s">
        <v>92</v>
      </c>
      <c r="I31" s="38" t="s">
        <v>68</v>
      </c>
      <c r="J31" s="38" t="s">
        <v>36</v>
      </c>
      <c r="K31" s="38" t="s">
        <v>469</v>
      </c>
      <c r="L31" s="38" t="s">
        <v>82</v>
      </c>
      <c r="M31" s="38" t="s">
        <v>1750</v>
      </c>
      <c r="N31" s="38" t="s">
        <v>1026</v>
      </c>
      <c r="O31" s="38" t="s">
        <v>83</v>
      </c>
      <c r="P31" s="38" t="s">
        <v>73</v>
      </c>
      <c r="Q31" s="38" t="s">
        <v>185</v>
      </c>
      <c r="R31" s="38">
        <v>1804220933</v>
      </c>
      <c r="S31" s="38">
        <v>2018</v>
      </c>
      <c r="T31" s="38" t="s">
        <v>89</v>
      </c>
      <c r="U31" s="38" t="s">
        <v>37</v>
      </c>
      <c r="V31" s="38" t="s">
        <v>215</v>
      </c>
      <c r="W31" s="38">
        <v>940</v>
      </c>
      <c r="X31" s="38">
        <f>W31/1000*100</f>
        <v>94</v>
      </c>
      <c r="Y31" s="38">
        <f>92+98+74+72+58+60+19+30</f>
        <v>503</v>
      </c>
      <c r="Z31" s="38">
        <v>530</v>
      </c>
      <c r="AA31" s="38">
        <f>Y31/Z31*100</f>
        <v>94.905660377358487</v>
      </c>
      <c r="AB31" s="38">
        <f>71+73+54+57+74+72+58+60+19+30</f>
        <v>568</v>
      </c>
      <c r="AC31" s="38">
        <v>600</v>
      </c>
      <c r="AD31" s="38">
        <f>AB31/AC31*100</f>
        <v>94.666666666666671</v>
      </c>
      <c r="AE31" s="38" t="s">
        <v>1751</v>
      </c>
      <c r="AF31" s="38" t="s">
        <v>204</v>
      </c>
      <c r="AG31" s="38" t="s">
        <v>1722</v>
      </c>
      <c r="AH31" s="38">
        <v>10000</v>
      </c>
      <c r="AI31" s="38">
        <v>210000</v>
      </c>
      <c r="AJ31" s="38">
        <v>27500</v>
      </c>
      <c r="AK31" s="38">
        <f>AH31+AI31+AJ31</f>
        <v>247500</v>
      </c>
      <c r="AL31" s="38" t="s">
        <v>1752</v>
      </c>
      <c r="AM31" s="38" t="s">
        <v>78</v>
      </c>
      <c r="AN31" s="38" t="s">
        <v>1753</v>
      </c>
      <c r="AO31" s="38" t="s">
        <v>139</v>
      </c>
      <c r="AP31" s="38" t="s">
        <v>1754</v>
      </c>
      <c r="AQ31" s="38" t="s">
        <v>1755</v>
      </c>
      <c r="AR31" s="41" t="s">
        <v>1756</v>
      </c>
      <c r="AS31" s="38" t="s">
        <v>1757</v>
      </c>
      <c r="AT31" s="38" t="s">
        <v>1026</v>
      </c>
      <c r="AU31" s="38" t="s">
        <v>84</v>
      </c>
      <c r="AV31" s="38" t="s">
        <v>215</v>
      </c>
      <c r="AW31" s="38">
        <v>515591</v>
      </c>
      <c r="AX31" s="38" t="s">
        <v>1757</v>
      </c>
      <c r="AY31" s="38">
        <v>8494221389</v>
      </c>
      <c r="AZ31" s="38">
        <v>9440017287</v>
      </c>
      <c r="BD31" s="42" t="s">
        <v>1758</v>
      </c>
      <c r="BE31" s="38" t="s">
        <v>1548</v>
      </c>
      <c r="BF31" s="38" t="s">
        <v>144</v>
      </c>
    </row>
    <row r="32" spans="1:59" s="38" customFormat="1" ht="80.099999999999994" customHeight="1" x14ac:dyDescent="0.25">
      <c r="A32" s="38">
        <v>30</v>
      </c>
      <c r="B32" s="15">
        <v>326</v>
      </c>
      <c r="C32" s="38" t="s">
        <v>4443</v>
      </c>
      <c r="D32" s="15" t="s">
        <v>107</v>
      </c>
      <c r="F32" s="16" t="s">
        <v>1734</v>
      </c>
      <c r="G32" s="15" t="s">
        <v>38</v>
      </c>
      <c r="H32" s="15" t="s">
        <v>35</v>
      </c>
      <c r="I32" s="38" t="s">
        <v>68</v>
      </c>
      <c r="J32" s="38" t="s">
        <v>36</v>
      </c>
      <c r="K32" s="38" t="s">
        <v>1759</v>
      </c>
      <c r="L32" s="38" t="s">
        <v>82</v>
      </c>
      <c r="M32" s="38" t="s">
        <v>1760</v>
      </c>
      <c r="N32" s="38" t="s">
        <v>1761</v>
      </c>
      <c r="O32" s="38" t="s">
        <v>72</v>
      </c>
      <c r="P32" s="38" t="s">
        <v>62</v>
      </c>
      <c r="Q32" s="38" t="s">
        <v>185</v>
      </c>
      <c r="R32" s="38">
        <v>7658156</v>
      </c>
      <c r="S32" s="38">
        <v>2018</v>
      </c>
      <c r="T32" s="38" t="s">
        <v>616</v>
      </c>
      <c r="U32" s="38" t="s">
        <v>37</v>
      </c>
      <c r="V32" s="38" t="s">
        <v>1762</v>
      </c>
      <c r="W32" s="38" t="s">
        <v>37</v>
      </c>
      <c r="X32" s="38" t="s">
        <v>37</v>
      </c>
      <c r="Y32" s="38">
        <f>75+57+53+64+56+56</f>
        <v>361</v>
      </c>
      <c r="Z32" s="38">
        <v>600</v>
      </c>
      <c r="AA32" s="38">
        <f>Y32/Z32*100</f>
        <v>60.166666666666671</v>
      </c>
      <c r="AB32" s="38">
        <f>56+57+53</f>
        <v>166</v>
      </c>
      <c r="AC32" s="38">
        <v>300</v>
      </c>
      <c r="AD32" s="38">
        <f>AB32/AC32*100</f>
        <v>55.333333333333336</v>
      </c>
      <c r="AE32" s="38" t="s">
        <v>1236</v>
      </c>
      <c r="AF32" s="38" t="s">
        <v>1658</v>
      </c>
      <c r="AG32" s="38" t="s">
        <v>1722</v>
      </c>
      <c r="AH32" s="38">
        <v>10000</v>
      </c>
      <c r="AI32" s="38">
        <v>210000</v>
      </c>
      <c r="AJ32" s="38">
        <v>27500</v>
      </c>
      <c r="AK32" s="38">
        <f>AH32+AI32+AJ32</f>
        <v>247500</v>
      </c>
      <c r="AL32" s="38" t="s">
        <v>851</v>
      </c>
      <c r="AM32" s="38" t="s">
        <v>78</v>
      </c>
      <c r="AN32" s="38" t="s">
        <v>1763</v>
      </c>
      <c r="AO32" s="38" t="s">
        <v>187</v>
      </c>
      <c r="AP32" s="38">
        <v>800000</v>
      </c>
      <c r="AQ32" s="38" t="s">
        <v>1764</v>
      </c>
      <c r="AR32" s="41" t="s">
        <v>1765</v>
      </c>
      <c r="AS32" s="38" t="s">
        <v>1770</v>
      </c>
      <c r="AT32" s="38" t="s">
        <v>1766</v>
      </c>
      <c r="AU32" s="38" t="s">
        <v>1767</v>
      </c>
      <c r="AV32" s="38" t="s">
        <v>1762</v>
      </c>
      <c r="AW32" s="38">
        <v>828403</v>
      </c>
      <c r="AX32" s="38" t="s">
        <v>1770</v>
      </c>
      <c r="AZ32" s="38">
        <v>9934189242</v>
      </c>
      <c r="BA32" s="38">
        <v>9934340355</v>
      </c>
      <c r="BB32" s="38">
        <v>9431730076</v>
      </c>
      <c r="BC32" s="42" t="s">
        <v>1768</v>
      </c>
      <c r="BD32" s="42" t="s">
        <v>1769</v>
      </c>
      <c r="BE32" s="38" t="s">
        <v>3095</v>
      </c>
    </row>
    <row r="33" spans="1:58" s="38" customFormat="1" ht="80.099999999999994" customHeight="1" x14ac:dyDescent="0.25">
      <c r="A33" s="38">
        <v>31</v>
      </c>
      <c r="B33" s="15">
        <v>332</v>
      </c>
      <c r="C33" s="38" t="s">
        <v>4443</v>
      </c>
      <c r="D33" s="15" t="s">
        <v>107</v>
      </c>
      <c r="F33" s="16" t="s">
        <v>1737</v>
      </c>
      <c r="G33" s="15" t="s">
        <v>38</v>
      </c>
      <c r="H33" s="15" t="s">
        <v>35</v>
      </c>
      <c r="I33" s="38" t="s">
        <v>68</v>
      </c>
      <c r="J33" s="38" t="s">
        <v>435</v>
      </c>
      <c r="K33" s="38" t="s">
        <v>435</v>
      </c>
      <c r="L33" s="38" t="s">
        <v>82</v>
      </c>
      <c r="M33" s="38" t="s">
        <v>1240</v>
      </c>
      <c r="N33" s="38" t="s">
        <v>76</v>
      </c>
      <c r="O33" s="38" t="s">
        <v>72</v>
      </c>
      <c r="P33" s="38" t="s">
        <v>85</v>
      </c>
      <c r="Q33" s="38" t="s">
        <v>185</v>
      </c>
      <c r="R33" s="38">
        <v>1860212196</v>
      </c>
      <c r="S33" s="38">
        <v>2018</v>
      </c>
      <c r="T33" s="38" t="s">
        <v>75</v>
      </c>
      <c r="U33" s="38" t="s">
        <v>37</v>
      </c>
      <c r="V33" s="38" t="s">
        <v>76</v>
      </c>
      <c r="W33" s="38">
        <v>783</v>
      </c>
      <c r="X33" s="38">
        <f>W33/1000*100</f>
        <v>78.3</v>
      </c>
      <c r="Y33" s="38">
        <f>80+86+58+32+47+30+26+26</f>
        <v>385</v>
      </c>
      <c r="Z33" s="38">
        <v>530</v>
      </c>
      <c r="AA33" s="38">
        <f>Y33/Z33*100</f>
        <v>72.641509433962256</v>
      </c>
      <c r="AB33" s="38">
        <f>68+49+60+51+58+32+47+30+26+26</f>
        <v>447</v>
      </c>
      <c r="AC33" s="38">
        <v>600</v>
      </c>
      <c r="AD33" s="38">
        <f>AB33/AC33*100</f>
        <v>74.5</v>
      </c>
      <c r="AE33" s="38" t="s">
        <v>1795</v>
      </c>
      <c r="AF33" s="38" t="s">
        <v>1722</v>
      </c>
      <c r="AG33" s="38" t="s">
        <v>1722</v>
      </c>
      <c r="AH33" s="38">
        <v>10000</v>
      </c>
      <c r="AI33" s="38">
        <v>210000</v>
      </c>
      <c r="AJ33" s="38">
        <v>27500</v>
      </c>
      <c r="AK33" s="38">
        <f>AH33+AI33+AJ33</f>
        <v>247500</v>
      </c>
      <c r="AL33" s="38" t="s">
        <v>1796</v>
      </c>
      <c r="AM33" s="38" t="s">
        <v>614</v>
      </c>
      <c r="AN33" s="38" t="s">
        <v>1797</v>
      </c>
      <c r="AO33" s="38" t="s">
        <v>139</v>
      </c>
      <c r="AP33" s="38">
        <v>200000</v>
      </c>
      <c r="AQ33" s="38" t="s">
        <v>1798</v>
      </c>
      <c r="AR33" s="41" t="s">
        <v>1799</v>
      </c>
      <c r="AS33" s="38" t="s">
        <v>1801</v>
      </c>
      <c r="AT33" s="38" t="s">
        <v>1800</v>
      </c>
      <c r="AU33" s="38" t="s">
        <v>76</v>
      </c>
      <c r="AV33" s="38" t="s">
        <v>177</v>
      </c>
      <c r="AW33" s="38">
        <v>500012</v>
      </c>
      <c r="AX33" s="38" t="s">
        <v>1801</v>
      </c>
      <c r="AZ33" s="38">
        <v>9390248018</v>
      </c>
      <c r="BA33" s="38">
        <v>9391008021</v>
      </c>
      <c r="BB33" s="38">
        <v>9000091300</v>
      </c>
      <c r="BC33" s="42" t="s">
        <v>1802</v>
      </c>
      <c r="BD33" s="42" t="s">
        <v>1803</v>
      </c>
      <c r="BE33" s="38" t="s">
        <v>879</v>
      </c>
      <c r="BF33" s="38" t="s">
        <v>113</v>
      </c>
    </row>
    <row r="34" spans="1:58" s="38" customFormat="1" ht="80.099999999999994" customHeight="1" x14ac:dyDescent="0.25">
      <c r="A34" s="38">
        <v>32</v>
      </c>
      <c r="B34" s="38">
        <v>336</v>
      </c>
      <c r="C34" s="38" t="s">
        <v>4443</v>
      </c>
      <c r="D34" s="38" t="s">
        <v>107</v>
      </c>
      <c r="F34" s="43" t="s">
        <v>1819</v>
      </c>
      <c r="G34" s="38" t="s">
        <v>38</v>
      </c>
      <c r="H34" s="38" t="s">
        <v>35</v>
      </c>
      <c r="I34" s="38" t="s">
        <v>68</v>
      </c>
      <c r="J34" s="38" t="s">
        <v>36</v>
      </c>
      <c r="K34" s="38" t="s">
        <v>69</v>
      </c>
      <c r="L34" s="38" t="s">
        <v>82</v>
      </c>
      <c r="M34" s="38" t="s">
        <v>1820</v>
      </c>
      <c r="N34" s="38" t="s">
        <v>1821</v>
      </c>
      <c r="O34" s="38" t="s">
        <v>72</v>
      </c>
      <c r="P34" s="38" t="s">
        <v>62</v>
      </c>
      <c r="Q34" s="38" t="s">
        <v>185</v>
      </c>
      <c r="R34" s="38">
        <v>107719</v>
      </c>
      <c r="S34" s="38">
        <v>2018</v>
      </c>
      <c r="T34" s="38" t="s">
        <v>1823</v>
      </c>
      <c r="U34" s="38" t="s">
        <v>37</v>
      </c>
      <c r="V34" s="38" t="s">
        <v>1822</v>
      </c>
      <c r="W34" s="38" t="s">
        <v>37</v>
      </c>
      <c r="X34" s="38" t="s">
        <v>37</v>
      </c>
      <c r="Y34" s="38">
        <v>336</v>
      </c>
      <c r="Z34" s="38">
        <v>600</v>
      </c>
      <c r="AA34" s="38">
        <f>Y34/Z34*100</f>
        <v>56.000000000000007</v>
      </c>
      <c r="AB34" s="38">
        <f>62+53+50</f>
        <v>165</v>
      </c>
      <c r="AC34" s="38">
        <v>300</v>
      </c>
      <c r="AD34" s="38">
        <f>AB34/AC34*100</f>
        <v>55.000000000000007</v>
      </c>
      <c r="AE34" s="38" t="s">
        <v>1824</v>
      </c>
      <c r="AF34" s="38" t="s">
        <v>1658</v>
      </c>
      <c r="AG34" s="38" t="s">
        <v>1722</v>
      </c>
      <c r="AH34" s="38">
        <v>10000</v>
      </c>
      <c r="AI34" s="38">
        <v>210000</v>
      </c>
      <c r="AJ34" s="38">
        <v>27500</v>
      </c>
      <c r="AK34" s="38">
        <f>AH34+AI34+AJ34</f>
        <v>247500</v>
      </c>
      <c r="AL34" s="38" t="s">
        <v>1825</v>
      </c>
      <c r="AM34" s="38" t="s">
        <v>87</v>
      </c>
      <c r="AN34" s="38" t="s">
        <v>1826</v>
      </c>
      <c r="AO34" s="38" t="s">
        <v>139</v>
      </c>
      <c r="AP34" s="38">
        <v>450000</v>
      </c>
      <c r="AQ34" s="38" t="s">
        <v>1827</v>
      </c>
      <c r="AR34" s="41"/>
      <c r="AS34" s="38" t="s">
        <v>1831</v>
      </c>
      <c r="AT34" s="38" t="s">
        <v>1828</v>
      </c>
      <c r="AU34" s="38" t="s">
        <v>1821</v>
      </c>
      <c r="AV34" s="38" t="s">
        <v>1829</v>
      </c>
      <c r="AW34" s="38">
        <v>785001</v>
      </c>
      <c r="AX34" s="38" t="s">
        <v>1831</v>
      </c>
      <c r="AZ34" s="38">
        <v>7002848424</v>
      </c>
      <c r="BA34" s="38">
        <v>9854204083</v>
      </c>
      <c r="BB34" s="38">
        <v>9957495209</v>
      </c>
      <c r="BD34" s="42" t="s">
        <v>1830</v>
      </c>
      <c r="BE34" s="38" t="s">
        <v>3989</v>
      </c>
      <c r="BF34" s="38" t="s">
        <v>3988</v>
      </c>
    </row>
    <row r="35" spans="1:58" s="38" customFormat="1" ht="80.099999999999994" customHeight="1" x14ac:dyDescent="0.25">
      <c r="A35" s="38">
        <v>33</v>
      </c>
      <c r="B35" s="15">
        <v>348</v>
      </c>
      <c r="C35" s="38" t="s">
        <v>4443</v>
      </c>
      <c r="D35" s="15" t="s">
        <v>107</v>
      </c>
      <c r="F35" s="16" t="s">
        <v>1865</v>
      </c>
      <c r="G35" s="15" t="s">
        <v>38</v>
      </c>
      <c r="H35" s="15" t="s">
        <v>35</v>
      </c>
      <c r="I35" s="38" t="s">
        <v>68</v>
      </c>
      <c r="J35" s="38" t="s">
        <v>36</v>
      </c>
      <c r="K35" s="38" t="s">
        <v>1877</v>
      </c>
      <c r="L35" s="38" t="s">
        <v>82</v>
      </c>
      <c r="M35" s="38" t="s">
        <v>1878</v>
      </c>
      <c r="N35" s="38" t="s">
        <v>601</v>
      </c>
      <c r="O35" s="38" t="s">
        <v>123</v>
      </c>
      <c r="P35" s="38" t="s">
        <v>73</v>
      </c>
      <c r="Q35" s="38" t="s">
        <v>185</v>
      </c>
      <c r="R35" s="38">
        <v>4631316</v>
      </c>
      <c r="S35" s="38">
        <v>2018</v>
      </c>
      <c r="T35" s="38" t="s">
        <v>616</v>
      </c>
      <c r="U35" s="38" t="s">
        <v>65</v>
      </c>
      <c r="V35" s="38" t="s">
        <v>37</v>
      </c>
      <c r="W35" s="38" t="s">
        <v>37</v>
      </c>
      <c r="X35" s="38" t="s">
        <v>37</v>
      </c>
      <c r="Y35" s="38">
        <f>75+44+75+65+76</f>
        <v>335</v>
      </c>
      <c r="Z35" s="38">
        <v>500</v>
      </c>
      <c r="AA35" s="38">
        <f>Y35/Z35*100</f>
        <v>67</v>
      </c>
      <c r="AB35" s="38">
        <f>44+75+65</f>
        <v>184</v>
      </c>
      <c r="AC35" s="38">
        <v>300</v>
      </c>
      <c r="AD35" s="38">
        <f>AB35/AC35*100</f>
        <v>61.333333333333329</v>
      </c>
      <c r="AE35" s="38" t="s">
        <v>1289</v>
      </c>
      <c r="AF35" s="38" t="s">
        <v>1832</v>
      </c>
      <c r="AG35" s="38" t="s">
        <v>1832</v>
      </c>
      <c r="AH35" s="38">
        <v>10000</v>
      </c>
      <c r="AI35" s="38">
        <v>210000</v>
      </c>
      <c r="AJ35" s="38">
        <v>27500</v>
      </c>
      <c r="AK35" s="38">
        <f>AH35+AI35+AJ35</f>
        <v>247500</v>
      </c>
      <c r="AL35" s="38" t="s">
        <v>1879</v>
      </c>
      <c r="AM35" s="38" t="s">
        <v>87</v>
      </c>
      <c r="AN35" s="38" t="s">
        <v>1150</v>
      </c>
      <c r="AO35" s="38" t="s">
        <v>1880</v>
      </c>
      <c r="AP35" s="38">
        <v>400000</v>
      </c>
      <c r="AQ35" s="38" t="s">
        <v>1881</v>
      </c>
      <c r="AR35" s="41" t="s">
        <v>1882</v>
      </c>
      <c r="AS35" s="38" t="s">
        <v>1883</v>
      </c>
      <c r="AT35" s="38" t="s">
        <v>1884</v>
      </c>
      <c r="AU35" s="38" t="s">
        <v>205</v>
      </c>
      <c r="AV35" s="38" t="s">
        <v>152</v>
      </c>
      <c r="AW35" s="38">
        <v>635109</v>
      </c>
      <c r="AX35" s="38" t="s">
        <v>1883</v>
      </c>
      <c r="AZ35" s="38">
        <v>8667663067</v>
      </c>
      <c r="BA35" s="38">
        <v>9842091111</v>
      </c>
      <c r="BB35" s="38">
        <v>9942118882</v>
      </c>
      <c r="BC35" s="38" t="s">
        <v>1886</v>
      </c>
      <c r="BD35" s="42" t="s">
        <v>1885</v>
      </c>
      <c r="BE35" s="38" t="s">
        <v>2880</v>
      </c>
    </row>
    <row r="36" spans="1:58" s="38" customFormat="1" ht="80.099999999999994" customHeight="1" x14ac:dyDescent="0.25">
      <c r="A36" s="38">
        <v>34</v>
      </c>
      <c r="B36" s="38">
        <v>215</v>
      </c>
      <c r="C36" s="38" t="s">
        <v>4443</v>
      </c>
      <c r="D36" s="38" t="s">
        <v>107</v>
      </c>
      <c r="F36" s="43" t="s">
        <v>1916</v>
      </c>
      <c r="G36" s="38" t="s">
        <v>91</v>
      </c>
      <c r="H36" s="38" t="s">
        <v>92</v>
      </c>
      <c r="I36" s="38" t="s">
        <v>68</v>
      </c>
      <c r="J36" s="38" t="s">
        <v>36</v>
      </c>
      <c r="K36" s="38" t="s">
        <v>469</v>
      </c>
      <c r="L36" s="38" t="s">
        <v>82</v>
      </c>
      <c r="M36" s="38" t="s">
        <v>1194</v>
      </c>
      <c r="N36" s="38" t="s">
        <v>1026</v>
      </c>
      <c r="O36" s="38" t="s">
        <v>83</v>
      </c>
      <c r="P36" s="38" t="s">
        <v>73</v>
      </c>
      <c r="Q36" s="38" t="s">
        <v>185</v>
      </c>
      <c r="R36" s="38">
        <v>4647202</v>
      </c>
      <c r="S36" s="38">
        <v>2018</v>
      </c>
      <c r="T36" s="38" t="s">
        <v>616</v>
      </c>
      <c r="U36" s="38" t="s">
        <v>37</v>
      </c>
      <c r="V36" s="38" t="s">
        <v>215</v>
      </c>
      <c r="W36" s="38" t="s">
        <v>37</v>
      </c>
      <c r="X36" s="38" t="s">
        <v>37</v>
      </c>
      <c r="Y36" s="38">
        <f>83+61+81+88+94</f>
        <v>407</v>
      </c>
      <c r="Z36" s="38">
        <v>500</v>
      </c>
      <c r="AA36" s="38">
        <f>Y36/Z36*100</f>
        <v>81.399999999999991</v>
      </c>
      <c r="AB36" s="38">
        <f>61+81+88</f>
        <v>230</v>
      </c>
      <c r="AC36" s="38">
        <v>300</v>
      </c>
      <c r="AD36" s="38">
        <f>AB36/AC36*100</f>
        <v>76.666666666666671</v>
      </c>
      <c r="AE36" s="38" t="s">
        <v>1917</v>
      </c>
      <c r="AF36" s="38" t="s">
        <v>1219</v>
      </c>
      <c r="AG36" s="38" t="s">
        <v>1918</v>
      </c>
      <c r="AH36" s="38">
        <v>10000</v>
      </c>
      <c r="AI36" s="38">
        <v>200000</v>
      </c>
      <c r="AJ36" s="38">
        <v>27500</v>
      </c>
      <c r="AK36" s="38">
        <f>AH36+AI36+AJ36</f>
        <v>237500</v>
      </c>
      <c r="AL36" s="38" t="s">
        <v>1919</v>
      </c>
      <c r="AM36" s="38" t="s">
        <v>87</v>
      </c>
      <c r="AN36" s="38" t="s">
        <v>1920</v>
      </c>
      <c r="AO36" s="38" t="s">
        <v>912</v>
      </c>
      <c r="AP36" s="38">
        <v>450000</v>
      </c>
      <c r="AQ36" s="38" t="s">
        <v>1921</v>
      </c>
      <c r="AR36" s="41" t="s">
        <v>1922</v>
      </c>
      <c r="AS36" s="38" t="s">
        <v>1923</v>
      </c>
      <c r="AT36" s="38" t="s">
        <v>1026</v>
      </c>
      <c r="AU36" s="38" t="s">
        <v>84</v>
      </c>
      <c r="AV36" s="38" t="s">
        <v>215</v>
      </c>
      <c r="AW36" s="38">
        <v>515591</v>
      </c>
      <c r="AX36" s="38" t="s">
        <v>1923</v>
      </c>
      <c r="AZ36" s="38">
        <v>6302166429</v>
      </c>
      <c r="BA36" s="38">
        <v>8919552779</v>
      </c>
      <c r="BB36" s="38">
        <v>8125528460</v>
      </c>
      <c r="BD36" s="42" t="s">
        <v>1924</v>
      </c>
      <c r="BE36" s="38" t="s">
        <v>2880</v>
      </c>
    </row>
    <row r="37" spans="1:58" s="38" customFormat="1" ht="80.099999999999994" customHeight="1" x14ac:dyDescent="0.25">
      <c r="A37" s="38">
        <v>35</v>
      </c>
      <c r="B37" s="15">
        <v>367</v>
      </c>
      <c r="C37" s="38" t="s">
        <v>4443</v>
      </c>
      <c r="D37" s="15" t="s">
        <v>107</v>
      </c>
      <c r="F37" s="16" t="s">
        <v>1956</v>
      </c>
      <c r="G37" s="15" t="s">
        <v>38</v>
      </c>
      <c r="H37" s="15" t="s">
        <v>35</v>
      </c>
      <c r="I37" s="38" t="s">
        <v>68</v>
      </c>
      <c r="J37" s="38" t="s">
        <v>36</v>
      </c>
      <c r="K37" s="38" t="s">
        <v>1804</v>
      </c>
      <c r="L37" s="38" t="s">
        <v>82</v>
      </c>
      <c r="M37" s="38" t="s">
        <v>1979</v>
      </c>
      <c r="N37" s="38" t="s">
        <v>1805</v>
      </c>
      <c r="O37" s="38" t="s">
        <v>795</v>
      </c>
      <c r="P37" s="38" t="s">
        <v>85</v>
      </c>
      <c r="Q37" s="38" t="s">
        <v>185</v>
      </c>
      <c r="R37" s="38">
        <v>3427157</v>
      </c>
      <c r="S37" s="38">
        <v>2018</v>
      </c>
      <c r="T37" s="38" t="s">
        <v>1361</v>
      </c>
      <c r="U37" s="38" t="s">
        <v>37</v>
      </c>
      <c r="V37" s="38" t="s">
        <v>794</v>
      </c>
      <c r="W37" s="38">
        <f>171+186+129+111+145+111</f>
        <v>853</v>
      </c>
      <c r="X37" s="38">
        <f>W37/1200*100</f>
        <v>71.083333333333329</v>
      </c>
      <c r="Y37" s="38">
        <f>81+91+70+71+91+46</f>
        <v>450</v>
      </c>
      <c r="Z37" s="38">
        <v>600</v>
      </c>
      <c r="AA37" s="38">
        <f>Y37/Z37*100</f>
        <v>75</v>
      </c>
      <c r="AB37" s="38">
        <f>129+111+111</f>
        <v>351</v>
      </c>
      <c r="AC37" s="38">
        <v>600</v>
      </c>
      <c r="AD37" s="38">
        <f>AB37/AC37*100</f>
        <v>58.5</v>
      </c>
      <c r="AE37" s="38" t="s">
        <v>1980</v>
      </c>
      <c r="AF37" s="38" t="s">
        <v>1918</v>
      </c>
      <c r="AG37" s="38" t="s">
        <v>1918</v>
      </c>
      <c r="AH37" s="38">
        <v>10000</v>
      </c>
      <c r="AI37" s="38">
        <v>210000</v>
      </c>
      <c r="AJ37" s="38">
        <v>27500</v>
      </c>
      <c r="AK37" s="38">
        <f>AH37+AI37+AJ37</f>
        <v>247500</v>
      </c>
      <c r="AL37" s="38" t="s">
        <v>1981</v>
      </c>
      <c r="AM37" s="38" t="s">
        <v>202</v>
      </c>
      <c r="AN37" s="38" t="s">
        <v>1982</v>
      </c>
      <c r="AO37" s="38" t="s">
        <v>202</v>
      </c>
      <c r="AP37" s="38" t="s">
        <v>1983</v>
      </c>
      <c r="AQ37" s="38" t="s">
        <v>1984</v>
      </c>
      <c r="AR37" s="41" t="s">
        <v>1985</v>
      </c>
      <c r="AS37" s="38" t="s">
        <v>1986</v>
      </c>
      <c r="AT37" s="38" t="s">
        <v>1987</v>
      </c>
      <c r="AU37" s="38" t="s">
        <v>1988</v>
      </c>
      <c r="AV37" s="38" t="s">
        <v>794</v>
      </c>
      <c r="AW37" s="38">
        <v>670691</v>
      </c>
      <c r="AX37" s="38" t="s">
        <v>1986</v>
      </c>
      <c r="AZ37" s="38">
        <v>7558826629</v>
      </c>
      <c r="BA37" s="38">
        <v>9447082571</v>
      </c>
      <c r="BB37" s="38">
        <v>9495373793</v>
      </c>
      <c r="BC37" s="42" t="s">
        <v>1989</v>
      </c>
      <c r="BD37" s="42" t="s">
        <v>1990</v>
      </c>
      <c r="BE37" s="38" t="s">
        <v>1991</v>
      </c>
      <c r="BF37" s="38" t="s">
        <v>1066</v>
      </c>
    </row>
    <row r="38" spans="1:58" s="38" customFormat="1" ht="80.099999999999994" customHeight="1" x14ac:dyDescent="0.25">
      <c r="A38" s="38">
        <v>36</v>
      </c>
      <c r="B38" s="15">
        <v>371</v>
      </c>
      <c r="C38" s="38" t="s">
        <v>4443</v>
      </c>
      <c r="D38" s="15" t="s">
        <v>107</v>
      </c>
      <c r="F38" s="75" t="s">
        <v>1992</v>
      </c>
      <c r="G38" s="15" t="s">
        <v>38</v>
      </c>
      <c r="H38" s="15" t="s">
        <v>35</v>
      </c>
      <c r="I38" s="38" t="s">
        <v>68</v>
      </c>
      <c r="J38" s="38" t="s">
        <v>36</v>
      </c>
      <c r="K38" s="38" t="s">
        <v>1994</v>
      </c>
      <c r="L38" s="38" t="s">
        <v>82</v>
      </c>
      <c r="M38" s="38" t="s">
        <v>428</v>
      </c>
      <c r="N38" s="38" t="s">
        <v>1995</v>
      </c>
      <c r="O38" s="38" t="s">
        <v>123</v>
      </c>
      <c r="P38" s="38" t="s">
        <v>85</v>
      </c>
      <c r="Q38" s="38" t="s">
        <v>185</v>
      </c>
      <c r="R38" s="38">
        <v>6395325</v>
      </c>
      <c r="S38" s="38">
        <v>2018</v>
      </c>
      <c r="T38" s="38" t="s">
        <v>184</v>
      </c>
      <c r="U38" s="38" t="s">
        <v>37</v>
      </c>
      <c r="V38" s="38" t="s">
        <v>152</v>
      </c>
      <c r="Y38" s="38">
        <f>79+63+89+64+99</f>
        <v>394</v>
      </c>
      <c r="Z38" s="38">
        <v>500</v>
      </c>
      <c r="AA38" s="38">
        <f>Y38/Z38*100</f>
        <v>78.8</v>
      </c>
      <c r="AB38" s="38">
        <f>63+89+64</f>
        <v>216</v>
      </c>
      <c r="AC38" s="38">
        <v>300</v>
      </c>
      <c r="AD38" s="38">
        <f>AB38/AC38*100</f>
        <v>72</v>
      </c>
      <c r="AE38" s="38" t="s">
        <v>1326</v>
      </c>
      <c r="AF38" s="38" t="s">
        <v>1918</v>
      </c>
      <c r="AG38" s="38" t="s">
        <v>1918</v>
      </c>
      <c r="AH38" s="38">
        <v>10000</v>
      </c>
      <c r="AI38" s="38">
        <v>210000</v>
      </c>
      <c r="AJ38" s="38">
        <v>27500</v>
      </c>
      <c r="AK38" s="38">
        <f>AH38+AI38+AJ38</f>
        <v>247500</v>
      </c>
      <c r="AL38" s="38" t="s">
        <v>1996</v>
      </c>
      <c r="AM38" s="38" t="s">
        <v>1998</v>
      </c>
      <c r="AN38" s="38" t="s">
        <v>1997</v>
      </c>
      <c r="AO38" s="38" t="s">
        <v>139</v>
      </c>
      <c r="AP38" s="38">
        <v>600000</v>
      </c>
      <c r="AQ38" s="38" t="s">
        <v>3402</v>
      </c>
      <c r="AR38" s="41" t="s">
        <v>1999</v>
      </c>
      <c r="AS38" s="38" t="s">
        <v>2000</v>
      </c>
      <c r="AT38" s="38" t="s">
        <v>2001</v>
      </c>
      <c r="AU38" s="38" t="s">
        <v>736</v>
      </c>
      <c r="AV38" s="38" t="s">
        <v>152</v>
      </c>
      <c r="AW38" s="38">
        <v>638457</v>
      </c>
      <c r="AX38" s="38" t="s">
        <v>2002</v>
      </c>
      <c r="AZ38" s="38">
        <v>7502283281</v>
      </c>
      <c r="BA38" s="38">
        <v>9486854546</v>
      </c>
      <c r="BB38" s="38">
        <v>9894947275</v>
      </c>
      <c r="BC38" s="42" t="s">
        <v>2003</v>
      </c>
      <c r="BD38" s="42" t="s">
        <v>2004</v>
      </c>
      <c r="BE38" s="38" t="s">
        <v>3403</v>
      </c>
    </row>
    <row r="39" spans="1:58" s="38" customFormat="1" ht="80.099999999999994" customHeight="1" x14ac:dyDescent="0.25">
      <c r="A39" s="38">
        <v>37</v>
      </c>
      <c r="B39" s="38">
        <v>375</v>
      </c>
      <c r="C39" s="38" t="s">
        <v>4443</v>
      </c>
      <c r="D39" s="38" t="s">
        <v>107</v>
      </c>
      <c r="F39" s="43" t="s">
        <v>2044</v>
      </c>
      <c r="G39" s="38" t="s">
        <v>38</v>
      </c>
      <c r="H39" s="38" t="s">
        <v>35</v>
      </c>
      <c r="I39" s="38" t="s">
        <v>68</v>
      </c>
      <c r="J39" s="38" t="s">
        <v>36</v>
      </c>
      <c r="K39" s="38" t="s">
        <v>1337</v>
      </c>
      <c r="L39" s="38" t="s">
        <v>82</v>
      </c>
      <c r="M39" s="38" t="s">
        <v>2045</v>
      </c>
      <c r="N39" s="38" t="s">
        <v>2046</v>
      </c>
      <c r="O39" s="38" t="s">
        <v>72</v>
      </c>
      <c r="P39" s="38" t="s">
        <v>73</v>
      </c>
      <c r="Q39" s="38" t="s">
        <v>185</v>
      </c>
      <c r="R39" s="38">
        <v>1860212124</v>
      </c>
      <c r="S39" s="38">
        <v>2018</v>
      </c>
      <c r="T39" s="38" t="s">
        <v>89</v>
      </c>
      <c r="U39" s="38" t="s">
        <v>37</v>
      </c>
      <c r="V39" s="38" t="s">
        <v>215</v>
      </c>
      <c r="W39" s="38">
        <v>832</v>
      </c>
      <c r="X39" s="38">
        <f>W39/100*100</f>
        <v>832</v>
      </c>
      <c r="Y39" s="38">
        <f>64+99+75+37+60+27+53+27</f>
        <v>442</v>
      </c>
      <c r="Z39" s="38">
        <v>530</v>
      </c>
      <c r="AA39" s="38">
        <f>Y39/Z39*100</f>
        <v>83.396226415094347</v>
      </c>
      <c r="AB39" s="38">
        <f>66+52+56+53+75+37+60+53+27+27</f>
        <v>506</v>
      </c>
      <c r="AC39" s="38">
        <v>600</v>
      </c>
      <c r="AD39" s="38">
        <f>AB39/AC39*100</f>
        <v>84.333333333333343</v>
      </c>
      <c r="AE39" s="38" t="s">
        <v>2047</v>
      </c>
      <c r="AF39" s="38" t="s">
        <v>843</v>
      </c>
      <c r="AG39" s="38" t="s">
        <v>2030</v>
      </c>
      <c r="AH39" s="38">
        <v>10000</v>
      </c>
      <c r="AI39" s="38">
        <v>210000</v>
      </c>
      <c r="AJ39" s="38">
        <v>27500</v>
      </c>
      <c r="AK39" s="38">
        <f>AH39+AI39+AJ39</f>
        <v>247500</v>
      </c>
      <c r="AL39" s="38" t="s">
        <v>2048</v>
      </c>
      <c r="AM39" s="38" t="s">
        <v>78</v>
      </c>
      <c r="AN39" s="38" t="s">
        <v>2049</v>
      </c>
      <c r="AO39" s="38" t="s">
        <v>139</v>
      </c>
      <c r="AP39" s="38">
        <v>500000</v>
      </c>
      <c r="AQ39" s="38" t="s">
        <v>2050</v>
      </c>
      <c r="AR39" s="41" t="s">
        <v>2051</v>
      </c>
      <c r="AS39" s="38" t="s">
        <v>2052</v>
      </c>
      <c r="AT39" s="38" t="s">
        <v>2053</v>
      </c>
      <c r="AU39" s="38" t="s">
        <v>177</v>
      </c>
      <c r="AV39" s="38" t="s">
        <v>76</v>
      </c>
      <c r="AW39" s="38">
        <v>504001</v>
      </c>
      <c r="AX39" s="38" t="s">
        <v>2054</v>
      </c>
      <c r="AY39" s="38" t="s">
        <v>2055</v>
      </c>
      <c r="AZ39" s="38">
        <v>7416000999</v>
      </c>
      <c r="BA39" s="38">
        <v>9966998787</v>
      </c>
      <c r="BB39" s="38">
        <v>8121777374</v>
      </c>
      <c r="BC39" s="42" t="s">
        <v>2056</v>
      </c>
      <c r="BD39" s="42" t="s">
        <v>2057</v>
      </c>
      <c r="BE39" s="38" t="s">
        <v>879</v>
      </c>
      <c r="BF39" s="38" t="s">
        <v>113</v>
      </c>
    </row>
    <row r="40" spans="1:58" s="38" customFormat="1" ht="80.099999999999994" customHeight="1" x14ac:dyDescent="0.25">
      <c r="A40" s="38">
        <v>38</v>
      </c>
      <c r="B40" s="38">
        <v>422</v>
      </c>
      <c r="C40" s="38" t="s">
        <v>4443</v>
      </c>
      <c r="D40" s="38" t="s">
        <v>107</v>
      </c>
      <c r="F40" s="43" t="s">
        <v>2161</v>
      </c>
      <c r="G40" s="38" t="s">
        <v>1505</v>
      </c>
      <c r="H40" s="38" t="s">
        <v>35</v>
      </c>
      <c r="I40" s="38" t="s">
        <v>68</v>
      </c>
      <c r="J40" s="38" t="s">
        <v>36</v>
      </c>
      <c r="K40" s="38" t="s">
        <v>469</v>
      </c>
      <c r="L40" s="38" t="s">
        <v>82</v>
      </c>
      <c r="M40" s="38" t="s">
        <v>1193</v>
      </c>
      <c r="N40" s="38" t="s">
        <v>923</v>
      </c>
      <c r="O40" s="38" t="s">
        <v>83</v>
      </c>
      <c r="P40" s="38" t="s">
        <v>85</v>
      </c>
      <c r="Q40" s="38" t="s">
        <v>185</v>
      </c>
      <c r="R40" s="38">
        <v>1805237280</v>
      </c>
      <c r="S40" s="38">
        <v>2018</v>
      </c>
      <c r="T40" s="38" t="s">
        <v>89</v>
      </c>
      <c r="U40" s="38" t="s">
        <v>37</v>
      </c>
      <c r="V40" s="38" t="s">
        <v>215</v>
      </c>
      <c r="W40" s="38">
        <v>972</v>
      </c>
      <c r="X40" s="38">
        <f>W40/1000*100</f>
        <v>97.2</v>
      </c>
      <c r="Y40" s="38">
        <f>92+99+73+75+60+57+30+30</f>
        <v>516</v>
      </c>
      <c r="Z40" s="38">
        <v>530</v>
      </c>
      <c r="AA40" s="38">
        <f>Y40/Z40*100</f>
        <v>97.35849056603773</v>
      </c>
      <c r="AB40" s="38">
        <f>74+75+59+59+73+75+60+57+30+30</f>
        <v>592</v>
      </c>
      <c r="AC40" s="38">
        <v>600</v>
      </c>
      <c r="AD40" s="38">
        <f>AB40/AC40*100</f>
        <v>98.666666666666671</v>
      </c>
      <c r="AE40" s="38" t="s">
        <v>2163</v>
      </c>
      <c r="AF40" s="38" t="s">
        <v>920</v>
      </c>
      <c r="AG40" s="38" t="s">
        <v>2160</v>
      </c>
      <c r="AH40" s="38">
        <v>10000</v>
      </c>
      <c r="AI40" s="38">
        <v>200000</v>
      </c>
      <c r="AJ40" s="38">
        <v>27500</v>
      </c>
      <c r="AK40" s="38">
        <f>AH40+AI40+AJ40</f>
        <v>237500</v>
      </c>
      <c r="AL40" s="38" t="s">
        <v>2164</v>
      </c>
      <c r="AM40" s="38" t="s">
        <v>78</v>
      </c>
      <c r="AN40" s="38" t="s">
        <v>2165</v>
      </c>
      <c r="AO40" s="38" t="s">
        <v>167</v>
      </c>
      <c r="AP40" s="38">
        <v>400000</v>
      </c>
      <c r="AQ40" s="38" t="s">
        <v>2166</v>
      </c>
      <c r="AR40" s="41" t="s">
        <v>2167</v>
      </c>
      <c r="AS40" s="38" t="s">
        <v>2168</v>
      </c>
      <c r="AT40" s="38" t="s">
        <v>413</v>
      </c>
      <c r="AU40" s="38" t="s">
        <v>164</v>
      </c>
      <c r="AV40" s="38" t="s">
        <v>215</v>
      </c>
      <c r="AW40" s="38">
        <v>517408</v>
      </c>
      <c r="AX40" s="38" t="s">
        <v>2168</v>
      </c>
      <c r="AZ40" s="38">
        <v>9491026675</v>
      </c>
      <c r="BA40" s="38">
        <v>9440356675</v>
      </c>
      <c r="BB40" s="38">
        <v>9440767502</v>
      </c>
      <c r="BC40" s="42" t="s">
        <v>2169</v>
      </c>
      <c r="BD40" s="42" t="s">
        <v>2170</v>
      </c>
      <c r="BE40" s="38" t="s">
        <v>879</v>
      </c>
      <c r="BF40" s="38" t="s">
        <v>113</v>
      </c>
    </row>
    <row r="41" spans="1:58" s="38" customFormat="1" ht="80.099999999999994" customHeight="1" x14ac:dyDescent="0.25">
      <c r="A41" s="38">
        <v>39</v>
      </c>
      <c r="B41" s="38">
        <v>458</v>
      </c>
      <c r="C41" s="38" t="s">
        <v>4443</v>
      </c>
      <c r="D41" s="38" t="s">
        <v>107</v>
      </c>
      <c r="F41" s="43" t="s">
        <v>2323</v>
      </c>
      <c r="G41" s="38" t="s">
        <v>38</v>
      </c>
      <c r="H41" s="38" t="s">
        <v>92</v>
      </c>
      <c r="I41" s="38" t="s">
        <v>68</v>
      </c>
      <c r="J41" s="38" t="s">
        <v>36</v>
      </c>
      <c r="K41" s="38" t="s">
        <v>157</v>
      </c>
      <c r="L41" s="38" t="s">
        <v>82</v>
      </c>
      <c r="M41" s="38" t="s">
        <v>2324</v>
      </c>
      <c r="N41" s="38" t="s">
        <v>2325</v>
      </c>
      <c r="O41" s="38" t="s">
        <v>72</v>
      </c>
      <c r="P41" s="38" t="s">
        <v>73</v>
      </c>
      <c r="Q41" s="38" t="s">
        <v>185</v>
      </c>
      <c r="R41" s="38">
        <v>9154060</v>
      </c>
      <c r="S41" s="38">
        <v>2018</v>
      </c>
      <c r="T41" s="38" t="s">
        <v>616</v>
      </c>
      <c r="U41" s="38" t="s">
        <v>37</v>
      </c>
      <c r="V41" s="38" t="s">
        <v>186</v>
      </c>
      <c r="W41" s="38" t="s">
        <v>37</v>
      </c>
      <c r="X41" s="38" t="s">
        <v>37</v>
      </c>
      <c r="Y41" s="38">
        <f>89+48+60+71+72</f>
        <v>340</v>
      </c>
      <c r="Z41" s="38">
        <v>500</v>
      </c>
      <c r="AA41" s="38">
        <f>Y41/Z41*100</f>
        <v>68</v>
      </c>
      <c r="AB41" s="38">
        <f>48+60+71</f>
        <v>179</v>
      </c>
      <c r="AC41" s="38">
        <v>300</v>
      </c>
      <c r="AD41" s="38">
        <f>AB41/AC41*100</f>
        <v>59.666666666666671</v>
      </c>
      <c r="AE41" s="38" t="s">
        <v>2326</v>
      </c>
      <c r="AF41" s="38" t="s">
        <v>2275</v>
      </c>
      <c r="AG41" s="38" t="s">
        <v>2275</v>
      </c>
      <c r="AH41" s="38">
        <v>10000</v>
      </c>
      <c r="AI41" s="38">
        <v>210000</v>
      </c>
      <c r="AJ41" s="38">
        <v>27500</v>
      </c>
      <c r="AK41" s="38">
        <f>AH41+AI41+AJ41</f>
        <v>247500</v>
      </c>
      <c r="AL41" s="38" t="s">
        <v>2327</v>
      </c>
      <c r="AM41" s="38" t="s">
        <v>87</v>
      </c>
      <c r="AN41" s="38" t="s">
        <v>2328</v>
      </c>
      <c r="AO41" s="38" t="s">
        <v>187</v>
      </c>
      <c r="AP41" s="38">
        <v>1500000</v>
      </c>
      <c r="AQ41" s="38" t="s">
        <v>2329</v>
      </c>
      <c r="AR41" s="41" t="s">
        <v>2330</v>
      </c>
      <c r="AS41" s="38" t="s">
        <v>2331</v>
      </c>
      <c r="AT41" s="38" t="s">
        <v>2332</v>
      </c>
      <c r="AU41" s="38" t="s">
        <v>2333</v>
      </c>
      <c r="AV41" s="38" t="s">
        <v>186</v>
      </c>
      <c r="AW41" s="38">
        <v>110085</v>
      </c>
      <c r="AX41" s="38" t="s">
        <v>2331</v>
      </c>
      <c r="AY41" s="38" t="s">
        <v>37</v>
      </c>
      <c r="AZ41" s="38">
        <v>9136099900</v>
      </c>
      <c r="BA41" s="38">
        <v>9313284443</v>
      </c>
      <c r="BB41" s="38">
        <v>9711151533</v>
      </c>
      <c r="BC41" s="42" t="s">
        <v>2334</v>
      </c>
      <c r="BD41" s="42" t="s">
        <v>2335</v>
      </c>
      <c r="BE41" s="38" t="s">
        <v>1862</v>
      </c>
      <c r="BF41" s="38" t="s">
        <v>37</v>
      </c>
    </row>
    <row r="42" spans="1:58" s="38" customFormat="1" ht="80.099999999999994" customHeight="1" x14ac:dyDescent="0.25">
      <c r="A42" s="38">
        <v>40</v>
      </c>
      <c r="B42" s="38">
        <v>465</v>
      </c>
      <c r="C42" s="38" t="s">
        <v>4443</v>
      </c>
      <c r="D42" s="15" t="s">
        <v>107</v>
      </c>
      <c r="F42" s="16" t="s">
        <v>2363</v>
      </c>
      <c r="G42" s="15" t="s">
        <v>38</v>
      </c>
      <c r="H42" s="15" t="s">
        <v>35</v>
      </c>
      <c r="I42" s="38" t="s">
        <v>68</v>
      </c>
      <c r="J42" s="38" t="s">
        <v>36</v>
      </c>
      <c r="K42" s="38" t="s">
        <v>2366</v>
      </c>
      <c r="L42" s="38" t="s">
        <v>82</v>
      </c>
      <c r="M42" s="38" t="s">
        <v>1851</v>
      </c>
      <c r="N42" s="38" t="s">
        <v>95</v>
      </c>
      <c r="O42" s="38" t="s">
        <v>123</v>
      </c>
      <c r="P42" s="38" t="s">
        <v>73</v>
      </c>
      <c r="Q42" s="38" t="s">
        <v>185</v>
      </c>
      <c r="R42" s="38">
        <v>1811686867</v>
      </c>
      <c r="S42" s="38">
        <v>2018</v>
      </c>
      <c r="T42" s="38" t="s">
        <v>366</v>
      </c>
      <c r="U42" s="38" t="s">
        <v>37</v>
      </c>
      <c r="V42" s="38" t="s">
        <v>155</v>
      </c>
      <c r="W42" s="38" t="s">
        <v>37</v>
      </c>
      <c r="X42" s="38" t="s">
        <v>37</v>
      </c>
      <c r="Y42" s="38">
        <v>741</v>
      </c>
      <c r="Z42" s="38">
        <v>1200</v>
      </c>
      <c r="AA42" s="38">
        <f>Y42/Z42*100</f>
        <v>61.750000000000007</v>
      </c>
      <c r="AB42" s="38">
        <f>127+89+107</f>
        <v>323</v>
      </c>
      <c r="AC42" s="38">
        <v>600</v>
      </c>
      <c r="AD42" s="38">
        <f>AB42/AC42*100</f>
        <v>53.833333333333336</v>
      </c>
      <c r="AE42" s="38" t="s">
        <v>2367</v>
      </c>
      <c r="AF42" s="38" t="s">
        <v>1560</v>
      </c>
      <c r="AG42" s="38" t="s">
        <v>2348</v>
      </c>
      <c r="AH42" s="38">
        <v>10000</v>
      </c>
      <c r="AI42" s="38">
        <v>300000</v>
      </c>
      <c r="AJ42" s="38">
        <v>27500</v>
      </c>
      <c r="AK42" s="38">
        <f>AH42+AI42+AJ42</f>
        <v>337500</v>
      </c>
      <c r="AL42" s="38" t="s">
        <v>2368</v>
      </c>
      <c r="AM42" s="38" t="s">
        <v>87</v>
      </c>
      <c r="AN42" s="38" t="s">
        <v>2369</v>
      </c>
      <c r="AO42" s="38" t="s">
        <v>320</v>
      </c>
      <c r="AP42" s="38">
        <v>2500000</v>
      </c>
      <c r="AQ42" s="38" t="s">
        <v>2370</v>
      </c>
      <c r="AR42" s="41" t="s">
        <v>2371</v>
      </c>
      <c r="AS42" s="38" t="s">
        <v>2372</v>
      </c>
      <c r="AT42" s="38" t="s">
        <v>2373</v>
      </c>
      <c r="AU42" s="38" t="s">
        <v>923</v>
      </c>
      <c r="AV42" s="38" t="s">
        <v>152</v>
      </c>
      <c r="AW42" s="38">
        <v>632009</v>
      </c>
      <c r="AX42" s="38" t="s">
        <v>2372</v>
      </c>
      <c r="AY42" s="38" t="s">
        <v>37</v>
      </c>
      <c r="AZ42" s="38">
        <v>9629503079</v>
      </c>
      <c r="BA42" s="38">
        <v>9894161175</v>
      </c>
      <c r="BB42" s="38">
        <v>9600503095</v>
      </c>
      <c r="BC42" s="42" t="s">
        <v>2375</v>
      </c>
      <c r="BD42" s="42" t="s">
        <v>2374</v>
      </c>
      <c r="BE42" s="38" t="s">
        <v>3505</v>
      </c>
    </row>
    <row r="43" spans="1:58" s="38" customFormat="1" ht="80.099999999999994" customHeight="1" x14ac:dyDescent="0.25">
      <c r="A43" s="38">
        <v>41</v>
      </c>
      <c r="B43" s="38">
        <v>489</v>
      </c>
      <c r="C43" s="38" t="s">
        <v>4443</v>
      </c>
      <c r="D43" s="38" t="s">
        <v>107</v>
      </c>
      <c r="F43" s="43" t="s">
        <v>2491</v>
      </c>
      <c r="G43" s="38" t="s">
        <v>38</v>
      </c>
      <c r="H43" s="38" t="s">
        <v>35</v>
      </c>
      <c r="I43" s="38" t="s">
        <v>68</v>
      </c>
      <c r="J43" s="38" t="s">
        <v>36</v>
      </c>
      <c r="K43" s="38" t="s">
        <v>1029</v>
      </c>
      <c r="L43" s="38" t="s">
        <v>214</v>
      </c>
      <c r="M43" s="38" t="s">
        <v>2492</v>
      </c>
      <c r="N43" s="38" t="s">
        <v>95</v>
      </c>
      <c r="O43" s="38" t="s">
        <v>61</v>
      </c>
      <c r="P43" s="38" t="s">
        <v>137</v>
      </c>
      <c r="Q43" s="38" t="s">
        <v>63</v>
      </c>
      <c r="R43" s="38">
        <v>403513</v>
      </c>
      <c r="S43" s="38">
        <v>2018</v>
      </c>
      <c r="T43" s="38" t="s">
        <v>64</v>
      </c>
      <c r="U43" s="38" t="s">
        <v>65</v>
      </c>
      <c r="V43" s="38" t="s">
        <v>37</v>
      </c>
      <c r="W43" s="38" t="s">
        <v>37</v>
      </c>
      <c r="X43" s="38" t="s">
        <v>37</v>
      </c>
      <c r="Y43" s="38">
        <v>525</v>
      </c>
      <c r="Z43" s="38">
        <v>600</v>
      </c>
      <c r="AA43" s="38">
        <f>Y43/Z43*100</f>
        <v>87.5</v>
      </c>
      <c r="AB43" s="38">
        <f>90+90+96</f>
        <v>276</v>
      </c>
      <c r="AC43" s="38">
        <v>300</v>
      </c>
      <c r="AD43" s="38">
        <f>AB43/AC43*100</f>
        <v>92</v>
      </c>
      <c r="AE43" s="38" t="s">
        <v>2246</v>
      </c>
      <c r="AF43" s="38" t="s">
        <v>2275</v>
      </c>
      <c r="AG43" s="38" t="s">
        <v>2493</v>
      </c>
      <c r="AH43" s="38">
        <v>10000</v>
      </c>
      <c r="AI43" s="38">
        <v>210000</v>
      </c>
      <c r="AJ43" s="38">
        <v>27500</v>
      </c>
      <c r="AK43" s="38">
        <f>AH43+AI43+AJ43</f>
        <v>247500</v>
      </c>
      <c r="AL43" s="38" t="s">
        <v>2494</v>
      </c>
      <c r="AM43" s="38" t="s">
        <v>87</v>
      </c>
      <c r="AN43" s="38" t="s">
        <v>2495</v>
      </c>
      <c r="AO43" s="38" t="s">
        <v>154</v>
      </c>
      <c r="AP43" s="38">
        <v>500000</v>
      </c>
      <c r="AQ43" s="38" t="s">
        <v>2496</v>
      </c>
      <c r="AR43" s="41" t="s">
        <v>2497</v>
      </c>
      <c r="AS43" s="38" t="s">
        <v>2498</v>
      </c>
      <c r="AT43" s="38" t="s">
        <v>2499</v>
      </c>
      <c r="AU43" s="38" t="s">
        <v>95</v>
      </c>
      <c r="AV43" s="38" t="s">
        <v>65</v>
      </c>
      <c r="AW43" s="38">
        <v>560062</v>
      </c>
      <c r="AX43" s="38" t="s">
        <v>2498</v>
      </c>
      <c r="AY43" s="38" t="s">
        <v>37</v>
      </c>
      <c r="AZ43" s="38">
        <v>8884539615</v>
      </c>
      <c r="BA43" s="38">
        <v>9901222093</v>
      </c>
      <c r="BB43" s="38">
        <v>8694919888</v>
      </c>
      <c r="BC43" s="42" t="s">
        <v>2500</v>
      </c>
      <c r="BD43" s="42" t="s">
        <v>2501</v>
      </c>
      <c r="BE43" s="38" t="s">
        <v>3315</v>
      </c>
    </row>
    <row r="44" spans="1:58" s="38" customFormat="1" ht="80.099999999999994" customHeight="1" x14ac:dyDescent="0.25">
      <c r="A44" s="38">
        <v>42</v>
      </c>
      <c r="B44" s="38">
        <v>512</v>
      </c>
      <c r="C44" s="38" t="s">
        <v>4443</v>
      </c>
      <c r="D44" s="38" t="s">
        <v>107</v>
      </c>
      <c r="F44" s="43" t="s">
        <v>2584</v>
      </c>
      <c r="G44" s="38" t="s">
        <v>38</v>
      </c>
      <c r="H44" s="38" t="s">
        <v>35</v>
      </c>
      <c r="I44" s="38" t="s">
        <v>68</v>
      </c>
      <c r="J44" s="38" t="s">
        <v>165</v>
      </c>
      <c r="K44" s="38" t="s">
        <v>2585</v>
      </c>
      <c r="L44" s="38" t="s">
        <v>82</v>
      </c>
      <c r="M44" s="38" t="s">
        <v>2586</v>
      </c>
      <c r="N44" s="38" t="s">
        <v>2587</v>
      </c>
      <c r="O44" s="38" t="s">
        <v>123</v>
      </c>
      <c r="P44" s="38" t="s">
        <v>85</v>
      </c>
      <c r="Q44" s="38" t="s">
        <v>185</v>
      </c>
      <c r="R44" s="38">
        <v>1811383054</v>
      </c>
      <c r="S44" s="38">
        <v>2018</v>
      </c>
      <c r="T44" s="38" t="s">
        <v>366</v>
      </c>
      <c r="U44" s="38" t="s">
        <v>37</v>
      </c>
      <c r="V44" s="38" t="s">
        <v>155</v>
      </c>
      <c r="W44" s="38" t="s">
        <v>37</v>
      </c>
      <c r="X44" s="38" t="s">
        <v>37</v>
      </c>
      <c r="Y44" s="38">
        <v>1047</v>
      </c>
      <c r="Z44" s="38">
        <v>1200</v>
      </c>
      <c r="AA44" s="38">
        <f>Y44/Z44*100</f>
        <v>87.25</v>
      </c>
      <c r="AB44" s="38">
        <f>173+158+182</f>
        <v>513</v>
      </c>
      <c r="AC44" s="38">
        <v>600</v>
      </c>
      <c r="AD44" s="38">
        <f>AB44/AC44*100</f>
        <v>85.5</v>
      </c>
      <c r="AE44" s="38" t="s">
        <v>2588</v>
      </c>
      <c r="AF44" s="38" t="s">
        <v>2558</v>
      </c>
      <c r="AG44" s="38" t="s">
        <v>2558</v>
      </c>
      <c r="AH44" s="38">
        <v>10000</v>
      </c>
      <c r="AI44" s="38">
        <v>300000</v>
      </c>
      <c r="AJ44" s="38">
        <v>27500</v>
      </c>
      <c r="AK44" s="38">
        <f>AH44+AI44+AJ44</f>
        <v>337500</v>
      </c>
      <c r="AL44" s="38" t="s">
        <v>2589</v>
      </c>
      <c r="AM44" s="38" t="s">
        <v>115</v>
      </c>
      <c r="AN44" s="38" t="s">
        <v>2590</v>
      </c>
      <c r="AO44" s="38" t="s">
        <v>115</v>
      </c>
      <c r="AP44" s="38">
        <v>596915</v>
      </c>
      <c r="AQ44" s="38" t="s">
        <v>2591</v>
      </c>
      <c r="AR44" s="41" t="s">
        <v>2592</v>
      </c>
      <c r="AS44" s="38" t="s">
        <v>2593</v>
      </c>
      <c r="AT44" s="38" t="s">
        <v>205</v>
      </c>
      <c r="AU44" s="38" t="s">
        <v>715</v>
      </c>
      <c r="AV44" s="38" t="s">
        <v>152</v>
      </c>
      <c r="AW44" s="38">
        <v>635109</v>
      </c>
      <c r="AX44" s="38" t="s">
        <v>37</v>
      </c>
      <c r="AY44" s="38" t="s">
        <v>37</v>
      </c>
      <c r="AZ44" s="38">
        <v>9715566110</v>
      </c>
      <c r="BA44" s="38">
        <v>9443618764</v>
      </c>
      <c r="BB44" s="38">
        <v>9865836344</v>
      </c>
      <c r="BC44" s="42" t="s">
        <v>2594</v>
      </c>
      <c r="BD44" s="42" t="s">
        <v>2595</v>
      </c>
      <c r="BE44" s="38" t="s">
        <v>2913</v>
      </c>
    </row>
    <row r="45" spans="1:58" s="38" customFormat="1" ht="80.099999999999994" customHeight="1" x14ac:dyDescent="0.25">
      <c r="A45" s="38">
        <v>43</v>
      </c>
      <c r="B45" s="38">
        <v>527</v>
      </c>
      <c r="C45" s="38" t="s">
        <v>4443</v>
      </c>
      <c r="D45" s="38" t="s">
        <v>107</v>
      </c>
      <c r="F45" s="43" t="s">
        <v>2655</v>
      </c>
      <c r="G45" s="38" t="s">
        <v>38</v>
      </c>
      <c r="H45" s="38" t="s">
        <v>35</v>
      </c>
      <c r="I45" s="38" t="s">
        <v>68</v>
      </c>
      <c r="J45" s="38" t="s">
        <v>36</v>
      </c>
      <c r="K45" s="38" t="s">
        <v>2668</v>
      </c>
      <c r="L45" s="38" t="s">
        <v>116</v>
      </c>
      <c r="M45" s="38" t="s">
        <v>2669</v>
      </c>
      <c r="N45" s="38" t="s">
        <v>2670</v>
      </c>
      <c r="O45" s="38" t="s">
        <v>83</v>
      </c>
      <c r="P45" s="38" t="s">
        <v>73</v>
      </c>
      <c r="Q45" s="38" t="s">
        <v>63</v>
      </c>
      <c r="R45" s="38" t="s">
        <v>2653</v>
      </c>
      <c r="S45" s="38">
        <v>2018</v>
      </c>
      <c r="T45" s="38" t="s">
        <v>64</v>
      </c>
      <c r="U45" s="38" t="s">
        <v>65</v>
      </c>
      <c r="V45" s="38" t="s">
        <v>37</v>
      </c>
      <c r="W45" s="38" t="s">
        <v>37</v>
      </c>
      <c r="X45" s="38" t="s">
        <v>37</v>
      </c>
      <c r="Y45" s="38">
        <v>391</v>
      </c>
      <c r="Z45" s="38">
        <v>600</v>
      </c>
      <c r="AA45" s="38">
        <f>Y45/Z45*100</f>
        <v>65.166666666666657</v>
      </c>
      <c r="AB45" s="38">
        <f>70+56+52</f>
        <v>178</v>
      </c>
      <c r="AC45" s="38">
        <v>300</v>
      </c>
      <c r="AD45" s="38">
        <f>AB45/AC45*100</f>
        <v>59.333333333333336</v>
      </c>
      <c r="AE45" s="38" t="s">
        <v>2671</v>
      </c>
      <c r="AF45" s="38" t="s">
        <v>2348</v>
      </c>
      <c r="AG45" s="38" t="s">
        <v>2653</v>
      </c>
      <c r="AH45" s="38">
        <v>10000</v>
      </c>
      <c r="AI45" s="38">
        <v>210000</v>
      </c>
      <c r="AJ45" s="38">
        <v>27500</v>
      </c>
      <c r="AK45" s="38">
        <f>AH45+AI45+AJ45</f>
        <v>247500</v>
      </c>
      <c r="AL45" s="38" t="s">
        <v>2672</v>
      </c>
      <c r="AM45" s="38" t="s">
        <v>87</v>
      </c>
      <c r="AN45" s="38" t="s">
        <v>2673</v>
      </c>
      <c r="AO45" s="38" t="s">
        <v>187</v>
      </c>
      <c r="AP45" s="38">
        <v>1000000</v>
      </c>
      <c r="AQ45" s="38" t="s">
        <v>2674</v>
      </c>
      <c r="AR45" s="41" t="s">
        <v>2675</v>
      </c>
      <c r="AS45" s="38" t="s">
        <v>2676</v>
      </c>
      <c r="AT45" s="38" t="s">
        <v>2677</v>
      </c>
      <c r="AU45" s="38" t="s">
        <v>95</v>
      </c>
      <c r="AV45" s="38" t="s">
        <v>65</v>
      </c>
      <c r="AW45" s="38">
        <v>560016</v>
      </c>
      <c r="AX45" s="38" t="s">
        <v>2676</v>
      </c>
      <c r="AY45" s="38" t="s">
        <v>37</v>
      </c>
      <c r="AZ45" s="38">
        <v>8792615878</v>
      </c>
      <c r="BA45" s="38">
        <v>8790005625</v>
      </c>
      <c r="BB45" s="38">
        <v>895104194</v>
      </c>
      <c r="BC45" s="42" t="s">
        <v>2678</v>
      </c>
      <c r="BD45" s="42" t="s">
        <v>2679</v>
      </c>
      <c r="BE45" s="38" t="s">
        <v>1834</v>
      </c>
      <c r="BF45" s="38" t="s">
        <v>37</v>
      </c>
    </row>
    <row r="46" spans="1:58" s="76" customFormat="1" ht="80.099999999999994" customHeight="1" x14ac:dyDescent="0.25">
      <c r="A46" s="38">
        <v>44</v>
      </c>
      <c r="B46" s="76">
        <v>528</v>
      </c>
      <c r="C46" s="38" t="s">
        <v>4443</v>
      </c>
      <c r="D46" s="76" t="s">
        <v>107</v>
      </c>
      <c r="F46" s="77" t="s">
        <v>2656</v>
      </c>
      <c r="G46" s="76" t="s">
        <v>38</v>
      </c>
      <c r="H46" s="76" t="s">
        <v>35</v>
      </c>
      <c r="I46" s="76" t="s">
        <v>68</v>
      </c>
      <c r="J46" s="76" t="s">
        <v>36</v>
      </c>
      <c r="K46" s="76" t="s">
        <v>1774</v>
      </c>
      <c r="L46" s="76" t="s">
        <v>82</v>
      </c>
      <c r="M46" s="76" t="s">
        <v>1771</v>
      </c>
      <c r="N46" s="76" t="s">
        <v>161</v>
      </c>
      <c r="O46" s="76" t="s">
        <v>83</v>
      </c>
      <c r="P46" s="76" t="s">
        <v>85</v>
      </c>
      <c r="Q46" s="76" t="s">
        <v>185</v>
      </c>
      <c r="R46" s="76">
        <v>1810210885</v>
      </c>
      <c r="S46" s="76">
        <v>2018</v>
      </c>
      <c r="T46" s="76" t="s">
        <v>89</v>
      </c>
      <c r="U46" s="76" t="s">
        <v>37</v>
      </c>
      <c r="V46" s="76" t="s">
        <v>215</v>
      </c>
      <c r="W46" s="76">
        <v>792</v>
      </c>
      <c r="X46" s="76">
        <f>W46/1000*100</f>
        <v>79.2</v>
      </c>
      <c r="Y46" s="76">
        <f>90+71+53+49+39+48+27+28</f>
        <v>405</v>
      </c>
      <c r="Z46" s="76">
        <v>530</v>
      </c>
      <c r="AA46" s="76">
        <f>Y46/Z46*100</f>
        <v>76.415094339622641</v>
      </c>
      <c r="AB46" s="76">
        <f>73+50+53+32+53+49+39+48+27+28</f>
        <v>452</v>
      </c>
      <c r="AC46" s="76">
        <v>600</v>
      </c>
      <c r="AD46" s="76">
        <f>AB46/AC46*100</f>
        <v>75.333333333333329</v>
      </c>
      <c r="AE46" s="76" t="s">
        <v>2680</v>
      </c>
      <c r="AF46" s="76" t="s">
        <v>258</v>
      </c>
      <c r="AG46" s="76" t="s">
        <v>2653</v>
      </c>
      <c r="AH46" s="76">
        <v>10000</v>
      </c>
      <c r="AI46" s="76">
        <v>210000</v>
      </c>
      <c r="AJ46" s="76">
        <v>27500</v>
      </c>
      <c r="AK46" s="76">
        <f>AH46+AI46+AJ46</f>
        <v>247500</v>
      </c>
      <c r="AL46" s="76" t="s">
        <v>2681</v>
      </c>
      <c r="AM46" s="76" t="s">
        <v>78</v>
      </c>
      <c r="AN46" s="76" t="s">
        <v>2682</v>
      </c>
      <c r="AO46" s="76" t="s">
        <v>462</v>
      </c>
      <c r="AP46" s="76">
        <v>360000</v>
      </c>
      <c r="AQ46" s="76" t="s">
        <v>2683</v>
      </c>
      <c r="AR46" s="78" t="s">
        <v>2684</v>
      </c>
      <c r="AS46" s="76" t="s">
        <v>2685</v>
      </c>
      <c r="AT46" s="76" t="s">
        <v>2686</v>
      </c>
      <c r="AU46" s="76" t="s">
        <v>169</v>
      </c>
      <c r="AV46" s="76" t="s">
        <v>215</v>
      </c>
      <c r="AW46" s="76">
        <v>518003</v>
      </c>
      <c r="AX46" s="76" t="s">
        <v>2685</v>
      </c>
      <c r="AY46" s="76" t="s">
        <v>37</v>
      </c>
      <c r="AZ46" s="76">
        <v>9398484238</v>
      </c>
      <c r="BA46" s="76">
        <v>9885828714</v>
      </c>
      <c r="BB46" s="76">
        <v>8187866224</v>
      </c>
      <c r="BC46" s="79" t="s">
        <v>2687</v>
      </c>
      <c r="BD46" s="79" t="s">
        <v>2688</v>
      </c>
      <c r="BE46" s="76" t="s">
        <v>879</v>
      </c>
      <c r="BF46" s="76" t="s">
        <v>113</v>
      </c>
    </row>
    <row r="47" spans="1:58" s="38" customFormat="1" ht="75.75" customHeight="1" x14ac:dyDescent="0.25">
      <c r="A47" s="38">
        <v>45</v>
      </c>
      <c r="B47" s="38">
        <v>593</v>
      </c>
      <c r="C47" s="38" t="s">
        <v>4443</v>
      </c>
      <c r="D47" s="38" t="s">
        <v>107</v>
      </c>
      <c r="F47" s="43" t="s">
        <v>2931</v>
      </c>
      <c r="G47" s="38" t="s">
        <v>38</v>
      </c>
      <c r="H47" s="38" t="s">
        <v>35</v>
      </c>
      <c r="I47" s="38" t="s">
        <v>68</v>
      </c>
      <c r="J47" s="38" t="s">
        <v>36</v>
      </c>
      <c r="K47" s="38" t="s">
        <v>81</v>
      </c>
      <c r="L47" s="38" t="s">
        <v>82</v>
      </c>
      <c r="M47" s="38" t="s">
        <v>2932</v>
      </c>
      <c r="N47" s="38" t="s">
        <v>1026</v>
      </c>
      <c r="O47" s="38" t="s">
        <v>83</v>
      </c>
      <c r="P47" s="38" t="s">
        <v>85</v>
      </c>
      <c r="Q47" s="38" t="s">
        <v>185</v>
      </c>
      <c r="R47" s="38">
        <v>1806219476</v>
      </c>
      <c r="S47" s="38">
        <v>2018</v>
      </c>
      <c r="T47" s="38" t="s">
        <v>89</v>
      </c>
      <c r="U47" s="38" t="s">
        <v>37</v>
      </c>
      <c r="V47" s="38" t="s">
        <v>215</v>
      </c>
      <c r="W47" s="38">
        <v>926</v>
      </c>
      <c r="X47" s="38">
        <f>W47/1000*100</f>
        <v>92.600000000000009</v>
      </c>
      <c r="Y47" s="38">
        <f>93+99+72+47+57+60+30+26</f>
        <v>484</v>
      </c>
      <c r="Z47" s="38">
        <v>530</v>
      </c>
      <c r="AA47" s="38">
        <f>Y47/Z47*100</f>
        <v>91.320754716981128</v>
      </c>
      <c r="AB47" s="38">
        <f>72+75+58+50+72+47+57+60+30+26</f>
        <v>547</v>
      </c>
      <c r="AC47" s="38">
        <v>600</v>
      </c>
      <c r="AD47" s="38">
        <f>AB47/AC47*100</f>
        <v>91.166666666666657</v>
      </c>
      <c r="AE47" s="76" t="s">
        <v>2933</v>
      </c>
      <c r="AF47" s="38" t="s">
        <v>246</v>
      </c>
      <c r="AG47" s="76" t="s">
        <v>2914</v>
      </c>
      <c r="AH47" s="76">
        <v>10000</v>
      </c>
      <c r="AI47" s="38">
        <v>210000</v>
      </c>
      <c r="AJ47" s="76">
        <v>27500</v>
      </c>
      <c r="AK47" s="76">
        <f>AH47+AI47+AJ47</f>
        <v>247500</v>
      </c>
      <c r="AL47" s="38" t="s">
        <v>2934</v>
      </c>
      <c r="AM47" s="38" t="s">
        <v>87</v>
      </c>
      <c r="AN47" s="38" t="s">
        <v>2935</v>
      </c>
      <c r="AO47" s="38" t="s">
        <v>67</v>
      </c>
      <c r="AP47" s="38">
        <v>150000</v>
      </c>
      <c r="AQ47" s="38" t="s">
        <v>2936</v>
      </c>
      <c r="AR47" s="41" t="s">
        <v>2937</v>
      </c>
      <c r="AS47" s="38" t="s">
        <v>2938</v>
      </c>
      <c r="AT47" s="38" t="s">
        <v>1026</v>
      </c>
      <c r="AU47" s="38" t="s">
        <v>2939</v>
      </c>
      <c r="AV47" s="38" t="s">
        <v>215</v>
      </c>
      <c r="AW47" s="38">
        <v>515591</v>
      </c>
      <c r="AX47" s="38" t="s">
        <v>2938</v>
      </c>
      <c r="AZ47" s="38">
        <v>8125252124</v>
      </c>
      <c r="BA47" s="38">
        <v>9440782050</v>
      </c>
      <c r="BB47" s="38">
        <v>9441553230</v>
      </c>
      <c r="BC47" s="42" t="s">
        <v>2940</v>
      </c>
      <c r="BD47" s="42" t="s">
        <v>2941</v>
      </c>
      <c r="BE47" s="38" t="s">
        <v>2942</v>
      </c>
      <c r="BF47" s="38" t="s">
        <v>2943</v>
      </c>
    </row>
    <row r="48" spans="1:58" s="80" customFormat="1" ht="80.099999999999994" customHeight="1" x14ac:dyDescent="0.25">
      <c r="A48" s="38">
        <v>46</v>
      </c>
      <c r="B48" s="80">
        <v>607</v>
      </c>
      <c r="C48" s="38" t="s">
        <v>4443</v>
      </c>
      <c r="D48" s="80" t="s">
        <v>107</v>
      </c>
      <c r="F48" s="81" t="s">
        <v>2997</v>
      </c>
      <c r="G48" s="80" t="s">
        <v>38</v>
      </c>
      <c r="H48" s="80" t="s">
        <v>35</v>
      </c>
      <c r="I48" s="80" t="s">
        <v>68</v>
      </c>
      <c r="J48" s="80" t="s">
        <v>36</v>
      </c>
      <c r="K48" s="80" t="s">
        <v>520</v>
      </c>
      <c r="L48" s="80" t="s">
        <v>82</v>
      </c>
      <c r="M48" s="80" t="s">
        <v>2998</v>
      </c>
      <c r="N48" s="80" t="s">
        <v>2999</v>
      </c>
      <c r="O48" s="80" t="s">
        <v>83</v>
      </c>
      <c r="P48" s="80" t="s">
        <v>85</v>
      </c>
      <c r="Q48" s="80" t="s">
        <v>185</v>
      </c>
      <c r="R48" s="80">
        <v>1802233546</v>
      </c>
      <c r="S48" s="80">
        <v>2018</v>
      </c>
      <c r="T48" s="80" t="s">
        <v>89</v>
      </c>
      <c r="U48" s="80" t="s">
        <v>37</v>
      </c>
      <c r="V48" s="80" t="s">
        <v>215</v>
      </c>
      <c r="W48" s="80">
        <v>846</v>
      </c>
      <c r="X48" s="80">
        <f>W48/1000*100</f>
        <v>84.6</v>
      </c>
      <c r="Y48" s="80">
        <f>85+96+72+28+48+32+30+28</f>
        <v>419</v>
      </c>
      <c r="Z48" s="80">
        <v>530</v>
      </c>
      <c r="AA48" s="80">
        <f>Y48/Z48*100</f>
        <v>79.056603773584911</v>
      </c>
      <c r="AB48" s="80">
        <f>71+65+58+45+72+28+48+32+30+28</f>
        <v>477</v>
      </c>
      <c r="AC48" s="80">
        <v>600</v>
      </c>
      <c r="AD48" s="80">
        <f>AB48/AC48*100</f>
        <v>79.5</v>
      </c>
      <c r="AE48" s="80" t="s">
        <v>3000</v>
      </c>
      <c r="AF48" s="80" t="s">
        <v>790</v>
      </c>
      <c r="AG48" s="80" t="s">
        <v>3023</v>
      </c>
      <c r="AH48" s="80">
        <v>10000</v>
      </c>
      <c r="AI48" s="80">
        <v>210000</v>
      </c>
      <c r="AJ48" s="80">
        <v>27500</v>
      </c>
      <c r="AK48" s="80">
        <f>AH48+AI48+AJ48</f>
        <v>247500</v>
      </c>
      <c r="AL48" s="80" t="s">
        <v>3001</v>
      </c>
      <c r="AM48" s="80" t="s">
        <v>78</v>
      </c>
      <c r="AN48" s="80" t="s">
        <v>3002</v>
      </c>
      <c r="AO48" s="80" t="s">
        <v>3003</v>
      </c>
      <c r="AP48" s="80">
        <v>150000</v>
      </c>
      <c r="AQ48" s="80" t="s">
        <v>3004</v>
      </c>
      <c r="AR48" s="82" t="s">
        <v>3005</v>
      </c>
      <c r="AS48" s="80" t="s">
        <v>3006</v>
      </c>
      <c r="AT48" s="80" t="s">
        <v>3007</v>
      </c>
      <c r="AU48" s="80" t="s">
        <v>169</v>
      </c>
      <c r="AV48" s="80" t="s">
        <v>215</v>
      </c>
      <c r="AW48" s="80">
        <v>518123</v>
      </c>
      <c r="AX48" s="80" t="s">
        <v>3006</v>
      </c>
      <c r="AZ48" s="80">
        <v>9676066287</v>
      </c>
      <c r="BA48" s="80">
        <v>9133124600</v>
      </c>
      <c r="BD48" s="83" t="s">
        <v>3008</v>
      </c>
      <c r="BE48" s="80" t="s">
        <v>879</v>
      </c>
      <c r="BF48" s="80" t="s">
        <v>113</v>
      </c>
    </row>
    <row r="49" spans="1:59" s="38" customFormat="1" ht="80.099999999999994" customHeight="1" x14ac:dyDescent="0.25">
      <c r="A49" s="38">
        <v>47</v>
      </c>
      <c r="B49" s="38">
        <v>610</v>
      </c>
      <c r="C49" s="38" t="s">
        <v>4443</v>
      </c>
      <c r="D49" s="38" t="s">
        <v>107</v>
      </c>
      <c r="F49" s="43" t="s">
        <v>3009</v>
      </c>
      <c r="G49" s="38" t="s">
        <v>38</v>
      </c>
      <c r="H49" s="38" t="s">
        <v>35</v>
      </c>
      <c r="I49" s="38" t="s">
        <v>68</v>
      </c>
      <c r="J49" s="38" t="s">
        <v>36</v>
      </c>
      <c r="K49" s="38" t="s">
        <v>3010</v>
      </c>
      <c r="L49" s="38" t="s">
        <v>82</v>
      </c>
      <c r="M49" s="38" t="s">
        <v>3011</v>
      </c>
      <c r="N49" s="38" t="s">
        <v>95</v>
      </c>
      <c r="O49" s="38" t="s">
        <v>226</v>
      </c>
      <c r="P49" s="38" t="s">
        <v>85</v>
      </c>
      <c r="Q49" s="38" t="s">
        <v>185</v>
      </c>
      <c r="R49" s="38">
        <v>1605652</v>
      </c>
      <c r="S49" s="38">
        <v>2018</v>
      </c>
      <c r="T49" s="38" t="s">
        <v>616</v>
      </c>
      <c r="U49" s="38" t="s">
        <v>37</v>
      </c>
      <c r="V49" s="38" t="s">
        <v>228</v>
      </c>
      <c r="W49" s="38" t="s">
        <v>37</v>
      </c>
      <c r="X49" s="38" t="s">
        <v>37</v>
      </c>
      <c r="Y49" s="38">
        <f>78+68+60+54+62</f>
        <v>322</v>
      </c>
      <c r="Z49" s="38">
        <v>500</v>
      </c>
      <c r="AA49" s="80">
        <f>Y49/Z49*100</f>
        <v>64.400000000000006</v>
      </c>
      <c r="AB49" s="38">
        <f>68+60+54</f>
        <v>182</v>
      </c>
      <c r="AC49" s="38">
        <v>300</v>
      </c>
      <c r="AD49" s="38">
        <f>AB49/AC49*100</f>
        <v>60.666666666666671</v>
      </c>
      <c r="AE49" s="38" t="s">
        <v>2274</v>
      </c>
      <c r="AF49" s="38" t="s">
        <v>1560</v>
      </c>
      <c r="AG49" s="38" t="s">
        <v>3023</v>
      </c>
      <c r="AH49" s="80">
        <v>10000</v>
      </c>
      <c r="AI49" s="38">
        <v>300000</v>
      </c>
      <c r="AJ49" s="80">
        <v>27500</v>
      </c>
      <c r="AK49" s="80">
        <f>AH49+AI49+AJ49</f>
        <v>337500</v>
      </c>
      <c r="AL49" s="38" t="s">
        <v>3012</v>
      </c>
      <c r="AM49" s="38" t="s">
        <v>87</v>
      </c>
      <c r="AN49" s="38" t="s">
        <v>3013</v>
      </c>
      <c r="AO49" s="38" t="s">
        <v>79</v>
      </c>
      <c r="AP49" s="38" t="s">
        <v>3014</v>
      </c>
      <c r="AQ49" s="38" t="s">
        <v>3015</v>
      </c>
      <c r="AR49" s="41" t="s">
        <v>3016</v>
      </c>
      <c r="AS49" s="38" t="s">
        <v>3017</v>
      </c>
      <c r="AT49" s="38" t="s">
        <v>3018</v>
      </c>
      <c r="AU49" s="38" t="s">
        <v>225</v>
      </c>
      <c r="AV49" s="38" t="s">
        <v>229</v>
      </c>
      <c r="AW49" s="38">
        <v>390022</v>
      </c>
      <c r="AX49" s="38" t="s">
        <v>3019</v>
      </c>
      <c r="AY49" s="38" t="s">
        <v>3020</v>
      </c>
      <c r="AZ49" s="38">
        <v>8460748420</v>
      </c>
      <c r="BA49" s="38">
        <v>9426594049</v>
      </c>
      <c r="BB49" s="38">
        <v>9998245759</v>
      </c>
      <c r="BC49" s="42" t="s">
        <v>3021</v>
      </c>
      <c r="BD49" s="42" t="s">
        <v>3022</v>
      </c>
      <c r="BE49" s="38" t="s">
        <v>1862</v>
      </c>
      <c r="BF49" s="38" t="s">
        <v>37</v>
      </c>
    </row>
    <row r="50" spans="1:59" s="38" customFormat="1" ht="80.099999999999994" customHeight="1" x14ac:dyDescent="0.25">
      <c r="A50" s="38">
        <v>48</v>
      </c>
      <c r="B50" s="15">
        <v>631</v>
      </c>
      <c r="C50" s="38" t="s">
        <v>4443</v>
      </c>
      <c r="D50" s="15" t="s">
        <v>107</v>
      </c>
      <c r="F50" s="16" t="s">
        <v>3081</v>
      </c>
      <c r="G50" s="15" t="s">
        <v>38</v>
      </c>
      <c r="H50" s="15" t="s">
        <v>35</v>
      </c>
      <c r="I50" s="38" t="s">
        <v>68</v>
      </c>
      <c r="J50" s="38" t="s">
        <v>36</v>
      </c>
      <c r="K50" s="38" t="s">
        <v>231</v>
      </c>
      <c r="L50" s="38" t="s">
        <v>82</v>
      </c>
      <c r="M50" s="38" t="s">
        <v>3082</v>
      </c>
      <c r="N50" s="38" t="s">
        <v>3083</v>
      </c>
      <c r="O50" s="38" t="s">
        <v>72</v>
      </c>
      <c r="P50" s="38" t="s">
        <v>73</v>
      </c>
      <c r="Q50" s="38" t="s">
        <v>185</v>
      </c>
      <c r="R50" s="38">
        <v>1841941103</v>
      </c>
      <c r="S50" s="38">
        <v>2018</v>
      </c>
      <c r="T50" s="38" t="s">
        <v>3084</v>
      </c>
      <c r="U50" s="38" t="s">
        <v>37</v>
      </c>
      <c r="V50" s="38" t="s">
        <v>3052</v>
      </c>
      <c r="W50" s="38" t="s">
        <v>37</v>
      </c>
      <c r="X50" s="38" t="s">
        <v>37</v>
      </c>
      <c r="Y50" s="38">
        <f>70+67+73+69+77</f>
        <v>356</v>
      </c>
      <c r="Z50" s="38">
        <v>500</v>
      </c>
      <c r="AA50" s="80">
        <f>Y50/Z50*100</f>
        <v>71.2</v>
      </c>
      <c r="AB50" s="38">
        <f>67+73+69</f>
        <v>209</v>
      </c>
      <c r="AC50" s="38">
        <v>300</v>
      </c>
      <c r="AD50" s="38">
        <f>AB50/AC50*100</f>
        <v>69.666666666666671</v>
      </c>
      <c r="AE50" s="38" t="s">
        <v>3085</v>
      </c>
      <c r="AF50" s="38" t="s">
        <v>3071</v>
      </c>
      <c r="AG50" s="38" t="s">
        <v>3071</v>
      </c>
      <c r="AH50" s="80">
        <v>10000</v>
      </c>
      <c r="AI50" s="38">
        <v>210000</v>
      </c>
      <c r="AJ50" s="80">
        <v>27500</v>
      </c>
      <c r="AK50" s="80">
        <f>AH50+AI50+AJ50</f>
        <v>247500</v>
      </c>
      <c r="AL50" s="38" t="s">
        <v>3086</v>
      </c>
      <c r="AM50" s="38" t="s">
        <v>87</v>
      </c>
      <c r="AN50" s="38" t="s">
        <v>3087</v>
      </c>
      <c r="AO50" s="38" t="s">
        <v>99</v>
      </c>
      <c r="AP50" s="38">
        <v>600000</v>
      </c>
      <c r="AQ50" s="38" t="s">
        <v>4099</v>
      </c>
      <c r="AR50" s="41" t="s">
        <v>3088</v>
      </c>
      <c r="AS50" s="38" t="s">
        <v>3089</v>
      </c>
      <c r="AT50" s="38" t="s">
        <v>3090</v>
      </c>
      <c r="AU50" s="38" t="s">
        <v>3091</v>
      </c>
      <c r="AV50" s="38" t="s">
        <v>3052</v>
      </c>
      <c r="AW50" s="38">
        <v>176209</v>
      </c>
      <c r="AX50" s="38" t="s">
        <v>3089</v>
      </c>
      <c r="AY50" s="38" t="s">
        <v>3092</v>
      </c>
      <c r="AZ50" s="38">
        <v>9817801992</v>
      </c>
      <c r="BA50" s="38">
        <v>9418792095</v>
      </c>
      <c r="BB50" s="38">
        <v>8894879183</v>
      </c>
      <c r="BC50" s="42" t="s">
        <v>3093</v>
      </c>
      <c r="BD50" s="42" t="s">
        <v>3094</v>
      </c>
      <c r="BE50" s="38" t="s">
        <v>4100</v>
      </c>
    </row>
    <row r="51" spans="1:59" s="84" customFormat="1" ht="80.099999999999994" customHeight="1" x14ac:dyDescent="0.25">
      <c r="A51" s="38">
        <v>49</v>
      </c>
      <c r="B51" s="38">
        <v>659</v>
      </c>
      <c r="C51" s="38" t="s">
        <v>4443</v>
      </c>
      <c r="D51" s="38" t="s">
        <v>107</v>
      </c>
      <c r="E51" s="38"/>
      <c r="F51" s="43" t="s">
        <v>3138</v>
      </c>
      <c r="G51" s="38" t="s">
        <v>38</v>
      </c>
      <c r="H51" s="38" t="s">
        <v>92</v>
      </c>
      <c r="I51" s="38" t="s">
        <v>68</v>
      </c>
      <c r="J51" s="38" t="s">
        <v>36</v>
      </c>
      <c r="K51" s="38" t="s">
        <v>3149</v>
      </c>
      <c r="L51" s="38" t="s">
        <v>214</v>
      </c>
      <c r="M51" s="38" t="s">
        <v>3150</v>
      </c>
      <c r="N51" s="38" t="s">
        <v>164</v>
      </c>
      <c r="O51" s="38" t="s">
        <v>83</v>
      </c>
      <c r="P51" s="38" t="s">
        <v>73</v>
      </c>
      <c r="Q51" s="38" t="s">
        <v>63</v>
      </c>
      <c r="R51" s="38">
        <v>380428</v>
      </c>
      <c r="S51" s="38">
        <v>2018</v>
      </c>
      <c r="T51" s="38" t="s">
        <v>64</v>
      </c>
      <c r="U51" s="38" t="s">
        <v>65</v>
      </c>
      <c r="V51" s="38" t="s">
        <v>37</v>
      </c>
      <c r="W51" s="38" t="s">
        <v>37</v>
      </c>
      <c r="X51" s="38" t="s">
        <v>37</v>
      </c>
      <c r="Y51" s="38">
        <v>401</v>
      </c>
      <c r="Z51" s="38">
        <v>600</v>
      </c>
      <c r="AA51" s="80">
        <f>Y51/Z51*100</f>
        <v>66.833333333333329</v>
      </c>
      <c r="AB51" s="38">
        <f>61+60+73</f>
        <v>194</v>
      </c>
      <c r="AC51" s="38">
        <v>300</v>
      </c>
      <c r="AD51" s="38">
        <f>AB51/AC51*100</f>
        <v>64.666666666666657</v>
      </c>
      <c r="AE51" s="38" t="s">
        <v>919</v>
      </c>
      <c r="AF51" s="38" t="s">
        <v>843</v>
      </c>
      <c r="AG51" s="38" t="s">
        <v>3101</v>
      </c>
      <c r="AH51" s="80">
        <v>10000</v>
      </c>
      <c r="AI51" s="38">
        <v>210000</v>
      </c>
      <c r="AJ51" s="80">
        <v>27500</v>
      </c>
      <c r="AK51" s="80">
        <f>AH51+AI51+AJ51</f>
        <v>247500</v>
      </c>
      <c r="AL51" s="38" t="s">
        <v>3151</v>
      </c>
      <c r="AM51" s="38" t="s">
        <v>78</v>
      </c>
      <c r="AN51" s="38" t="s">
        <v>3152</v>
      </c>
      <c r="AO51" s="38" t="s">
        <v>1724</v>
      </c>
      <c r="AP51" s="38">
        <v>40000</v>
      </c>
      <c r="AQ51" s="38" t="s">
        <v>3156</v>
      </c>
      <c r="AR51" s="41" t="s">
        <v>3153</v>
      </c>
      <c r="AS51" s="38" t="s">
        <v>3154</v>
      </c>
      <c r="AT51" s="38" t="s">
        <v>845</v>
      </c>
      <c r="AU51" s="38" t="s">
        <v>95</v>
      </c>
      <c r="AV51" s="38" t="s">
        <v>65</v>
      </c>
      <c r="AW51" s="38">
        <v>560085</v>
      </c>
      <c r="AX51" s="38" t="s">
        <v>3154</v>
      </c>
      <c r="AY51" s="38">
        <v>7338321066</v>
      </c>
      <c r="AZ51" s="38">
        <v>9060157717</v>
      </c>
      <c r="BA51" s="38">
        <v>9964033246</v>
      </c>
      <c r="BB51" s="38">
        <v>9986458127</v>
      </c>
      <c r="BC51" s="38"/>
      <c r="BD51" s="42" t="s">
        <v>3155</v>
      </c>
      <c r="BE51" s="38" t="s">
        <v>1609</v>
      </c>
      <c r="BF51" s="38" t="s">
        <v>37</v>
      </c>
      <c r="BG51" s="38"/>
    </row>
    <row r="52" spans="1:59" s="38" customFormat="1" ht="80.099999999999994" customHeight="1" x14ac:dyDescent="0.25">
      <c r="A52" s="38">
        <v>50</v>
      </c>
      <c r="B52" s="15">
        <v>668</v>
      </c>
      <c r="C52" s="38" t="s">
        <v>4443</v>
      </c>
      <c r="D52" s="15" t="s">
        <v>107</v>
      </c>
      <c r="F52" s="16" t="s">
        <v>3177</v>
      </c>
      <c r="G52" s="15" t="s">
        <v>38</v>
      </c>
      <c r="H52" s="15" t="s">
        <v>35</v>
      </c>
      <c r="I52" s="38" t="s">
        <v>68</v>
      </c>
      <c r="J52" s="38" t="s">
        <v>36</v>
      </c>
      <c r="K52" s="38" t="s">
        <v>157</v>
      </c>
      <c r="L52" s="38" t="s">
        <v>82</v>
      </c>
      <c r="M52" s="38" t="s">
        <v>3214</v>
      </c>
      <c r="N52" s="38" t="s">
        <v>155</v>
      </c>
      <c r="O52" s="38" t="s">
        <v>561</v>
      </c>
      <c r="P52" s="38" t="s">
        <v>62</v>
      </c>
      <c r="Q52" s="38" t="s">
        <v>185</v>
      </c>
      <c r="R52" s="38">
        <v>1811741624</v>
      </c>
      <c r="S52" s="38">
        <v>2018</v>
      </c>
      <c r="T52" s="38" t="s">
        <v>366</v>
      </c>
      <c r="U52" s="38" t="s">
        <v>37</v>
      </c>
      <c r="V52" s="38" t="s">
        <v>155</v>
      </c>
      <c r="W52" s="38" t="s">
        <v>37</v>
      </c>
      <c r="X52" s="38" t="s">
        <v>37</v>
      </c>
      <c r="Y52" s="38">
        <v>814</v>
      </c>
      <c r="Z52" s="38">
        <v>1200</v>
      </c>
      <c r="AA52" s="80">
        <f>Y52/Z52*100</f>
        <v>67.833333333333329</v>
      </c>
      <c r="AB52" s="38">
        <f>128+128+108</f>
        <v>364</v>
      </c>
      <c r="AC52" s="38">
        <v>600</v>
      </c>
      <c r="AD52" s="38">
        <f>AB52/AC52*100</f>
        <v>60.666666666666671</v>
      </c>
      <c r="AE52" s="38" t="s">
        <v>3215</v>
      </c>
      <c r="AF52" s="38" t="s">
        <v>3163</v>
      </c>
      <c r="AG52" s="38" t="s">
        <v>3163</v>
      </c>
      <c r="AH52" s="80">
        <v>10000</v>
      </c>
      <c r="AI52" s="38">
        <v>210000</v>
      </c>
      <c r="AJ52" s="80">
        <v>27500</v>
      </c>
      <c r="AK52" s="80">
        <f>AH52+AI52+AJ52</f>
        <v>247500</v>
      </c>
      <c r="AL52" s="38" t="s">
        <v>3216</v>
      </c>
      <c r="AM52" s="38" t="s">
        <v>3218</v>
      </c>
      <c r="AN52" s="38" t="s">
        <v>3217</v>
      </c>
      <c r="AO52" s="38" t="s">
        <v>3219</v>
      </c>
      <c r="AP52" s="38">
        <v>1000000</v>
      </c>
      <c r="AQ52" s="38" t="s">
        <v>3220</v>
      </c>
      <c r="AR52" s="41" t="s">
        <v>3221</v>
      </c>
      <c r="AS52" s="38" t="s">
        <v>3222</v>
      </c>
      <c r="AT52" s="38" t="s">
        <v>3223</v>
      </c>
      <c r="AU52" s="38" t="s">
        <v>155</v>
      </c>
      <c r="AV52" s="38" t="s">
        <v>152</v>
      </c>
      <c r="AW52" s="38">
        <v>600091</v>
      </c>
      <c r="AX52" s="38" t="s">
        <v>3224</v>
      </c>
      <c r="AY52" s="38" t="s">
        <v>37</v>
      </c>
      <c r="AZ52" s="38">
        <v>9840267815</v>
      </c>
      <c r="BA52" s="38">
        <v>9840967815</v>
      </c>
      <c r="BB52" s="38">
        <v>9600067815</v>
      </c>
      <c r="BC52" s="42" t="s">
        <v>3225</v>
      </c>
      <c r="BD52" s="42" t="s">
        <v>3226</v>
      </c>
      <c r="BE52" s="38" t="s">
        <v>1609</v>
      </c>
      <c r="BF52" s="38" t="s">
        <v>230</v>
      </c>
    </row>
    <row r="53" spans="1:59" s="38" customFormat="1" ht="80.099999999999994" customHeight="1" x14ac:dyDescent="0.25">
      <c r="A53" s="38">
        <v>51</v>
      </c>
      <c r="B53" s="15">
        <v>693</v>
      </c>
      <c r="C53" s="38" t="s">
        <v>4443</v>
      </c>
      <c r="D53" s="15" t="s">
        <v>107</v>
      </c>
      <c r="F53" s="16" t="s">
        <v>3351</v>
      </c>
      <c r="G53" s="15" t="s">
        <v>38</v>
      </c>
      <c r="H53" s="15" t="s">
        <v>35</v>
      </c>
      <c r="I53" s="38" t="s">
        <v>68</v>
      </c>
      <c r="J53" s="38" t="s">
        <v>36</v>
      </c>
      <c r="K53" s="38" t="s">
        <v>1046</v>
      </c>
      <c r="L53" s="38" t="s">
        <v>82</v>
      </c>
      <c r="M53" s="38" t="s">
        <v>682</v>
      </c>
      <c r="N53" s="38" t="s">
        <v>1695</v>
      </c>
      <c r="O53" s="38" t="s">
        <v>83</v>
      </c>
      <c r="P53" s="38" t="s">
        <v>73</v>
      </c>
      <c r="Q53" s="38" t="s">
        <v>185</v>
      </c>
      <c r="R53" s="38">
        <v>1805227645</v>
      </c>
      <c r="S53" s="38">
        <v>2018</v>
      </c>
      <c r="T53" s="38" t="s">
        <v>89</v>
      </c>
      <c r="U53" s="38" t="s">
        <v>37</v>
      </c>
      <c r="V53" s="38" t="s">
        <v>215</v>
      </c>
      <c r="W53" s="38">
        <v>976</v>
      </c>
      <c r="X53" s="38">
        <f>W53/1000*100</f>
        <v>97.6</v>
      </c>
      <c r="Y53" s="38">
        <f>92+99+75+72+60+58+30+29</f>
        <v>515</v>
      </c>
      <c r="Z53" s="38">
        <v>530</v>
      </c>
      <c r="AA53" s="80">
        <f>Y53/Z53*100</f>
        <v>97.169811320754718</v>
      </c>
      <c r="AB53" s="38">
        <f>75+75+60+60+75+72+60+58+30+29</f>
        <v>594</v>
      </c>
      <c r="AC53" s="38">
        <v>600</v>
      </c>
      <c r="AD53" s="38">
        <f>AB53/AC53*100</f>
        <v>99</v>
      </c>
      <c r="AE53" s="38" t="s">
        <v>1134</v>
      </c>
      <c r="AF53" s="38" t="s">
        <v>1560</v>
      </c>
      <c r="AG53" s="38" t="s">
        <v>3319</v>
      </c>
      <c r="AH53" s="80">
        <v>10000</v>
      </c>
      <c r="AI53" s="38">
        <v>300000</v>
      </c>
      <c r="AJ53" s="80">
        <v>27500</v>
      </c>
      <c r="AK53" s="80">
        <f>AH53+AI53+AJ53</f>
        <v>337500</v>
      </c>
      <c r="AL53" s="38" t="s">
        <v>3354</v>
      </c>
      <c r="AM53" s="38" t="s">
        <v>78</v>
      </c>
      <c r="AN53" s="38" t="s">
        <v>3355</v>
      </c>
      <c r="AO53" s="38" t="s">
        <v>139</v>
      </c>
      <c r="AP53" s="38">
        <v>200000</v>
      </c>
      <c r="AQ53" s="38" t="s">
        <v>3356</v>
      </c>
      <c r="AR53" s="41" t="s">
        <v>3357</v>
      </c>
      <c r="AS53" s="38" t="s">
        <v>3358</v>
      </c>
      <c r="AT53" s="38" t="s">
        <v>1695</v>
      </c>
      <c r="AU53" s="38" t="s">
        <v>256</v>
      </c>
      <c r="AV53" s="38" t="s">
        <v>215</v>
      </c>
      <c r="AW53" s="38">
        <v>522413</v>
      </c>
      <c r="AX53" s="38" t="s">
        <v>3358</v>
      </c>
      <c r="AY53" s="38" t="s">
        <v>37</v>
      </c>
      <c r="AZ53" s="38">
        <v>9951857875</v>
      </c>
      <c r="BA53" s="38">
        <v>9848017727</v>
      </c>
      <c r="BB53" s="38">
        <v>8367211425</v>
      </c>
      <c r="BD53" s="42" t="s">
        <v>3359</v>
      </c>
      <c r="BE53" s="80" t="s">
        <v>4104</v>
      </c>
      <c r="BF53" s="80" t="s">
        <v>144</v>
      </c>
    </row>
    <row r="54" spans="1:59" s="84" customFormat="1" ht="80.099999999999994" customHeight="1" x14ac:dyDescent="0.25">
      <c r="A54" s="38">
        <v>52</v>
      </c>
      <c r="B54" s="15">
        <v>717</v>
      </c>
      <c r="C54" s="38" t="s">
        <v>4443</v>
      </c>
      <c r="D54" s="15" t="s">
        <v>107</v>
      </c>
      <c r="E54" s="38"/>
      <c r="F54" s="16" t="s">
        <v>3455</v>
      </c>
      <c r="G54" s="15" t="s">
        <v>38</v>
      </c>
      <c r="H54" s="15" t="s">
        <v>35</v>
      </c>
      <c r="I54" s="38" t="s">
        <v>68</v>
      </c>
      <c r="J54" s="38" t="s">
        <v>36</v>
      </c>
      <c r="K54" s="38" t="s">
        <v>81</v>
      </c>
      <c r="L54" s="38" t="s">
        <v>3494</v>
      </c>
      <c r="M54" s="38" t="s">
        <v>3495</v>
      </c>
      <c r="N54" s="38" t="s">
        <v>482</v>
      </c>
      <c r="O54" s="38" t="s">
        <v>83</v>
      </c>
      <c r="P54" s="38" t="s">
        <v>431</v>
      </c>
      <c r="Q54" s="38" t="s">
        <v>185</v>
      </c>
      <c r="R54" s="38">
        <v>1710227817</v>
      </c>
      <c r="S54" s="38">
        <v>2017</v>
      </c>
      <c r="T54" s="38" t="s">
        <v>89</v>
      </c>
      <c r="U54" s="38" t="s">
        <v>37</v>
      </c>
      <c r="V54" s="38" t="s">
        <v>215</v>
      </c>
      <c r="W54" s="38">
        <v>873</v>
      </c>
      <c r="X54" s="38">
        <f>W54/1000*100</f>
        <v>87.3</v>
      </c>
      <c r="Y54" s="38">
        <f>87+76+70+55+52+47+30+30</f>
        <v>447</v>
      </c>
      <c r="Z54" s="38">
        <v>530</v>
      </c>
      <c r="AA54" s="38">
        <f>Y54/Z54*100</f>
        <v>84.339622641509436</v>
      </c>
      <c r="AB54" s="38">
        <f>70+62+56+54+70+55+52+47+30+30</f>
        <v>526</v>
      </c>
      <c r="AC54" s="38">
        <v>600</v>
      </c>
      <c r="AD54" s="38">
        <f>AB54/AC54*100</f>
        <v>87.666666666666671</v>
      </c>
      <c r="AE54" s="38" t="s">
        <v>3496</v>
      </c>
      <c r="AF54" s="38" t="s">
        <v>397</v>
      </c>
      <c r="AG54" s="38" t="s">
        <v>3497</v>
      </c>
      <c r="AH54" s="38">
        <v>10000</v>
      </c>
      <c r="AI54" s="38">
        <v>210000</v>
      </c>
      <c r="AJ54" s="38">
        <v>27500</v>
      </c>
      <c r="AK54" s="38">
        <f>AH54+AI54+AJ54</f>
        <v>247500</v>
      </c>
      <c r="AL54" s="38" t="s">
        <v>3498</v>
      </c>
      <c r="AM54" s="38" t="s">
        <v>78</v>
      </c>
      <c r="AN54" s="38" t="s">
        <v>3499</v>
      </c>
      <c r="AO54" s="38" t="s">
        <v>568</v>
      </c>
      <c r="AP54" s="38">
        <v>600000</v>
      </c>
      <c r="AQ54" s="38" t="s">
        <v>3500</v>
      </c>
      <c r="AR54" s="41" t="s">
        <v>3501</v>
      </c>
      <c r="AS54" s="38" t="s">
        <v>3502</v>
      </c>
      <c r="AT54" s="38" t="s">
        <v>482</v>
      </c>
      <c r="AU54" s="38" t="s">
        <v>169</v>
      </c>
      <c r="AV54" s="38" t="s">
        <v>215</v>
      </c>
      <c r="AW54" s="38">
        <v>518501</v>
      </c>
      <c r="AX54" s="38" t="s">
        <v>3502</v>
      </c>
      <c r="AY54" s="38"/>
      <c r="AZ54" s="38">
        <v>7730926662</v>
      </c>
      <c r="BA54" s="38">
        <v>9849295677</v>
      </c>
      <c r="BB54" s="38">
        <v>9949612889</v>
      </c>
      <c r="BC54" s="42" t="s">
        <v>3503</v>
      </c>
      <c r="BD54" s="42" t="s">
        <v>3504</v>
      </c>
      <c r="BE54" s="38" t="s">
        <v>1862</v>
      </c>
      <c r="BF54" s="38" t="s">
        <v>37</v>
      </c>
      <c r="BG54" s="38"/>
    </row>
    <row r="55" spans="1:59" s="38" customFormat="1" ht="80.099999999999994" customHeight="1" x14ac:dyDescent="0.25">
      <c r="A55" s="38">
        <v>53</v>
      </c>
      <c r="B55" s="15">
        <v>721</v>
      </c>
      <c r="C55" s="38" t="s">
        <v>4443</v>
      </c>
      <c r="D55" s="15" t="s">
        <v>107</v>
      </c>
      <c r="F55" s="16" t="s">
        <v>3456</v>
      </c>
      <c r="G55" s="15" t="s">
        <v>3457</v>
      </c>
      <c r="H55" s="15" t="s">
        <v>35</v>
      </c>
      <c r="I55" s="38" t="s">
        <v>3512</v>
      </c>
      <c r="J55" s="38" t="s">
        <v>36</v>
      </c>
      <c r="K55" s="38" t="s">
        <v>157</v>
      </c>
      <c r="L55" s="38" t="s">
        <v>82</v>
      </c>
      <c r="M55" s="38" t="s">
        <v>3513</v>
      </c>
      <c r="N55" s="38" t="s">
        <v>318</v>
      </c>
      <c r="O55" s="38" t="s">
        <v>61</v>
      </c>
      <c r="P55" s="38" t="s">
        <v>85</v>
      </c>
      <c r="Q55" s="38" t="s">
        <v>185</v>
      </c>
      <c r="R55" s="38">
        <v>9108594</v>
      </c>
      <c r="S55" s="38">
        <v>2016</v>
      </c>
      <c r="T55" s="38" t="s">
        <v>616</v>
      </c>
      <c r="U55" s="38" t="s">
        <v>37</v>
      </c>
      <c r="V55" s="38" t="s">
        <v>3512</v>
      </c>
      <c r="W55" s="38" t="s">
        <v>37</v>
      </c>
      <c r="X55" s="38" t="s">
        <v>37</v>
      </c>
      <c r="Y55" s="38">
        <f>95+48+71+60+91</f>
        <v>365</v>
      </c>
      <c r="Z55" s="38">
        <v>500</v>
      </c>
      <c r="AA55" s="38">
        <f>Y55/Z55*100</f>
        <v>73</v>
      </c>
      <c r="AB55" s="38">
        <f>48+71+60</f>
        <v>179</v>
      </c>
      <c r="AC55" s="38">
        <v>300</v>
      </c>
      <c r="AD55" s="38">
        <f>AB55/AC55*100</f>
        <v>59.666666666666671</v>
      </c>
      <c r="AE55" s="38" t="s">
        <v>3525</v>
      </c>
      <c r="AG55" s="38" t="s">
        <v>3497</v>
      </c>
      <c r="AH55" s="38" t="s">
        <v>3514</v>
      </c>
      <c r="AI55" s="38" t="s">
        <v>3515</v>
      </c>
      <c r="AL55" s="38" t="s">
        <v>3516</v>
      </c>
      <c r="AM55" s="38" t="s">
        <v>78</v>
      </c>
      <c r="AN55" s="38" t="s">
        <v>3526</v>
      </c>
      <c r="AO55" s="38" t="s">
        <v>3517</v>
      </c>
      <c r="AP55" s="38">
        <v>2000000</v>
      </c>
      <c r="AQ55" s="38" t="s">
        <v>3518</v>
      </c>
      <c r="AR55" s="41" t="s">
        <v>3519</v>
      </c>
      <c r="AS55" s="38" t="s">
        <v>3520</v>
      </c>
      <c r="AT55" s="38" t="s">
        <v>3521</v>
      </c>
      <c r="AU55" s="38" t="s">
        <v>95</v>
      </c>
      <c r="AV55" s="38" t="s">
        <v>65</v>
      </c>
      <c r="AW55" s="38">
        <v>569078</v>
      </c>
      <c r="AX55" s="38" t="s">
        <v>3520</v>
      </c>
      <c r="AZ55" s="38">
        <v>7683914466</v>
      </c>
      <c r="BA55" s="38">
        <v>97150661271</v>
      </c>
      <c r="BB55" s="38" t="s">
        <v>3522</v>
      </c>
      <c r="BC55" s="42" t="s">
        <v>3523</v>
      </c>
      <c r="BD55" s="42" t="s">
        <v>3524</v>
      </c>
      <c r="BE55" s="80" t="s">
        <v>3382</v>
      </c>
      <c r="BF55" s="80" t="s">
        <v>37</v>
      </c>
    </row>
    <row r="56" spans="1:59" s="38" customFormat="1" ht="80.099999999999994" customHeight="1" x14ac:dyDescent="0.25">
      <c r="A56" s="38">
        <v>54</v>
      </c>
      <c r="B56" s="15">
        <v>778</v>
      </c>
      <c r="C56" s="38" t="s">
        <v>4443</v>
      </c>
      <c r="D56" s="15" t="s">
        <v>107</v>
      </c>
      <c r="F56" s="16" t="s">
        <v>3470</v>
      </c>
      <c r="G56" s="15" t="s">
        <v>38</v>
      </c>
      <c r="H56" s="15" t="s">
        <v>35</v>
      </c>
      <c r="I56" s="38" t="s">
        <v>68</v>
      </c>
      <c r="J56" s="38" t="s">
        <v>36</v>
      </c>
      <c r="K56" s="38" t="s">
        <v>407</v>
      </c>
      <c r="L56" s="38" t="s">
        <v>82</v>
      </c>
      <c r="M56" s="38" t="s">
        <v>3651</v>
      </c>
      <c r="N56" s="38" t="s">
        <v>2153</v>
      </c>
      <c r="O56" s="38" t="s">
        <v>83</v>
      </c>
      <c r="P56" s="38" t="s">
        <v>73</v>
      </c>
      <c r="Q56" s="38" t="s">
        <v>185</v>
      </c>
      <c r="R56" s="38">
        <v>1810225953</v>
      </c>
      <c r="S56" s="38">
        <v>2018</v>
      </c>
      <c r="T56" s="38" t="s">
        <v>89</v>
      </c>
      <c r="U56" s="38" t="s">
        <v>37</v>
      </c>
      <c r="V56" s="38" t="s">
        <v>215</v>
      </c>
      <c r="W56" s="38">
        <v>838</v>
      </c>
      <c r="X56" s="38">
        <f>W56/1000*100</f>
        <v>83.8</v>
      </c>
      <c r="Y56" s="38">
        <f>83+98+70+52+52+55+28+26</f>
        <v>464</v>
      </c>
      <c r="Z56" s="38">
        <v>530</v>
      </c>
      <c r="AA56" s="38">
        <f>Y56/Z56*100</f>
        <v>87.547169811320757</v>
      </c>
      <c r="AB56" s="38">
        <f>51+52+53+44+70+52+52+55+28+26</f>
        <v>483</v>
      </c>
      <c r="AC56" s="38">
        <v>600</v>
      </c>
      <c r="AD56" s="38">
        <f>AB56/AC56*100</f>
        <v>80.5</v>
      </c>
      <c r="AE56" s="38" t="s">
        <v>3652</v>
      </c>
      <c r="AF56" s="38" t="s">
        <v>1083</v>
      </c>
      <c r="AG56" s="38" t="s">
        <v>3497</v>
      </c>
      <c r="AH56" s="38">
        <v>10000</v>
      </c>
      <c r="AI56" s="38">
        <v>210000</v>
      </c>
      <c r="AJ56" s="38">
        <v>27500</v>
      </c>
      <c r="AK56" s="38">
        <f>AH56+AI56+AJ56</f>
        <v>247500</v>
      </c>
      <c r="AL56" s="38" t="s">
        <v>3653</v>
      </c>
      <c r="AM56" s="38" t="s">
        <v>78</v>
      </c>
      <c r="AN56" s="38" t="s">
        <v>3654</v>
      </c>
      <c r="AO56" s="38" t="s">
        <v>1487</v>
      </c>
      <c r="AP56" s="38">
        <v>50000</v>
      </c>
      <c r="AQ56" s="38" t="s">
        <v>3658</v>
      </c>
      <c r="AR56" s="41" t="s">
        <v>3655</v>
      </c>
      <c r="AS56" s="38" t="s">
        <v>3656</v>
      </c>
      <c r="AT56" s="38" t="s">
        <v>2153</v>
      </c>
      <c r="AU56" s="38" t="s">
        <v>422</v>
      </c>
      <c r="AV56" s="38" t="s">
        <v>215</v>
      </c>
      <c r="AX56" s="38" t="s">
        <v>3656</v>
      </c>
      <c r="AZ56" s="38">
        <v>7095337762</v>
      </c>
      <c r="BA56" s="38">
        <v>9701005437</v>
      </c>
      <c r="BD56" s="42" t="s">
        <v>3657</v>
      </c>
      <c r="BE56" s="38" t="s">
        <v>3452</v>
      </c>
      <c r="BF56" s="38" t="s">
        <v>144</v>
      </c>
    </row>
    <row r="57" spans="1:59" s="38" customFormat="1" ht="80.099999999999994" customHeight="1" x14ac:dyDescent="0.25">
      <c r="A57" s="38">
        <v>55</v>
      </c>
      <c r="B57" s="15">
        <v>781</v>
      </c>
      <c r="C57" s="38" t="s">
        <v>4443</v>
      </c>
      <c r="D57" s="15" t="s">
        <v>107</v>
      </c>
      <c r="F57" s="16" t="s">
        <v>3472</v>
      </c>
      <c r="G57" s="15" t="s">
        <v>38</v>
      </c>
      <c r="H57" s="15" t="s">
        <v>35</v>
      </c>
      <c r="I57" s="38" t="s">
        <v>68</v>
      </c>
      <c r="J57" s="38" t="s">
        <v>435</v>
      </c>
      <c r="K57" s="38" t="s">
        <v>435</v>
      </c>
      <c r="L57" s="38" t="s">
        <v>82</v>
      </c>
      <c r="M57" s="38" t="s">
        <v>717</v>
      </c>
      <c r="N57" s="38" t="s">
        <v>155</v>
      </c>
      <c r="O57" s="38" t="s">
        <v>1337</v>
      </c>
      <c r="P57" s="38" t="s">
        <v>85</v>
      </c>
      <c r="Q57" s="38" t="s">
        <v>185</v>
      </c>
      <c r="R57" s="38">
        <v>4605241</v>
      </c>
      <c r="S57" s="38">
        <v>2018</v>
      </c>
      <c r="T57" s="38" t="s">
        <v>616</v>
      </c>
      <c r="U57" s="38" t="s">
        <v>37</v>
      </c>
      <c r="V57" s="38" t="s">
        <v>152</v>
      </c>
      <c r="W57" s="38" t="s">
        <v>37</v>
      </c>
      <c r="X57" s="38" t="s">
        <v>37</v>
      </c>
      <c r="Y57" s="38">
        <f>63+56+83+62+92+78</f>
        <v>434</v>
      </c>
      <c r="Z57" s="38">
        <v>600</v>
      </c>
      <c r="AA57" s="38">
        <f>Y57/Z57*100</f>
        <v>72.333333333333343</v>
      </c>
      <c r="AB57" s="38">
        <f>56+83+62</f>
        <v>201</v>
      </c>
      <c r="AC57" s="38">
        <v>300</v>
      </c>
      <c r="AD57" s="38">
        <f>AB57/AC57*100</f>
        <v>67</v>
      </c>
      <c r="AE57" s="38" t="s">
        <v>3668</v>
      </c>
      <c r="AF57" s="38" t="s">
        <v>3497</v>
      </c>
      <c r="AG57" s="38" t="s">
        <v>3497</v>
      </c>
      <c r="AH57" s="38">
        <v>10000</v>
      </c>
      <c r="AI57" s="38">
        <v>210000</v>
      </c>
      <c r="AJ57" s="38">
        <v>27500</v>
      </c>
      <c r="AK57" s="38">
        <f>AH57+AI57+AJ57</f>
        <v>247500</v>
      </c>
      <c r="AL57" s="38" t="s">
        <v>3669</v>
      </c>
      <c r="AM57" s="38" t="s">
        <v>87</v>
      </c>
      <c r="AN57" s="38" t="s">
        <v>3670</v>
      </c>
      <c r="AO57" s="38" t="s">
        <v>139</v>
      </c>
      <c r="AP57" s="38">
        <v>500000</v>
      </c>
      <c r="AQ57" s="38" t="s">
        <v>3677</v>
      </c>
      <c r="AR57" s="41" t="s">
        <v>3671</v>
      </c>
      <c r="AS57" s="38" t="s">
        <v>3672</v>
      </c>
      <c r="AT57" s="38" t="s">
        <v>3673</v>
      </c>
      <c r="AU57" s="38" t="s">
        <v>155</v>
      </c>
      <c r="AV57" s="38" t="s">
        <v>152</v>
      </c>
      <c r="AW57" s="38">
        <v>600052</v>
      </c>
      <c r="AX57" s="38" t="s">
        <v>3672</v>
      </c>
      <c r="AY57" s="38" t="s">
        <v>3674</v>
      </c>
      <c r="AZ57" s="38">
        <v>7904376052</v>
      </c>
      <c r="BA57" s="38">
        <v>9444011743</v>
      </c>
      <c r="BB57" s="38">
        <v>9445094697</v>
      </c>
      <c r="BC57" s="42" t="s">
        <v>3675</v>
      </c>
      <c r="BD57" s="42" t="s">
        <v>3676</v>
      </c>
      <c r="BE57" s="38" t="s">
        <v>1862</v>
      </c>
      <c r="BF57" s="38" t="s">
        <v>37</v>
      </c>
    </row>
    <row r="58" spans="1:59" s="38" customFormat="1" ht="80.099999999999994" customHeight="1" x14ac:dyDescent="0.25">
      <c r="A58" s="38">
        <v>56</v>
      </c>
      <c r="B58" s="15">
        <v>804</v>
      </c>
      <c r="C58" s="38" t="s">
        <v>4443</v>
      </c>
      <c r="D58" s="15" t="s">
        <v>107</v>
      </c>
      <c r="F58" s="16" t="s">
        <v>3482</v>
      </c>
      <c r="G58" s="15" t="s">
        <v>38</v>
      </c>
      <c r="H58" s="15" t="s">
        <v>35</v>
      </c>
      <c r="I58" s="38" t="s">
        <v>68</v>
      </c>
      <c r="J58" s="38" t="s">
        <v>36</v>
      </c>
      <c r="K58" s="38" t="s">
        <v>207</v>
      </c>
      <c r="L58" s="38" t="s">
        <v>82</v>
      </c>
      <c r="M58" s="38" t="s">
        <v>3781</v>
      </c>
      <c r="N58" s="38" t="s">
        <v>1965</v>
      </c>
      <c r="O58" s="38" t="s">
        <v>83</v>
      </c>
      <c r="P58" s="38" t="s">
        <v>62</v>
      </c>
      <c r="Q58" s="38" t="s">
        <v>185</v>
      </c>
      <c r="R58" s="38">
        <v>1806217083</v>
      </c>
      <c r="S58" s="38">
        <v>2018</v>
      </c>
      <c r="T58" s="38" t="s">
        <v>89</v>
      </c>
      <c r="U58" s="38" t="s">
        <v>37</v>
      </c>
      <c r="V58" s="38" t="s">
        <v>215</v>
      </c>
      <c r="W58" s="38">
        <v>893</v>
      </c>
      <c r="X58" s="38">
        <f>W58/1000*100</f>
        <v>89.3</v>
      </c>
      <c r="Y58" s="38">
        <f>82+99+69+43+55+58+29+25</f>
        <v>460</v>
      </c>
      <c r="Z58" s="38">
        <v>530</v>
      </c>
      <c r="AA58" s="38">
        <f>Y58/Z58*100</f>
        <v>86.79245283018868</v>
      </c>
      <c r="AB58" s="38">
        <f>69+65+59+54+69+43+55+58+29+25</f>
        <v>526</v>
      </c>
      <c r="AC58" s="38">
        <v>600</v>
      </c>
      <c r="AD58" s="38">
        <f>AB58/AC58*100</f>
        <v>87.666666666666671</v>
      </c>
      <c r="AE58" s="38" t="s">
        <v>2162</v>
      </c>
      <c r="AF58" s="38" t="s">
        <v>1083</v>
      </c>
      <c r="AG58" s="38" t="s">
        <v>3681</v>
      </c>
      <c r="AH58" s="38">
        <v>10000</v>
      </c>
      <c r="AI58" s="38">
        <v>210000</v>
      </c>
      <c r="AJ58" s="38">
        <v>27500</v>
      </c>
      <c r="AK58" s="38">
        <f>AH58+AI58+AJ58</f>
        <v>247500</v>
      </c>
      <c r="AL58" s="38" t="s">
        <v>3782</v>
      </c>
      <c r="AM58" s="38" t="s">
        <v>78</v>
      </c>
      <c r="AN58" s="38" t="s">
        <v>3783</v>
      </c>
      <c r="AO58" s="38" t="s">
        <v>139</v>
      </c>
      <c r="AP58" s="38">
        <v>800000</v>
      </c>
      <c r="AQ58" s="38" t="s">
        <v>3790</v>
      </c>
      <c r="AR58" s="41" t="s">
        <v>3784</v>
      </c>
      <c r="AS58" s="38" t="s">
        <v>3785</v>
      </c>
      <c r="AT58" s="38" t="s">
        <v>3786</v>
      </c>
      <c r="AU58" s="38" t="s">
        <v>422</v>
      </c>
      <c r="AV58" s="38" t="s">
        <v>215</v>
      </c>
      <c r="AW58" s="38">
        <v>523331</v>
      </c>
      <c r="AX58" s="38" t="s">
        <v>3787</v>
      </c>
      <c r="AZ58" s="38">
        <v>9063301777</v>
      </c>
      <c r="BA58" s="38">
        <v>8500200666</v>
      </c>
      <c r="BB58" s="38">
        <v>97037487777</v>
      </c>
      <c r="BC58" s="42" t="s">
        <v>3788</v>
      </c>
      <c r="BD58" s="42" t="s">
        <v>3789</v>
      </c>
      <c r="BE58" s="38" t="s">
        <v>3452</v>
      </c>
      <c r="BF58" s="38" t="s">
        <v>144</v>
      </c>
    </row>
    <row r="59" spans="1:59" s="38" customFormat="1" ht="80.099999999999994" customHeight="1" x14ac:dyDescent="0.25">
      <c r="A59" s="38">
        <v>57</v>
      </c>
      <c r="B59" s="15">
        <v>816</v>
      </c>
      <c r="C59" s="38" t="s">
        <v>4443</v>
      </c>
      <c r="D59" s="15" t="s">
        <v>107</v>
      </c>
      <c r="F59" s="16" t="s">
        <v>3487</v>
      </c>
      <c r="G59" s="15" t="s">
        <v>38</v>
      </c>
      <c r="H59" s="15" t="s">
        <v>92</v>
      </c>
      <c r="I59" s="38" t="s">
        <v>68</v>
      </c>
      <c r="J59" s="38" t="s">
        <v>158</v>
      </c>
      <c r="K59" s="38" t="s">
        <v>159</v>
      </c>
      <c r="L59" s="38" t="s">
        <v>82</v>
      </c>
      <c r="M59" s="38" t="s">
        <v>3453</v>
      </c>
      <c r="N59" s="38" t="s">
        <v>482</v>
      </c>
      <c r="O59" s="38" t="s">
        <v>162</v>
      </c>
      <c r="P59" s="38" t="s">
        <v>62</v>
      </c>
      <c r="Q59" s="38" t="s">
        <v>185</v>
      </c>
      <c r="R59" s="38">
        <v>1859223357</v>
      </c>
      <c r="S59" s="38">
        <v>2018</v>
      </c>
      <c r="T59" s="38" t="s">
        <v>75</v>
      </c>
      <c r="U59" s="38" t="s">
        <v>37</v>
      </c>
      <c r="V59" s="38" t="s">
        <v>76</v>
      </c>
      <c r="W59" s="38">
        <v>931</v>
      </c>
      <c r="X59" s="38">
        <f>W59/1000*100</f>
        <v>93.100000000000009</v>
      </c>
      <c r="Y59" s="38">
        <f>95+97+75+52+55+53+30+30</f>
        <v>487</v>
      </c>
      <c r="Z59" s="38">
        <v>530</v>
      </c>
      <c r="AA59" s="38">
        <f>Y59/Z59*100</f>
        <v>91.886792452830193</v>
      </c>
      <c r="AB59" s="38">
        <f>73+71+58+57+75+52+55+53+30+30</f>
        <v>554</v>
      </c>
      <c r="AC59" s="38">
        <v>600</v>
      </c>
      <c r="AD59" s="38">
        <f>AB59/AC59*100</f>
        <v>92.333333333333329</v>
      </c>
      <c r="AE59" s="38" t="s">
        <v>3821</v>
      </c>
      <c r="AF59" s="38" t="s">
        <v>397</v>
      </c>
      <c r="AG59" s="38" t="s">
        <v>3681</v>
      </c>
      <c r="AH59" s="38">
        <v>10000</v>
      </c>
      <c r="AI59" s="38">
        <v>210000</v>
      </c>
      <c r="AJ59" s="38">
        <v>27500</v>
      </c>
      <c r="AK59" s="38">
        <f>AH59+AI59+AJ59</f>
        <v>247500</v>
      </c>
      <c r="AL59" s="38" t="s">
        <v>757</v>
      </c>
      <c r="AM59" s="38" t="s">
        <v>78</v>
      </c>
      <c r="AN59" s="38" t="s">
        <v>3822</v>
      </c>
      <c r="AO59" s="38" t="s">
        <v>3823</v>
      </c>
      <c r="AP59" s="38">
        <v>600000</v>
      </c>
      <c r="AQ59" s="38" t="s">
        <v>3828</v>
      </c>
      <c r="AR59" s="41" t="s">
        <v>3825</v>
      </c>
      <c r="AS59" s="38" t="s">
        <v>3824</v>
      </c>
      <c r="AT59" s="38" t="s">
        <v>482</v>
      </c>
      <c r="AU59" s="38" t="s">
        <v>169</v>
      </c>
      <c r="AV59" s="38" t="s">
        <v>215</v>
      </c>
      <c r="AX59" s="38" t="s">
        <v>3824</v>
      </c>
      <c r="AZ59" s="38">
        <v>8500992476</v>
      </c>
      <c r="BA59" s="38">
        <v>9441579186</v>
      </c>
      <c r="BB59" s="38">
        <v>9492613806</v>
      </c>
      <c r="BC59" s="42" t="s">
        <v>3826</v>
      </c>
      <c r="BD59" s="42" t="s">
        <v>3827</v>
      </c>
      <c r="BE59" s="38" t="s">
        <v>3452</v>
      </c>
      <c r="BF59" s="38" t="s">
        <v>144</v>
      </c>
    </row>
    <row r="60" spans="1:59" s="38" customFormat="1" ht="80.099999999999994" customHeight="1" x14ac:dyDescent="0.25">
      <c r="A60" s="38">
        <v>58</v>
      </c>
      <c r="B60" s="15">
        <v>827</v>
      </c>
      <c r="C60" s="38" t="s">
        <v>4443</v>
      </c>
      <c r="D60" s="15" t="s">
        <v>107</v>
      </c>
      <c r="F60" s="16" t="s">
        <v>3492</v>
      </c>
      <c r="G60" s="15" t="s">
        <v>38</v>
      </c>
      <c r="H60" s="15" t="s">
        <v>35</v>
      </c>
      <c r="I60" s="38" t="s">
        <v>68</v>
      </c>
      <c r="J60" s="38" t="s">
        <v>159</v>
      </c>
      <c r="K60" s="38" t="s">
        <v>158</v>
      </c>
      <c r="L60" s="38" t="s">
        <v>753</v>
      </c>
      <c r="M60" s="38" t="s">
        <v>110</v>
      </c>
      <c r="N60" s="38" t="s">
        <v>215</v>
      </c>
      <c r="O60" s="38" t="s">
        <v>162</v>
      </c>
      <c r="Q60" s="38" t="s">
        <v>185</v>
      </c>
      <c r="R60" s="38">
        <v>1805228520</v>
      </c>
      <c r="S60" s="38">
        <v>2018</v>
      </c>
      <c r="T60" s="38" t="s">
        <v>89</v>
      </c>
      <c r="U60" s="38" t="s">
        <v>37</v>
      </c>
      <c r="V60" s="38" t="s">
        <v>215</v>
      </c>
      <c r="W60" s="38">
        <v>914</v>
      </c>
      <c r="X60" s="38">
        <f>W60/1000*100</f>
        <v>91.4</v>
      </c>
      <c r="Y60" s="38">
        <f>91+97+58+65+55+60+28+30</f>
        <v>484</v>
      </c>
      <c r="Z60" s="38">
        <v>530</v>
      </c>
      <c r="AA60" s="38">
        <f>Y60/Z60*100</f>
        <v>91.320754716981128</v>
      </c>
      <c r="AB60" s="38">
        <f>69+73+60+48+58+65+55+60+28+30</f>
        <v>546</v>
      </c>
      <c r="AC60" s="38">
        <v>600</v>
      </c>
      <c r="AD60" s="38">
        <f>AB60/AC60*100</f>
        <v>91</v>
      </c>
      <c r="AE60" s="38" t="s">
        <v>3873</v>
      </c>
      <c r="AF60" s="38" t="s">
        <v>142</v>
      </c>
      <c r="AG60" s="38" t="s">
        <v>3840</v>
      </c>
      <c r="AH60" s="38">
        <v>10000</v>
      </c>
      <c r="AI60" s="38">
        <v>210000</v>
      </c>
      <c r="AJ60" s="38">
        <v>27500</v>
      </c>
      <c r="AK60" s="38">
        <f>AH60+AI60+AJ60</f>
        <v>247500</v>
      </c>
      <c r="AL60" s="38" t="s">
        <v>3874</v>
      </c>
      <c r="AM60" s="38" t="s">
        <v>78</v>
      </c>
      <c r="AN60" s="38" t="s">
        <v>3875</v>
      </c>
      <c r="AO60" s="38" t="s">
        <v>139</v>
      </c>
      <c r="AP60" s="38">
        <v>200000</v>
      </c>
      <c r="AQ60" s="38" t="s">
        <v>4321</v>
      </c>
      <c r="AR60" s="41" t="s">
        <v>3876</v>
      </c>
      <c r="AS60" s="38" t="s">
        <v>3877</v>
      </c>
      <c r="AT60" s="38" t="s">
        <v>1683</v>
      </c>
      <c r="AU60" s="38" t="s">
        <v>755</v>
      </c>
      <c r="AV60" s="38" t="s">
        <v>215</v>
      </c>
      <c r="AW60" s="38">
        <v>516360</v>
      </c>
      <c r="AX60" s="38" t="s">
        <v>3877</v>
      </c>
      <c r="AZ60" s="38">
        <v>7672007070</v>
      </c>
      <c r="BA60" s="38">
        <v>8460872040</v>
      </c>
      <c r="BB60" s="38">
        <v>9866873846</v>
      </c>
      <c r="BD60" s="42" t="s">
        <v>3878</v>
      </c>
      <c r="BE60" s="38" t="s">
        <v>4322</v>
      </c>
      <c r="BF60" s="38" t="s">
        <v>144</v>
      </c>
    </row>
    <row r="61" spans="1:59" s="38" customFormat="1" ht="80.099999999999994" customHeight="1" x14ac:dyDescent="0.25">
      <c r="A61" s="38">
        <v>59</v>
      </c>
      <c r="B61" s="38">
        <v>840</v>
      </c>
      <c r="C61" s="38" t="s">
        <v>4443</v>
      </c>
      <c r="D61" s="38" t="s">
        <v>107</v>
      </c>
      <c r="F61" s="43" t="s">
        <v>3510</v>
      </c>
      <c r="G61" s="38" t="s">
        <v>38</v>
      </c>
      <c r="H61" s="38" t="s">
        <v>35</v>
      </c>
      <c r="I61" s="38" t="s">
        <v>68</v>
      </c>
      <c r="J61" s="38" t="s">
        <v>36</v>
      </c>
      <c r="K61" s="38" t="s">
        <v>1459</v>
      </c>
      <c r="L61" s="38" t="s">
        <v>82</v>
      </c>
      <c r="M61" s="38" t="s">
        <v>685</v>
      </c>
      <c r="N61" s="38" t="s">
        <v>1568</v>
      </c>
      <c r="O61" s="38" t="s">
        <v>83</v>
      </c>
      <c r="P61" s="38" t="s">
        <v>73</v>
      </c>
      <c r="Q61" s="38" t="s">
        <v>185</v>
      </c>
      <c r="R61" s="38">
        <v>1803218724</v>
      </c>
      <c r="S61" s="38">
        <v>2018</v>
      </c>
      <c r="T61" s="38" t="s">
        <v>89</v>
      </c>
      <c r="U61" s="38" t="s">
        <v>37</v>
      </c>
      <c r="V61" s="38" t="s">
        <v>215</v>
      </c>
      <c r="W61" s="38">
        <v>883</v>
      </c>
      <c r="X61" s="38">
        <f>W61/1000*100</f>
        <v>88.3</v>
      </c>
      <c r="Y61" s="38">
        <f>95+96+67+56+54+52+28+20</f>
        <v>468</v>
      </c>
      <c r="Z61" s="38">
        <v>530</v>
      </c>
      <c r="AA61" s="38">
        <f>Y61/Z61*100</f>
        <v>88.301886792452834</v>
      </c>
      <c r="AB61" s="38">
        <f>75+61+53+44+67+56+54+52+28+20</f>
        <v>510</v>
      </c>
      <c r="AC61" s="38">
        <v>600</v>
      </c>
      <c r="AD61" s="38">
        <f>AB61/AC61*100</f>
        <v>85</v>
      </c>
      <c r="AE61" s="38" t="s">
        <v>3906</v>
      </c>
      <c r="AF61" s="38" t="s">
        <v>246</v>
      </c>
      <c r="AG61" s="38" t="s">
        <v>3894</v>
      </c>
      <c r="AH61" s="38">
        <v>10000</v>
      </c>
      <c r="AI61" s="38">
        <v>210000</v>
      </c>
      <c r="AJ61" s="38">
        <v>27500</v>
      </c>
      <c r="AK61" s="38">
        <f>AH61+AI61+AJ61</f>
        <v>247500</v>
      </c>
      <c r="AL61" s="38" t="s">
        <v>3907</v>
      </c>
      <c r="AM61" s="38" t="s">
        <v>78</v>
      </c>
      <c r="AN61" s="38" t="s">
        <v>3908</v>
      </c>
      <c r="AO61" s="38" t="s">
        <v>139</v>
      </c>
      <c r="AP61" s="38">
        <v>500000</v>
      </c>
      <c r="AQ61" s="38" t="s">
        <v>3909</v>
      </c>
      <c r="AR61" s="41" t="s">
        <v>3912</v>
      </c>
      <c r="AS61" s="38" t="s">
        <v>3910</v>
      </c>
      <c r="AT61" s="38" t="s">
        <v>686</v>
      </c>
      <c r="AU61" s="38" t="s">
        <v>95</v>
      </c>
      <c r="AV61" s="38" t="s">
        <v>65</v>
      </c>
      <c r="AW61" s="38">
        <v>560069</v>
      </c>
      <c r="AX61" s="38" t="s">
        <v>3910</v>
      </c>
      <c r="AZ61" s="38">
        <v>7799110856</v>
      </c>
      <c r="BA61" s="38">
        <v>9441607775</v>
      </c>
      <c r="BB61" s="38">
        <v>8332004441</v>
      </c>
      <c r="BD61" s="42" t="s">
        <v>3911</v>
      </c>
      <c r="BE61" s="38" t="s">
        <v>879</v>
      </c>
      <c r="BF61" s="38" t="s">
        <v>113</v>
      </c>
    </row>
    <row r="62" spans="1:59" s="38" customFormat="1" ht="80.099999999999994" customHeight="1" x14ac:dyDescent="0.25">
      <c r="A62" s="38">
        <v>60</v>
      </c>
      <c r="B62" s="15">
        <v>896</v>
      </c>
      <c r="C62" s="38" t="s">
        <v>4443</v>
      </c>
      <c r="D62" s="15" t="s">
        <v>107</v>
      </c>
      <c r="F62" s="16" t="s">
        <v>3994</v>
      </c>
      <c r="G62" s="15" t="s">
        <v>91</v>
      </c>
      <c r="H62" s="15" t="s">
        <v>92</v>
      </c>
      <c r="I62" s="38" t="s">
        <v>68</v>
      </c>
      <c r="J62" s="38" t="s">
        <v>36</v>
      </c>
      <c r="K62" s="38" t="s">
        <v>207</v>
      </c>
      <c r="L62" s="38" t="s">
        <v>82</v>
      </c>
      <c r="M62" s="38" t="s">
        <v>2101</v>
      </c>
      <c r="N62" s="38" t="s">
        <v>76</v>
      </c>
      <c r="O62" s="38" t="s">
        <v>83</v>
      </c>
      <c r="P62" s="38" t="s">
        <v>562</v>
      </c>
      <c r="Q62" s="38" t="s">
        <v>63</v>
      </c>
      <c r="R62" s="38">
        <v>920287</v>
      </c>
      <c r="S62" s="38">
        <v>2018</v>
      </c>
      <c r="T62" s="38" t="s">
        <v>64</v>
      </c>
      <c r="U62" s="38" t="s">
        <v>65</v>
      </c>
      <c r="V62" s="38" t="s">
        <v>37</v>
      </c>
      <c r="W62" s="38" t="s">
        <v>37</v>
      </c>
      <c r="X62" s="38" t="s">
        <v>37</v>
      </c>
      <c r="Y62" s="38">
        <v>422</v>
      </c>
      <c r="Z62" s="38">
        <v>600</v>
      </c>
      <c r="AA62" s="38">
        <f>Y62/Z62*100</f>
        <v>70.333333333333343</v>
      </c>
      <c r="AB62" s="38">
        <f>67+68+76</f>
        <v>211</v>
      </c>
      <c r="AC62" s="38">
        <v>300</v>
      </c>
      <c r="AD62" s="38">
        <f>AB62/AC62*100</f>
        <v>70.333333333333343</v>
      </c>
      <c r="AE62" s="38" t="s">
        <v>4045</v>
      </c>
      <c r="AF62" s="38" t="s">
        <v>495</v>
      </c>
      <c r="AG62" s="38" t="s">
        <v>4000</v>
      </c>
      <c r="AH62" s="38">
        <v>10000</v>
      </c>
      <c r="AI62" s="38">
        <v>200000</v>
      </c>
      <c r="AJ62" s="38">
        <v>27500</v>
      </c>
      <c r="AK62" s="38">
        <f>AH62+AI62+AJ62</f>
        <v>237500</v>
      </c>
      <c r="AL62" s="38" t="s">
        <v>4046</v>
      </c>
      <c r="AM62" s="38" t="s">
        <v>78</v>
      </c>
      <c r="AN62" s="38" t="s">
        <v>4047</v>
      </c>
      <c r="AO62" s="38" t="s">
        <v>139</v>
      </c>
      <c r="AP62" s="38">
        <v>500000</v>
      </c>
      <c r="AQ62" s="38" t="s">
        <v>4048</v>
      </c>
      <c r="AR62" s="41" t="s">
        <v>4049</v>
      </c>
      <c r="AS62" s="38" t="s">
        <v>4050</v>
      </c>
      <c r="AT62" s="38" t="s">
        <v>2876</v>
      </c>
      <c r="AU62" s="38" t="s">
        <v>169</v>
      </c>
      <c r="AV62" s="38" t="s">
        <v>215</v>
      </c>
      <c r="AW62" s="38">
        <v>518004</v>
      </c>
      <c r="AX62" s="38" t="s">
        <v>4050</v>
      </c>
      <c r="AZ62" s="38">
        <v>8919455342</v>
      </c>
      <c r="BA62" s="38">
        <v>8520881405</v>
      </c>
      <c r="BB62" s="38">
        <v>9000522156</v>
      </c>
      <c r="BD62" s="42" t="s">
        <v>4051</v>
      </c>
      <c r="BE62" s="38" t="s">
        <v>4053</v>
      </c>
      <c r="BF62" s="38" t="s">
        <v>4052</v>
      </c>
    </row>
    <row r="63" spans="1:59" s="38" customFormat="1" ht="80.099999999999994" customHeight="1" x14ac:dyDescent="0.25">
      <c r="A63" s="38">
        <v>61</v>
      </c>
      <c r="B63" s="15">
        <v>900</v>
      </c>
      <c r="C63" s="38" t="s">
        <v>4443</v>
      </c>
      <c r="D63" s="38" t="s">
        <v>107</v>
      </c>
      <c r="F63" s="43" t="s">
        <v>3996</v>
      </c>
      <c r="G63" s="38" t="s">
        <v>3997</v>
      </c>
      <c r="H63" s="38" t="s">
        <v>35</v>
      </c>
      <c r="I63" s="38" t="s">
        <v>68</v>
      </c>
      <c r="J63" s="38" t="s">
        <v>165</v>
      </c>
      <c r="K63" s="38" t="s">
        <v>723</v>
      </c>
      <c r="L63" s="38" t="s">
        <v>82</v>
      </c>
      <c r="M63" s="38" t="s">
        <v>4078</v>
      </c>
      <c r="N63" s="38" t="s">
        <v>794</v>
      </c>
      <c r="O63" s="38" t="s">
        <v>795</v>
      </c>
      <c r="P63" s="38" t="s">
        <v>62</v>
      </c>
      <c r="Q63" s="38" t="s">
        <v>185</v>
      </c>
      <c r="R63" s="38">
        <v>6505652</v>
      </c>
      <c r="S63" s="38">
        <v>2017</v>
      </c>
      <c r="T63" s="38" t="s">
        <v>184</v>
      </c>
      <c r="U63" s="38" t="s">
        <v>65</v>
      </c>
      <c r="V63" s="38" t="s">
        <v>37</v>
      </c>
      <c r="W63" s="38" t="s">
        <v>37</v>
      </c>
      <c r="X63" s="38" t="s">
        <v>37</v>
      </c>
      <c r="Y63" s="38">
        <f>91+97+90+82+100</f>
        <v>460</v>
      </c>
      <c r="Z63" s="38">
        <v>500</v>
      </c>
      <c r="AA63" s="38">
        <f>Y63/Z63*100</f>
        <v>92</v>
      </c>
      <c r="AB63" s="38">
        <f>97+90+82</f>
        <v>269</v>
      </c>
      <c r="AC63" s="38">
        <v>300</v>
      </c>
      <c r="AD63" s="38">
        <f>AB63/AC63*100</f>
        <v>89.666666666666657</v>
      </c>
      <c r="AE63" s="38" t="s">
        <v>4079</v>
      </c>
      <c r="AF63" s="38" t="s">
        <v>2976</v>
      </c>
      <c r="AG63" s="38" t="s">
        <v>4000</v>
      </c>
      <c r="AH63" s="38">
        <v>10000</v>
      </c>
      <c r="AI63" s="38">
        <v>210000</v>
      </c>
      <c r="AJ63" s="38">
        <v>27500</v>
      </c>
      <c r="AK63" s="38">
        <f>AH63+AI63+AJ63</f>
        <v>247500</v>
      </c>
      <c r="AL63" s="38" t="s">
        <v>4080</v>
      </c>
      <c r="AM63" s="38" t="s">
        <v>78</v>
      </c>
      <c r="AN63" s="38" t="s">
        <v>4081</v>
      </c>
      <c r="AO63" s="38" t="s">
        <v>4082</v>
      </c>
      <c r="AP63" s="38">
        <v>2400000</v>
      </c>
      <c r="AQ63" s="38" t="s">
        <v>4087</v>
      </c>
      <c r="AR63" s="41" t="s">
        <v>4083</v>
      </c>
      <c r="AS63" s="38" t="s">
        <v>4084</v>
      </c>
      <c r="AT63" s="38" t="s">
        <v>4085</v>
      </c>
      <c r="AU63" s="38" t="s">
        <v>95</v>
      </c>
      <c r="AV63" s="38" t="s">
        <v>65</v>
      </c>
      <c r="AW63" s="38">
        <v>560043</v>
      </c>
      <c r="AX63" s="38" t="s">
        <v>4084</v>
      </c>
      <c r="AZ63" s="38">
        <v>7899006245</v>
      </c>
      <c r="BA63" s="38" t="s">
        <v>4088</v>
      </c>
      <c r="BB63" s="38">
        <v>8296005047</v>
      </c>
      <c r="BD63" s="42" t="s">
        <v>4089</v>
      </c>
      <c r="BE63" s="38" t="s">
        <v>4086</v>
      </c>
      <c r="BF63" s="38" t="s">
        <v>2627</v>
      </c>
    </row>
    <row r="64" spans="1:59" s="38" customFormat="1" ht="80.099999999999994" customHeight="1" x14ac:dyDescent="0.25">
      <c r="A64" s="38">
        <v>62</v>
      </c>
      <c r="B64" s="38">
        <v>910</v>
      </c>
      <c r="C64" s="38" t="s">
        <v>4443</v>
      </c>
      <c r="D64" s="15" t="s">
        <v>107</v>
      </c>
      <c r="F64" s="43" t="s">
        <v>4107</v>
      </c>
      <c r="G64" s="38" t="s">
        <v>38</v>
      </c>
      <c r="H64" s="38" t="s">
        <v>35</v>
      </c>
      <c r="I64" s="38" t="s">
        <v>68</v>
      </c>
      <c r="J64" s="38" t="s">
        <v>435</v>
      </c>
      <c r="K64" s="38" t="s">
        <v>435</v>
      </c>
      <c r="L64" s="38" t="s">
        <v>82</v>
      </c>
      <c r="M64" s="38" t="s">
        <v>1682</v>
      </c>
      <c r="N64" s="38" t="s">
        <v>4118</v>
      </c>
      <c r="O64" s="38" t="s">
        <v>72</v>
      </c>
      <c r="P64" s="38" t="s">
        <v>73</v>
      </c>
      <c r="Q64" s="38" t="s">
        <v>185</v>
      </c>
      <c r="R64" s="38">
        <v>1694858</v>
      </c>
      <c r="S64" s="38">
        <v>2018</v>
      </c>
      <c r="T64" s="38" t="s">
        <v>616</v>
      </c>
      <c r="U64" s="38" t="s">
        <v>37</v>
      </c>
      <c r="V64" s="38" t="s">
        <v>245</v>
      </c>
      <c r="W64" s="38" t="s">
        <v>37</v>
      </c>
      <c r="X64" s="38" t="s">
        <v>37</v>
      </c>
      <c r="Y64" s="38">
        <f>65+65+71+60+83</f>
        <v>344</v>
      </c>
      <c r="Z64" s="38">
        <v>500</v>
      </c>
      <c r="AA64" s="38">
        <f>Y64/Z64*100</f>
        <v>68.8</v>
      </c>
      <c r="AB64" s="38">
        <f>65+71+60</f>
        <v>196</v>
      </c>
      <c r="AC64" s="38">
        <v>300</v>
      </c>
      <c r="AD64" s="38">
        <f>AB64/AC64*100</f>
        <v>65.333333333333329</v>
      </c>
      <c r="AE64" s="38" t="s">
        <v>4119</v>
      </c>
      <c r="AF64" s="38" t="s">
        <v>4000</v>
      </c>
      <c r="AG64" s="38" t="s">
        <v>4117</v>
      </c>
      <c r="AH64" s="38">
        <v>10000</v>
      </c>
      <c r="AI64" s="38">
        <v>210000</v>
      </c>
      <c r="AJ64" s="38">
        <v>27500</v>
      </c>
      <c r="AK64" s="38">
        <f>AH64+AI64+AJ64</f>
        <v>247500</v>
      </c>
      <c r="AL64" s="38" t="s">
        <v>4120</v>
      </c>
      <c r="AM64" s="38" t="s">
        <v>78</v>
      </c>
      <c r="AN64" s="38" t="s">
        <v>3124</v>
      </c>
      <c r="AO64" s="38" t="s">
        <v>568</v>
      </c>
      <c r="AP64" s="38">
        <v>200000</v>
      </c>
      <c r="AQ64" s="38" t="s">
        <v>4121</v>
      </c>
      <c r="AR64" s="41" t="s">
        <v>4122</v>
      </c>
      <c r="AS64" s="38" t="s">
        <v>4123</v>
      </c>
      <c r="AT64" s="38" t="s">
        <v>4124</v>
      </c>
      <c r="AU64" s="38" t="s">
        <v>4118</v>
      </c>
      <c r="AV64" s="38" t="s">
        <v>245</v>
      </c>
      <c r="AW64" s="38">
        <v>470002</v>
      </c>
      <c r="AX64" s="38" t="s">
        <v>4123</v>
      </c>
      <c r="AZ64" s="38">
        <v>8989925590</v>
      </c>
      <c r="BA64" s="38">
        <v>9329455590</v>
      </c>
      <c r="BB64" s="38">
        <v>9926855590</v>
      </c>
      <c r="BC64" s="42" t="s">
        <v>4125</v>
      </c>
      <c r="BD64" s="42" t="s">
        <v>4126</v>
      </c>
      <c r="BE64" s="38" t="s">
        <v>3960</v>
      </c>
    </row>
    <row r="65" spans="1:58" s="38" customFormat="1" ht="80.099999999999994" customHeight="1" x14ac:dyDescent="0.25">
      <c r="A65" s="38">
        <v>63</v>
      </c>
      <c r="B65" s="38">
        <v>921</v>
      </c>
      <c r="C65" s="38" t="s">
        <v>4443</v>
      </c>
      <c r="D65" s="38" t="s">
        <v>107</v>
      </c>
      <c r="F65" s="43" t="s">
        <v>4170</v>
      </c>
      <c r="G65" s="38" t="s">
        <v>3484</v>
      </c>
      <c r="H65" s="38" t="s">
        <v>35</v>
      </c>
      <c r="I65" s="38" t="s">
        <v>68</v>
      </c>
      <c r="J65" s="38" t="s">
        <v>36</v>
      </c>
      <c r="K65" s="38" t="s">
        <v>4171</v>
      </c>
      <c r="L65" s="38" t="s">
        <v>82</v>
      </c>
      <c r="M65" s="38" t="s">
        <v>4172</v>
      </c>
      <c r="N65" s="38" t="s">
        <v>1261</v>
      </c>
      <c r="O65" s="38" t="s">
        <v>72</v>
      </c>
      <c r="P65" s="38" t="s">
        <v>85</v>
      </c>
      <c r="Q65" s="38" t="s">
        <v>185</v>
      </c>
      <c r="R65" s="38">
        <v>7637857</v>
      </c>
      <c r="S65" s="38">
        <v>2018</v>
      </c>
      <c r="T65" s="38" t="s">
        <v>616</v>
      </c>
      <c r="U65" s="38" t="s">
        <v>37</v>
      </c>
      <c r="V65" s="38" t="s">
        <v>188</v>
      </c>
      <c r="W65" s="38" t="s">
        <v>37</v>
      </c>
      <c r="X65" s="38" t="s">
        <v>37</v>
      </c>
      <c r="Y65" s="38">
        <f>88+78+85+80+99</f>
        <v>430</v>
      </c>
      <c r="Z65" s="38">
        <v>500</v>
      </c>
      <c r="AA65" s="38">
        <f>Y65/Z65*100</f>
        <v>86</v>
      </c>
      <c r="AB65" s="38">
        <f>78+85+80</f>
        <v>243</v>
      </c>
      <c r="AC65" s="38">
        <v>300</v>
      </c>
      <c r="AD65" s="38">
        <f>AB65/AC65*100</f>
        <v>81</v>
      </c>
      <c r="AE65" s="38" t="s">
        <v>4173</v>
      </c>
      <c r="AG65" s="38" t="s">
        <v>4174</v>
      </c>
      <c r="AH65" s="38">
        <v>68000</v>
      </c>
      <c r="AI65" s="38">
        <v>210000</v>
      </c>
      <c r="AL65" s="38" t="s">
        <v>4175</v>
      </c>
      <c r="AM65" s="38" t="s">
        <v>78</v>
      </c>
      <c r="AN65" s="38" t="s">
        <v>4176</v>
      </c>
      <c r="AO65" s="38" t="s">
        <v>139</v>
      </c>
      <c r="AP65" s="38">
        <v>650000</v>
      </c>
      <c r="AR65" s="41" t="s">
        <v>4177</v>
      </c>
      <c r="AS65" s="38" t="s">
        <v>4178</v>
      </c>
      <c r="AT65" s="38" t="s">
        <v>4179</v>
      </c>
      <c r="AU65" s="38" t="s">
        <v>1261</v>
      </c>
      <c r="AV65" s="38" t="s">
        <v>188</v>
      </c>
      <c r="AW65" s="38">
        <v>800003</v>
      </c>
      <c r="AX65" s="38" t="s">
        <v>4180</v>
      </c>
      <c r="AZ65" s="38">
        <v>7321825330</v>
      </c>
      <c r="BA65" s="38" t="s">
        <v>4181</v>
      </c>
      <c r="BB65" s="38" t="s">
        <v>4182</v>
      </c>
      <c r="BC65" s="42" t="s">
        <v>4183</v>
      </c>
      <c r="BD65" s="42" t="s">
        <v>4184</v>
      </c>
      <c r="BE65" s="38" t="s">
        <v>4323</v>
      </c>
    </row>
    <row r="66" spans="1:58" s="38" customFormat="1" ht="80.099999999999994" customHeight="1" x14ac:dyDescent="0.25">
      <c r="A66" s="38">
        <v>64</v>
      </c>
      <c r="B66" s="38">
        <v>928</v>
      </c>
      <c r="C66" s="38" t="s">
        <v>4443</v>
      </c>
      <c r="D66" s="38" t="s">
        <v>107</v>
      </c>
      <c r="F66" s="43" t="s">
        <v>4185</v>
      </c>
      <c r="G66" s="38" t="s">
        <v>4186</v>
      </c>
      <c r="H66" s="38" t="s">
        <v>35</v>
      </c>
      <c r="I66" s="38" t="s">
        <v>4187</v>
      </c>
      <c r="J66" s="38" t="s">
        <v>36</v>
      </c>
      <c r="K66" s="38" t="s">
        <v>2515</v>
      </c>
      <c r="L66" s="38" t="s">
        <v>82</v>
      </c>
      <c r="M66" s="38" t="s">
        <v>1684</v>
      </c>
      <c r="N66" s="38" t="s">
        <v>4186</v>
      </c>
      <c r="O66" s="38" t="s">
        <v>1411</v>
      </c>
      <c r="P66" s="38" t="s">
        <v>73</v>
      </c>
      <c r="Q66" s="38" t="s">
        <v>185</v>
      </c>
      <c r="R66" s="38">
        <v>404329</v>
      </c>
      <c r="S66" s="38">
        <v>2017</v>
      </c>
      <c r="T66" s="38" t="s">
        <v>4188</v>
      </c>
      <c r="U66" s="38" t="s">
        <v>37</v>
      </c>
      <c r="V66" s="38" t="s">
        <v>4186</v>
      </c>
      <c r="W66" s="38" t="s">
        <v>37</v>
      </c>
      <c r="X66" s="38" t="s">
        <v>37</v>
      </c>
      <c r="Y66" s="38">
        <f>147+142+149+134+148+90+140</f>
        <v>950</v>
      </c>
      <c r="Z66" s="38">
        <f>200+200+200+200+200+100+200</f>
        <v>1300</v>
      </c>
      <c r="AA66" s="38">
        <f>Y66/Z66*100</f>
        <v>73.076923076923066</v>
      </c>
      <c r="AB66" s="38">
        <f>140+149+134</f>
        <v>423</v>
      </c>
      <c r="AC66" s="38">
        <v>600</v>
      </c>
      <c r="AD66" s="38">
        <f>AB66/AC66*100</f>
        <v>70.5</v>
      </c>
      <c r="AE66" s="38" t="s">
        <v>4189</v>
      </c>
      <c r="AG66" s="38" t="s">
        <v>4190</v>
      </c>
      <c r="AH66" s="38" t="s">
        <v>3514</v>
      </c>
      <c r="AI66" s="38">
        <v>210000</v>
      </c>
      <c r="AL66" s="38" t="s">
        <v>4191</v>
      </c>
      <c r="AM66" s="38" t="s">
        <v>78</v>
      </c>
      <c r="AN66" s="38" t="s">
        <v>4192</v>
      </c>
      <c r="AO66" s="38" t="s">
        <v>139</v>
      </c>
      <c r="AP66" s="38">
        <v>500000</v>
      </c>
      <c r="AR66" s="41"/>
      <c r="AS66" s="38" t="s">
        <v>4193</v>
      </c>
      <c r="AT66" s="38" t="s">
        <v>4194</v>
      </c>
      <c r="AU66" s="38" t="s">
        <v>4195</v>
      </c>
      <c r="AV66" s="38" t="s">
        <v>4186</v>
      </c>
      <c r="AX66" s="38" t="s">
        <v>4193</v>
      </c>
      <c r="AZ66" s="38">
        <v>8583068493</v>
      </c>
      <c r="BA66" s="38" t="s">
        <v>4196</v>
      </c>
      <c r="BB66" s="38" t="s">
        <v>4197</v>
      </c>
      <c r="BD66" s="42" t="s">
        <v>4198</v>
      </c>
      <c r="BE66" s="80" t="s">
        <v>4199</v>
      </c>
      <c r="BF66" s="80" t="s">
        <v>37</v>
      </c>
    </row>
    <row r="67" spans="1:58" s="15" customFormat="1" ht="80.099999999999994" customHeight="1" x14ac:dyDescent="0.25">
      <c r="A67" s="38">
        <v>65</v>
      </c>
      <c r="B67" s="38">
        <v>958</v>
      </c>
      <c r="C67" s="38" t="s">
        <v>4443</v>
      </c>
      <c r="D67" s="38" t="s">
        <v>107</v>
      </c>
      <c r="F67" s="43" t="s">
        <v>4307</v>
      </c>
      <c r="G67" s="38" t="s">
        <v>38</v>
      </c>
      <c r="H67" s="38" t="s">
        <v>35</v>
      </c>
      <c r="I67" s="15" t="s">
        <v>68</v>
      </c>
      <c r="J67" s="15" t="s">
        <v>36</v>
      </c>
      <c r="K67" s="15" t="s">
        <v>4308</v>
      </c>
      <c r="L67" s="15">
        <v>1</v>
      </c>
      <c r="M67" s="15" t="s">
        <v>4309</v>
      </c>
      <c r="N67" s="15" t="s">
        <v>215</v>
      </c>
      <c r="O67" s="15" t="s">
        <v>83</v>
      </c>
      <c r="P67" s="15" t="s">
        <v>4310</v>
      </c>
      <c r="Q67" s="15" t="s">
        <v>185</v>
      </c>
      <c r="R67" s="15">
        <v>1802222899</v>
      </c>
      <c r="S67" s="15">
        <v>2018</v>
      </c>
      <c r="T67" s="15" t="s">
        <v>89</v>
      </c>
      <c r="U67" s="15" t="s">
        <v>37</v>
      </c>
      <c r="V67" s="15" t="s">
        <v>215</v>
      </c>
      <c r="W67" s="15">
        <v>590</v>
      </c>
      <c r="X67" s="15">
        <f>W67/1000*100</f>
        <v>59</v>
      </c>
      <c r="Y67" s="15">
        <f>84+41+35+35+27+26+30+22</f>
        <v>300</v>
      </c>
      <c r="Z67" s="15">
        <v>530</v>
      </c>
      <c r="AA67" s="15">
        <f>Y67/Z67*100</f>
        <v>56.60377358490566</v>
      </c>
      <c r="AB67" s="15">
        <f>44+64+32+21+35+35+27+26+30+22</f>
        <v>336</v>
      </c>
      <c r="AC67" s="15">
        <v>600</v>
      </c>
      <c r="AD67" s="15">
        <f>AB67/AC67*100</f>
        <v>56.000000000000007</v>
      </c>
      <c r="AE67" s="15" t="s">
        <v>3928</v>
      </c>
      <c r="AF67" s="15" t="s">
        <v>3840</v>
      </c>
      <c r="AG67" s="15" t="s">
        <v>4286</v>
      </c>
      <c r="AH67" s="85">
        <v>10000</v>
      </c>
      <c r="AI67" s="15">
        <v>300000</v>
      </c>
      <c r="AJ67" s="85">
        <v>27500</v>
      </c>
      <c r="AK67" s="15">
        <f>AH67+AI67+AJ67</f>
        <v>337500</v>
      </c>
      <c r="AL67" s="15" t="s">
        <v>4311</v>
      </c>
      <c r="AM67" s="15" t="s">
        <v>78</v>
      </c>
      <c r="AN67" s="15" t="s">
        <v>4312</v>
      </c>
      <c r="AO67" s="15" t="s">
        <v>139</v>
      </c>
      <c r="AP67" s="15">
        <v>300000</v>
      </c>
      <c r="AQ67" s="15" t="s">
        <v>4313</v>
      </c>
      <c r="AR67" s="31" t="s">
        <v>4314</v>
      </c>
      <c r="AS67" s="15" t="s">
        <v>4315</v>
      </c>
      <c r="AT67" s="15" t="s">
        <v>4316</v>
      </c>
      <c r="AU67" s="15" t="s">
        <v>111</v>
      </c>
      <c r="AV67" s="15" t="s">
        <v>215</v>
      </c>
      <c r="AW67" s="15">
        <v>530026</v>
      </c>
      <c r="AX67" s="15" t="s">
        <v>4315</v>
      </c>
      <c r="AZ67" s="15">
        <v>7995359340</v>
      </c>
      <c r="BA67" s="15">
        <v>9393101189</v>
      </c>
      <c r="BB67" s="15">
        <v>6300192414</v>
      </c>
      <c r="BC67" s="32" t="s">
        <v>4317</v>
      </c>
      <c r="BD67" s="32" t="s">
        <v>4318</v>
      </c>
      <c r="BE67" s="15" t="s">
        <v>4319</v>
      </c>
      <c r="BF67" s="15" t="s">
        <v>3353</v>
      </c>
    </row>
  </sheetData>
  <mergeCells count="56">
    <mergeCell ref="BE1:BE2"/>
    <mergeCell ref="BF1:BF2"/>
    <mergeCell ref="AY1:AY2"/>
    <mergeCell ref="AZ1:AZ2"/>
    <mergeCell ref="BA1:BA2"/>
    <mergeCell ref="BB1:BB2"/>
    <mergeCell ref="BC1:BC2"/>
    <mergeCell ref="BD1:BD2"/>
    <mergeCell ref="AX1:AX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L1:AL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Z1:Z2"/>
    <mergeCell ref="N1:N2"/>
    <mergeCell ref="O1:O2"/>
    <mergeCell ref="P1:P2"/>
    <mergeCell ref="Q1:Q2"/>
    <mergeCell ref="R1:R2"/>
    <mergeCell ref="S1:S2"/>
    <mergeCell ref="T1:T2"/>
    <mergeCell ref="U1:V1"/>
    <mergeCell ref="W1:W2"/>
    <mergeCell ref="X1:X2"/>
    <mergeCell ref="Y1:Y2"/>
    <mergeCell ref="M1:M2"/>
    <mergeCell ref="A1:A2"/>
    <mergeCell ref="B1:B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BE23:BF23">
    <cfRule type="duplicateValues" dxfId="2" priority="3"/>
  </conditionalFormatting>
  <conditionalFormatting sqref="BE26:BF26">
    <cfRule type="duplicateValues" dxfId="1" priority="2"/>
  </conditionalFormatting>
  <conditionalFormatting sqref="BE64:BF64">
    <cfRule type="duplicateValues" dxfId="0" priority="1"/>
  </conditionalFormatting>
  <hyperlinks>
    <hyperlink ref="BC3" r:id="rId1"/>
    <hyperlink ref="BD3" r:id="rId2"/>
    <hyperlink ref="BD4" r:id="rId3"/>
    <hyperlink ref="BC5" r:id="rId4"/>
    <hyperlink ref="BD5" r:id="rId5"/>
    <hyperlink ref="BC6" r:id="rId6"/>
    <hyperlink ref="BD6" r:id="rId7"/>
    <hyperlink ref="BD8" r:id="rId8"/>
    <hyperlink ref="BC9" r:id="rId9"/>
    <hyperlink ref="BD9" r:id="rId10"/>
    <hyperlink ref="BD10" r:id="rId11"/>
    <hyperlink ref="BD11" r:id="rId12"/>
    <hyperlink ref="BD12" r:id="rId13"/>
    <hyperlink ref="BC13" r:id="rId14"/>
    <hyperlink ref="BD13" r:id="rId15"/>
    <hyperlink ref="BC14" r:id="rId16"/>
    <hyperlink ref="BD14" r:id="rId17"/>
    <hyperlink ref="BC15" r:id="rId18"/>
    <hyperlink ref="BD15" r:id="rId19"/>
    <hyperlink ref="BD16" r:id="rId20"/>
    <hyperlink ref="BC17" r:id="rId21"/>
    <hyperlink ref="BD17" r:id="rId22"/>
    <hyperlink ref="BC18" r:id="rId23"/>
    <hyperlink ref="BD18" r:id="rId24"/>
    <hyperlink ref="BC19" r:id="rId25"/>
    <hyperlink ref="BD19" r:id="rId26"/>
    <hyperlink ref="BC20" r:id="rId27"/>
    <hyperlink ref="BD20" r:id="rId28"/>
    <hyperlink ref="BC21" r:id="rId29"/>
    <hyperlink ref="BD21" r:id="rId30"/>
    <hyperlink ref="BD22" r:id="rId31"/>
    <hyperlink ref="BD23" r:id="rId32"/>
    <hyperlink ref="BC24" r:id="rId33"/>
    <hyperlink ref="BD24" r:id="rId34"/>
    <hyperlink ref="BD25" r:id="rId35"/>
    <hyperlink ref="BC25" r:id="rId36"/>
    <hyperlink ref="BC26" r:id="rId37"/>
    <hyperlink ref="BD26" r:id="rId38"/>
    <hyperlink ref="BC27" r:id="rId39"/>
    <hyperlink ref="BD27" r:id="rId40"/>
    <hyperlink ref="BC28" r:id="rId41"/>
    <hyperlink ref="BD28" r:id="rId42"/>
    <hyperlink ref="BC29" r:id="rId43"/>
    <hyperlink ref="BD29" r:id="rId44"/>
    <hyperlink ref="BC30" r:id="rId45"/>
    <hyperlink ref="BD30" r:id="rId46"/>
    <hyperlink ref="BD31" r:id="rId47"/>
    <hyperlink ref="BC32" r:id="rId48"/>
    <hyperlink ref="BD32" r:id="rId49"/>
    <hyperlink ref="BC33" r:id="rId50"/>
    <hyperlink ref="BD33" r:id="rId51"/>
    <hyperlink ref="BD34" r:id="rId52"/>
    <hyperlink ref="BD35" r:id="rId53"/>
    <hyperlink ref="BD36" r:id="rId54"/>
    <hyperlink ref="BC37" r:id="rId55"/>
    <hyperlink ref="BD37" r:id="rId56"/>
    <hyperlink ref="BC38" r:id="rId57"/>
    <hyperlink ref="BD38" r:id="rId58"/>
    <hyperlink ref="BC39" r:id="rId59"/>
    <hyperlink ref="BD39" r:id="rId60"/>
    <hyperlink ref="BC40" r:id="rId61"/>
    <hyperlink ref="BD40" r:id="rId62"/>
    <hyperlink ref="BC41" r:id="rId63"/>
    <hyperlink ref="BD41" r:id="rId64"/>
    <hyperlink ref="BC42" r:id="rId65"/>
    <hyperlink ref="BD42" r:id="rId66"/>
    <hyperlink ref="BC43" r:id="rId67"/>
    <hyperlink ref="BD43" r:id="rId68"/>
    <hyperlink ref="BC44" r:id="rId69"/>
    <hyperlink ref="BD44" r:id="rId70"/>
    <hyperlink ref="BC45" r:id="rId71"/>
    <hyperlink ref="BD45" r:id="rId72"/>
    <hyperlink ref="BC46" r:id="rId73"/>
    <hyperlink ref="BD46" r:id="rId74"/>
    <hyperlink ref="BC47" r:id="rId75"/>
    <hyperlink ref="BD47" r:id="rId76"/>
    <hyperlink ref="BD48" r:id="rId77"/>
    <hyperlink ref="BC49" r:id="rId78"/>
    <hyperlink ref="BD49" r:id="rId79"/>
    <hyperlink ref="BC50" r:id="rId80"/>
    <hyperlink ref="BD50" r:id="rId81"/>
    <hyperlink ref="BD51" r:id="rId82"/>
    <hyperlink ref="BC52" r:id="rId83"/>
    <hyperlink ref="BD52" r:id="rId84"/>
    <hyperlink ref="BD53" r:id="rId85"/>
    <hyperlink ref="BC54" r:id="rId86"/>
    <hyperlink ref="BD54" r:id="rId87"/>
    <hyperlink ref="BC55" r:id="rId88"/>
    <hyperlink ref="BD55" r:id="rId89"/>
    <hyperlink ref="BD56" r:id="rId90"/>
    <hyperlink ref="BC57" r:id="rId91"/>
    <hyperlink ref="BD57" r:id="rId92"/>
    <hyperlink ref="BC58" r:id="rId93"/>
    <hyperlink ref="BD58" r:id="rId94"/>
    <hyperlink ref="BC59" r:id="rId95"/>
    <hyperlink ref="BD59" r:id="rId96"/>
    <hyperlink ref="BD60" r:id="rId97"/>
    <hyperlink ref="BD61" r:id="rId98"/>
    <hyperlink ref="BD62" r:id="rId99"/>
    <hyperlink ref="BD63" r:id="rId100"/>
    <hyperlink ref="BC64" r:id="rId101"/>
    <hyperlink ref="BD64" r:id="rId102"/>
    <hyperlink ref="BC65" r:id="rId103"/>
    <hyperlink ref="BD65" r:id="rId104"/>
    <hyperlink ref="BD66" r:id="rId105"/>
    <hyperlink ref="BC67" r:id="rId106"/>
    <hyperlink ref="BD67" r:id="rId107"/>
    <hyperlink ref="BD7" r:id="rId108"/>
  </hyperlinks>
  <pageMargins left="0.7" right="0.7" top="0.75" bottom="0.75" header="0.3" footer="0.3"/>
  <legacyDrawing r:id="rId10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F36"/>
  <sheetViews>
    <sheetView workbookViewId="0">
      <selection activeCell="A3" sqref="A3"/>
    </sheetView>
  </sheetViews>
  <sheetFormatPr defaultRowHeight="15" x14ac:dyDescent="0.25"/>
  <cols>
    <col min="1" max="1" width="6.42578125" customWidth="1"/>
    <col min="6" max="6" width="28.28515625" customWidth="1"/>
    <col min="52" max="52" width="14.7109375" bestFit="1" customWidth="1"/>
    <col min="53" max="53" width="13.85546875" bestFit="1" customWidth="1"/>
    <col min="54" max="54" width="14.28515625" bestFit="1" customWidth="1"/>
  </cols>
  <sheetData>
    <row r="1" spans="1:58" s="1" customFormat="1" ht="30.75" customHeight="1" x14ac:dyDescent="0.25">
      <c r="A1" s="46" t="s">
        <v>34</v>
      </c>
      <c r="B1" s="48" t="s">
        <v>57</v>
      </c>
      <c r="C1" s="37"/>
      <c r="D1" s="49" t="s">
        <v>0</v>
      </c>
      <c r="E1" s="46" t="s">
        <v>28</v>
      </c>
      <c r="F1" s="46" t="s">
        <v>1</v>
      </c>
      <c r="G1" s="49" t="s">
        <v>2</v>
      </c>
      <c r="H1" s="49" t="s">
        <v>3</v>
      </c>
      <c r="I1" s="49" t="s">
        <v>4</v>
      </c>
      <c r="J1" s="49" t="s">
        <v>5</v>
      </c>
      <c r="K1" s="46" t="s">
        <v>6</v>
      </c>
      <c r="L1" s="49" t="s">
        <v>10</v>
      </c>
      <c r="M1" s="45" t="s">
        <v>7</v>
      </c>
      <c r="N1" s="50" t="s">
        <v>8</v>
      </c>
      <c r="O1" s="49" t="s">
        <v>9</v>
      </c>
      <c r="P1" s="46" t="s">
        <v>43</v>
      </c>
      <c r="Q1" s="49" t="s">
        <v>11</v>
      </c>
      <c r="R1" s="51" t="s">
        <v>31</v>
      </c>
      <c r="S1" s="52" t="s">
        <v>12</v>
      </c>
      <c r="T1" s="46" t="s">
        <v>13</v>
      </c>
      <c r="U1" s="53" t="s">
        <v>27</v>
      </c>
      <c r="V1" s="54"/>
      <c r="W1" s="46" t="s">
        <v>44</v>
      </c>
      <c r="X1" s="46" t="s">
        <v>52</v>
      </c>
      <c r="Y1" s="46" t="s">
        <v>32</v>
      </c>
      <c r="Z1" s="49" t="s">
        <v>40</v>
      </c>
      <c r="AA1" s="49" t="s">
        <v>39</v>
      </c>
      <c r="AB1" s="49" t="s">
        <v>14</v>
      </c>
      <c r="AC1" s="46" t="s">
        <v>66</v>
      </c>
      <c r="AD1" s="49" t="s">
        <v>33</v>
      </c>
      <c r="AE1" s="46" t="s">
        <v>42</v>
      </c>
      <c r="AF1" s="49" t="s">
        <v>41</v>
      </c>
      <c r="AG1" s="49" t="s">
        <v>15</v>
      </c>
      <c r="AH1" s="46" t="s">
        <v>55</v>
      </c>
      <c r="AI1" s="46" t="s">
        <v>29</v>
      </c>
      <c r="AJ1" s="46" t="s">
        <v>45</v>
      </c>
      <c r="AK1" s="46" t="s">
        <v>56</v>
      </c>
      <c r="AL1" s="49" t="s">
        <v>16</v>
      </c>
      <c r="AM1" s="46" t="s">
        <v>17</v>
      </c>
      <c r="AN1" s="49" t="s">
        <v>18</v>
      </c>
      <c r="AO1" s="49" t="s">
        <v>17</v>
      </c>
      <c r="AP1" s="49" t="s">
        <v>19</v>
      </c>
      <c r="AQ1" s="49" t="s">
        <v>47</v>
      </c>
      <c r="AR1" s="55" t="s">
        <v>48</v>
      </c>
      <c r="AS1" s="49" t="s">
        <v>46</v>
      </c>
      <c r="AT1" s="49" t="s">
        <v>25</v>
      </c>
      <c r="AU1" s="49" t="s">
        <v>30</v>
      </c>
      <c r="AV1" s="49" t="s">
        <v>27</v>
      </c>
      <c r="AW1" s="49" t="s">
        <v>20</v>
      </c>
      <c r="AX1" s="49" t="s">
        <v>26</v>
      </c>
      <c r="AY1" s="49" t="s">
        <v>21</v>
      </c>
      <c r="AZ1" s="46" t="s">
        <v>49</v>
      </c>
      <c r="BA1" s="46" t="s">
        <v>50</v>
      </c>
      <c r="BB1" s="49" t="s">
        <v>51</v>
      </c>
      <c r="BC1" s="49" t="s">
        <v>53</v>
      </c>
      <c r="BD1" s="49" t="s">
        <v>54</v>
      </c>
      <c r="BE1" s="46" t="s">
        <v>145</v>
      </c>
      <c r="BF1" s="46" t="s">
        <v>22</v>
      </c>
    </row>
    <row r="2" spans="1:58" s="1" customFormat="1" ht="38.25" x14ac:dyDescent="0.25">
      <c r="A2" s="47"/>
      <c r="B2" s="48"/>
      <c r="C2" s="37"/>
      <c r="D2" s="49"/>
      <c r="E2" s="47"/>
      <c r="F2" s="47"/>
      <c r="G2" s="49"/>
      <c r="H2" s="49"/>
      <c r="I2" s="49"/>
      <c r="J2" s="49"/>
      <c r="K2" s="47"/>
      <c r="L2" s="49"/>
      <c r="M2" s="45"/>
      <c r="N2" s="50"/>
      <c r="O2" s="49"/>
      <c r="P2" s="47"/>
      <c r="Q2" s="49"/>
      <c r="R2" s="51"/>
      <c r="S2" s="52"/>
      <c r="T2" s="47"/>
      <c r="U2" s="23" t="s">
        <v>23</v>
      </c>
      <c r="V2" s="23" t="s">
        <v>24</v>
      </c>
      <c r="W2" s="47"/>
      <c r="X2" s="47"/>
      <c r="Y2" s="47"/>
      <c r="Z2" s="49"/>
      <c r="AA2" s="49"/>
      <c r="AB2" s="49"/>
      <c r="AC2" s="47"/>
      <c r="AD2" s="49"/>
      <c r="AE2" s="47"/>
      <c r="AF2" s="49"/>
      <c r="AG2" s="49"/>
      <c r="AH2" s="47"/>
      <c r="AI2" s="47"/>
      <c r="AJ2" s="47"/>
      <c r="AK2" s="47"/>
      <c r="AL2" s="49"/>
      <c r="AM2" s="47"/>
      <c r="AN2" s="49"/>
      <c r="AO2" s="49"/>
      <c r="AP2" s="49"/>
      <c r="AQ2" s="49"/>
      <c r="AR2" s="56"/>
      <c r="AS2" s="49"/>
      <c r="AT2" s="49"/>
      <c r="AU2" s="49"/>
      <c r="AV2" s="49"/>
      <c r="AW2" s="49"/>
      <c r="AX2" s="49"/>
      <c r="AY2" s="49"/>
      <c r="AZ2" s="47"/>
      <c r="BA2" s="47"/>
      <c r="BB2" s="49"/>
      <c r="BC2" s="49"/>
      <c r="BD2" s="49"/>
      <c r="BE2" s="47"/>
      <c r="BF2" s="47"/>
    </row>
    <row r="3" spans="1:58" s="2" customFormat="1" ht="80.099999999999994" customHeight="1" x14ac:dyDescent="0.25">
      <c r="A3" s="2">
        <v>1</v>
      </c>
      <c r="B3" s="11">
        <v>97</v>
      </c>
      <c r="C3" s="11" t="s">
        <v>4444</v>
      </c>
      <c r="D3" s="11" t="s">
        <v>571</v>
      </c>
      <c r="F3" s="12" t="s">
        <v>572</v>
      </c>
      <c r="G3" s="11" t="s">
        <v>38</v>
      </c>
      <c r="H3" s="11" t="s">
        <v>35</v>
      </c>
      <c r="I3" s="2" t="s">
        <v>68</v>
      </c>
      <c r="J3" s="2" t="s">
        <v>36</v>
      </c>
      <c r="K3" s="2" t="s">
        <v>135</v>
      </c>
      <c r="L3" s="2" t="s">
        <v>151</v>
      </c>
      <c r="M3" s="2" t="s">
        <v>600</v>
      </c>
      <c r="N3" s="2" t="s">
        <v>601</v>
      </c>
      <c r="O3" s="2" t="s">
        <v>83</v>
      </c>
      <c r="P3" s="2" t="s">
        <v>62</v>
      </c>
      <c r="Q3" s="2" t="s">
        <v>185</v>
      </c>
      <c r="R3" s="2">
        <v>1811330986</v>
      </c>
      <c r="S3" s="2">
        <v>2018</v>
      </c>
      <c r="T3" s="2" t="s">
        <v>366</v>
      </c>
      <c r="U3" s="2" t="s">
        <v>37</v>
      </c>
      <c r="V3" s="2" t="s">
        <v>155</v>
      </c>
      <c r="W3" s="2" t="s">
        <v>37</v>
      </c>
      <c r="X3" s="2" t="s">
        <v>37</v>
      </c>
      <c r="Y3" s="2">
        <v>852</v>
      </c>
      <c r="Z3" s="2">
        <v>1200</v>
      </c>
      <c r="AA3" s="2">
        <f t="shared" ref="AA3:AA27" si="0">Y3/Z3*100</f>
        <v>71</v>
      </c>
      <c r="AB3" s="2">
        <f>143+126+140</f>
        <v>409</v>
      </c>
      <c r="AC3" s="2">
        <v>300</v>
      </c>
      <c r="AD3" s="2">
        <f t="shared" ref="AD3:AD27" si="1">AB3/AC3*100</f>
        <v>136.33333333333331</v>
      </c>
      <c r="AE3" s="2" t="s">
        <v>412</v>
      </c>
      <c r="AF3" s="2" t="s">
        <v>166</v>
      </c>
      <c r="AG3" s="2" t="s">
        <v>576</v>
      </c>
      <c r="AH3" s="2">
        <v>10000</v>
      </c>
      <c r="AI3" s="2">
        <v>180000</v>
      </c>
      <c r="AJ3" s="2">
        <v>27500</v>
      </c>
      <c r="AK3" s="2">
        <f t="shared" ref="AK3:AK27" si="2">AH3+AI3+AJ3</f>
        <v>217500</v>
      </c>
      <c r="AL3" s="2" t="s">
        <v>602</v>
      </c>
      <c r="AM3" s="2" t="s">
        <v>78</v>
      </c>
      <c r="AN3" s="2" t="s">
        <v>603</v>
      </c>
      <c r="AO3" s="2" t="s">
        <v>604</v>
      </c>
      <c r="AP3" s="2" t="s">
        <v>605</v>
      </c>
      <c r="AQ3" s="2" t="s">
        <v>606</v>
      </c>
      <c r="AR3" s="4" t="s">
        <v>607</v>
      </c>
      <c r="AS3" s="2" t="s">
        <v>608</v>
      </c>
      <c r="AT3" s="2" t="s">
        <v>609</v>
      </c>
      <c r="AU3" s="2" t="s">
        <v>601</v>
      </c>
      <c r="AV3" s="2" t="s">
        <v>152</v>
      </c>
      <c r="AW3" s="2">
        <v>636003</v>
      </c>
      <c r="AX3" s="2" t="s">
        <v>608</v>
      </c>
      <c r="AY3" s="2" t="s">
        <v>610</v>
      </c>
      <c r="AZ3" s="2">
        <v>9894026570</v>
      </c>
      <c r="BA3" s="2">
        <v>9894030950</v>
      </c>
      <c r="BB3" s="2">
        <v>9894035950</v>
      </c>
      <c r="BC3" s="3" t="s">
        <v>611</v>
      </c>
      <c r="BD3" s="3" t="s">
        <v>612</v>
      </c>
      <c r="BE3" s="2" t="s">
        <v>3986</v>
      </c>
    </row>
    <row r="4" spans="1:58" s="2" customFormat="1" ht="80.099999999999994" customHeight="1" x14ac:dyDescent="0.25">
      <c r="A4" s="2">
        <v>2</v>
      </c>
      <c r="B4" s="2">
        <v>192</v>
      </c>
      <c r="C4" s="2" t="s">
        <v>4444</v>
      </c>
      <c r="D4" s="2" t="s">
        <v>571</v>
      </c>
      <c r="F4" s="7" t="s">
        <v>1070</v>
      </c>
      <c r="G4" s="2" t="s">
        <v>38</v>
      </c>
      <c r="H4" s="2" t="s">
        <v>35</v>
      </c>
      <c r="I4" s="2" t="s">
        <v>68</v>
      </c>
      <c r="J4" s="2" t="s">
        <v>36</v>
      </c>
      <c r="K4" s="2" t="s">
        <v>157</v>
      </c>
      <c r="L4" s="2" t="s">
        <v>82</v>
      </c>
      <c r="M4" s="2" t="s">
        <v>1071</v>
      </c>
      <c r="N4" s="2" t="s">
        <v>1072</v>
      </c>
      <c r="O4" s="2" t="s">
        <v>449</v>
      </c>
      <c r="P4" s="2" t="s">
        <v>137</v>
      </c>
      <c r="Q4" s="2" t="s">
        <v>185</v>
      </c>
      <c r="R4" s="2">
        <v>6632342</v>
      </c>
      <c r="S4" s="2">
        <v>2018</v>
      </c>
      <c r="T4" s="2" t="s">
        <v>616</v>
      </c>
      <c r="U4" s="2" t="s">
        <v>37</v>
      </c>
      <c r="V4" s="2" t="s">
        <v>450</v>
      </c>
      <c r="W4" s="2" t="s">
        <v>37</v>
      </c>
      <c r="X4" s="2" t="s">
        <v>37</v>
      </c>
      <c r="Y4" s="2">
        <f>69+33+55+60+55+52</f>
        <v>324</v>
      </c>
      <c r="Z4" s="2">
        <v>600</v>
      </c>
      <c r="AA4" s="2">
        <f t="shared" si="0"/>
        <v>54</v>
      </c>
      <c r="AB4" s="2">
        <f>33+55+60</f>
        <v>148</v>
      </c>
      <c r="AC4" s="2">
        <v>300</v>
      </c>
      <c r="AD4" s="2">
        <f t="shared" si="1"/>
        <v>49.333333333333336</v>
      </c>
      <c r="AE4" s="11" t="s">
        <v>1073</v>
      </c>
      <c r="AF4" s="6" t="s">
        <v>1023</v>
      </c>
      <c r="AG4" s="11" t="s">
        <v>1023</v>
      </c>
      <c r="AH4" s="2">
        <v>10000</v>
      </c>
      <c r="AI4" s="2">
        <v>180000</v>
      </c>
      <c r="AJ4" s="2">
        <v>27500</v>
      </c>
      <c r="AK4" s="2">
        <f t="shared" si="2"/>
        <v>217500</v>
      </c>
      <c r="AL4" s="2" t="s">
        <v>1074</v>
      </c>
      <c r="AM4" s="2" t="s">
        <v>78</v>
      </c>
      <c r="AN4" s="2" t="s">
        <v>1075</v>
      </c>
      <c r="AO4" s="2" t="s">
        <v>568</v>
      </c>
      <c r="AP4" s="2">
        <v>500000</v>
      </c>
      <c r="AQ4" s="2" t="s">
        <v>1076</v>
      </c>
      <c r="AR4" s="4" t="s">
        <v>1081</v>
      </c>
      <c r="AS4" s="2" t="s">
        <v>1078</v>
      </c>
      <c r="AT4" s="2" t="s">
        <v>1077</v>
      </c>
      <c r="AU4" s="2" t="s">
        <v>1079</v>
      </c>
      <c r="AV4" s="2" t="s">
        <v>450</v>
      </c>
      <c r="AW4" s="2">
        <v>735221</v>
      </c>
      <c r="AX4" s="2" t="s">
        <v>1082</v>
      </c>
      <c r="AY4" s="2" t="s">
        <v>37</v>
      </c>
      <c r="AZ4" s="2">
        <v>8670674301</v>
      </c>
      <c r="BA4" s="2">
        <v>9733123755</v>
      </c>
      <c r="BB4" s="2" t="s">
        <v>37</v>
      </c>
      <c r="BC4" s="2" t="s">
        <v>37</v>
      </c>
      <c r="BD4" s="3" t="s">
        <v>1080</v>
      </c>
      <c r="BE4" s="25" t="s">
        <v>2877</v>
      </c>
      <c r="BF4" s="25" t="s">
        <v>1066</v>
      </c>
    </row>
    <row r="5" spans="1:58" s="2" customFormat="1" ht="80.099999999999994" customHeight="1" x14ac:dyDescent="0.25">
      <c r="A5" s="2">
        <v>3</v>
      </c>
      <c r="B5" s="6">
        <v>263</v>
      </c>
      <c r="C5" s="6" t="s">
        <v>4444</v>
      </c>
      <c r="D5" s="6" t="s">
        <v>571</v>
      </c>
      <c r="F5" s="8" t="s">
        <v>1358</v>
      </c>
      <c r="G5" s="6" t="s">
        <v>38</v>
      </c>
      <c r="H5" s="6" t="s">
        <v>35</v>
      </c>
      <c r="I5" s="2" t="s">
        <v>68</v>
      </c>
      <c r="J5" s="2" t="s">
        <v>36</v>
      </c>
      <c r="K5" s="2" t="s">
        <v>1448</v>
      </c>
      <c r="L5" s="2" t="s">
        <v>82</v>
      </c>
      <c r="M5" s="2" t="s">
        <v>1449</v>
      </c>
      <c r="N5" s="2" t="s">
        <v>1132</v>
      </c>
      <c r="O5" s="2" t="s">
        <v>83</v>
      </c>
      <c r="P5" s="2" t="s">
        <v>85</v>
      </c>
      <c r="Q5" s="2" t="s">
        <v>185</v>
      </c>
      <c r="R5" s="2">
        <v>4615775</v>
      </c>
      <c r="S5" s="2">
        <v>2018</v>
      </c>
      <c r="T5" s="2" t="s">
        <v>616</v>
      </c>
      <c r="U5" s="2" t="s">
        <v>37</v>
      </c>
      <c r="V5" s="2" t="s">
        <v>152</v>
      </c>
      <c r="W5" s="2" t="s">
        <v>37</v>
      </c>
      <c r="X5" s="2" t="s">
        <v>37</v>
      </c>
      <c r="Y5" s="2">
        <f>87+71+89+80+95</f>
        <v>422</v>
      </c>
      <c r="Z5" s="2">
        <v>500</v>
      </c>
      <c r="AA5" s="2">
        <f t="shared" si="0"/>
        <v>84.399999999999991</v>
      </c>
      <c r="AB5" s="2">
        <f>71+89+80</f>
        <v>240</v>
      </c>
      <c r="AC5" s="2">
        <v>300</v>
      </c>
      <c r="AD5" s="2">
        <f t="shared" si="1"/>
        <v>80</v>
      </c>
      <c r="AE5" s="2" t="s">
        <v>1450</v>
      </c>
      <c r="AF5" s="2" t="s">
        <v>1349</v>
      </c>
      <c r="AG5" s="2" t="s">
        <v>1349</v>
      </c>
      <c r="AH5" s="2">
        <v>10000</v>
      </c>
      <c r="AI5" s="2">
        <v>180000</v>
      </c>
      <c r="AJ5" s="2">
        <v>27500</v>
      </c>
      <c r="AK5" s="2">
        <f t="shared" si="2"/>
        <v>217500</v>
      </c>
      <c r="AL5" s="2" t="s">
        <v>1451</v>
      </c>
      <c r="AM5" s="2" t="s">
        <v>78</v>
      </c>
      <c r="AN5" s="2" t="s">
        <v>1452</v>
      </c>
      <c r="AO5" s="2" t="s">
        <v>912</v>
      </c>
      <c r="AP5" s="2">
        <v>600000</v>
      </c>
      <c r="AQ5" s="2" t="s">
        <v>1453</v>
      </c>
      <c r="AR5" s="4" t="s">
        <v>1454</v>
      </c>
      <c r="AS5" s="2" t="s">
        <v>1455</v>
      </c>
      <c r="AT5" s="2" t="s">
        <v>1456</v>
      </c>
      <c r="AU5" s="2" t="s">
        <v>1457</v>
      </c>
      <c r="AV5" s="2" t="s">
        <v>152</v>
      </c>
      <c r="AW5" s="2">
        <v>641602</v>
      </c>
      <c r="AX5" s="2" t="s">
        <v>1455</v>
      </c>
      <c r="AZ5" s="2">
        <v>7094322569</v>
      </c>
      <c r="BA5" s="2">
        <v>9894731125</v>
      </c>
      <c r="BB5" s="2">
        <v>9092420150</v>
      </c>
      <c r="BD5" s="3" t="s">
        <v>1458</v>
      </c>
      <c r="BE5" s="25" t="s">
        <v>2913</v>
      </c>
      <c r="BF5" s="25"/>
    </row>
    <row r="6" spans="1:58" s="2" customFormat="1" ht="80.099999999999994" customHeight="1" x14ac:dyDescent="0.25">
      <c r="A6" s="2">
        <v>4</v>
      </c>
      <c r="B6" s="11">
        <v>272</v>
      </c>
      <c r="C6" s="11" t="s">
        <v>4444</v>
      </c>
      <c r="D6" s="11" t="s">
        <v>571</v>
      </c>
      <c r="F6" s="12" t="s">
        <v>1383</v>
      </c>
      <c r="G6" s="11" t="s">
        <v>38</v>
      </c>
      <c r="H6" s="11" t="s">
        <v>35</v>
      </c>
      <c r="I6" s="2" t="s">
        <v>68</v>
      </c>
      <c r="J6" s="2" t="s">
        <v>36</v>
      </c>
      <c r="K6" s="2" t="s">
        <v>1494</v>
      </c>
      <c r="L6" s="2" t="s">
        <v>82</v>
      </c>
      <c r="M6" s="2" t="s">
        <v>1481</v>
      </c>
      <c r="N6" s="2" t="s">
        <v>1482</v>
      </c>
      <c r="O6" s="2" t="s">
        <v>449</v>
      </c>
      <c r="P6" s="2" t="s">
        <v>73</v>
      </c>
      <c r="Q6" s="2" t="s">
        <v>185</v>
      </c>
      <c r="R6" s="2">
        <v>323111</v>
      </c>
      <c r="S6" s="2">
        <v>2018</v>
      </c>
      <c r="T6" s="2" t="s">
        <v>1483</v>
      </c>
      <c r="U6" s="2" t="s">
        <v>37</v>
      </c>
      <c r="V6" s="2" t="s">
        <v>450</v>
      </c>
      <c r="W6" s="2" t="s">
        <v>37</v>
      </c>
      <c r="X6" s="2" t="s">
        <v>37</v>
      </c>
      <c r="Y6" s="2">
        <v>366</v>
      </c>
      <c r="Z6" s="2">
        <v>500</v>
      </c>
      <c r="AA6" s="2">
        <f t="shared" si="0"/>
        <v>73.2</v>
      </c>
      <c r="AB6" s="2">
        <f>53+64+50</f>
        <v>167</v>
      </c>
      <c r="AC6" s="2">
        <v>300</v>
      </c>
      <c r="AD6" s="2">
        <f t="shared" si="1"/>
        <v>55.666666666666664</v>
      </c>
      <c r="AE6" s="2" t="s">
        <v>1484</v>
      </c>
      <c r="AF6" s="2" t="s">
        <v>1349</v>
      </c>
      <c r="AG6" s="2" t="s">
        <v>1349</v>
      </c>
      <c r="AH6" s="2">
        <v>10000</v>
      </c>
      <c r="AI6" s="2">
        <v>180000</v>
      </c>
      <c r="AJ6" s="2">
        <v>27500</v>
      </c>
      <c r="AK6" s="2">
        <f t="shared" si="2"/>
        <v>217500</v>
      </c>
      <c r="AL6" s="2" t="s">
        <v>1485</v>
      </c>
      <c r="AM6" s="2" t="s">
        <v>78</v>
      </c>
      <c r="AN6" s="2" t="s">
        <v>1486</v>
      </c>
      <c r="AO6" s="2" t="s">
        <v>1487</v>
      </c>
      <c r="AP6" s="2">
        <v>200000</v>
      </c>
      <c r="AQ6" s="2" t="s">
        <v>1492</v>
      </c>
      <c r="AR6" s="4" t="s">
        <v>1488</v>
      </c>
      <c r="AS6" s="2" t="s">
        <v>1489</v>
      </c>
      <c r="AT6" s="2" t="s">
        <v>1493</v>
      </c>
      <c r="AU6" s="2" t="s">
        <v>1490</v>
      </c>
      <c r="AV6" s="2" t="s">
        <v>450</v>
      </c>
      <c r="AW6" s="2">
        <v>721156</v>
      </c>
      <c r="AX6" s="2" t="s">
        <v>1489</v>
      </c>
      <c r="AZ6" s="2">
        <v>7872115553</v>
      </c>
      <c r="BA6" s="2">
        <v>9635016072</v>
      </c>
      <c r="BD6" s="3" t="s">
        <v>1491</v>
      </c>
      <c r="BE6" s="25" t="s">
        <v>3113</v>
      </c>
      <c r="BF6" s="25"/>
    </row>
    <row r="7" spans="1:58" s="2" customFormat="1" ht="80.099999999999994" customHeight="1" x14ac:dyDescent="0.25">
      <c r="A7" s="2">
        <v>5</v>
      </c>
      <c r="B7" s="11">
        <v>273</v>
      </c>
      <c r="C7" s="11" t="s">
        <v>4444</v>
      </c>
      <c r="D7" s="11" t="s">
        <v>571</v>
      </c>
      <c r="F7" s="12" t="s">
        <v>1384</v>
      </c>
      <c r="G7" s="11" t="s">
        <v>38</v>
      </c>
      <c r="H7" s="11" t="s">
        <v>35</v>
      </c>
      <c r="I7" s="2" t="s">
        <v>68</v>
      </c>
      <c r="J7" s="2" t="s">
        <v>36</v>
      </c>
      <c r="K7" s="2" t="s">
        <v>1494</v>
      </c>
      <c r="L7" s="2" t="s">
        <v>82</v>
      </c>
      <c r="M7" s="2" t="s">
        <v>1495</v>
      </c>
      <c r="N7" s="2" t="s">
        <v>1496</v>
      </c>
      <c r="O7" s="2" t="s">
        <v>449</v>
      </c>
      <c r="P7" s="2" t="s">
        <v>73</v>
      </c>
      <c r="Q7" s="2" t="s">
        <v>185</v>
      </c>
      <c r="R7" s="2">
        <v>323111</v>
      </c>
      <c r="S7" s="2">
        <v>2018</v>
      </c>
      <c r="T7" s="2" t="s">
        <v>1483</v>
      </c>
      <c r="U7" s="2" t="s">
        <v>37</v>
      </c>
      <c r="V7" s="2" t="s">
        <v>450</v>
      </c>
      <c r="W7" s="2" t="s">
        <v>37</v>
      </c>
      <c r="X7" s="2" t="s">
        <v>37</v>
      </c>
      <c r="Y7" s="2">
        <v>346</v>
      </c>
      <c r="Z7" s="2">
        <v>500</v>
      </c>
      <c r="AA7" s="2">
        <f t="shared" si="0"/>
        <v>69.199999999999989</v>
      </c>
      <c r="AB7" s="2">
        <f>52+67+50</f>
        <v>169</v>
      </c>
      <c r="AC7" s="2">
        <v>300</v>
      </c>
      <c r="AD7" s="2">
        <f t="shared" si="1"/>
        <v>56.333333333333336</v>
      </c>
      <c r="AE7" s="2" t="s">
        <v>1497</v>
      </c>
      <c r="AF7" s="2" t="s">
        <v>1349</v>
      </c>
      <c r="AG7" s="2" t="s">
        <v>1349</v>
      </c>
      <c r="AH7" s="2">
        <v>10000</v>
      </c>
      <c r="AI7" s="2">
        <v>180000</v>
      </c>
      <c r="AJ7" s="2">
        <v>27500</v>
      </c>
      <c r="AK7" s="2">
        <f t="shared" si="2"/>
        <v>217500</v>
      </c>
      <c r="AL7" s="2" t="s">
        <v>1498</v>
      </c>
      <c r="AM7" s="2" t="s">
        <v>78</v>
      </c>
      <c r="AN7" s="2" t="s">
        <v>1499</v>
      </c>
      <c r="AO7" s="2" t="s">
        <v>1487</v>
      </c>
      <c r="AP7" s="2">
        <v>200000</v>
      </c>
      <c r="AQ7" s="2" t="s">
        <v>1500</v>
      </c>
      <c r="AR7" s="4" t="s">
        <v>1501</v>
      </c>
      <c r="AS7" s="2" t="s">
        <v>1502</v>
      </c>
      <c r="AT7" s="2" t="s">
        <v>1496</v>
      </c>
      <c r="AU7" s="2" t="s">
        <v>1490</v>
      </c>
      <c r="AV7" s="2" t="s">
        <v>450</v>
      </c>
      <c r="AW7" s="2">
        <v>721156</v>
      </c>
      <c r="AX7" s="2" t="s">
        <v>1502</v>
      </c>
      <c r="AZ7" s="2">
        <v>7548049943</v>
      </c>
      <c r="BA7" s="2">
        <v>9712837546</v>
      </c>
      <c r="BB7" s="2">
        <v>834811601</v>
      </c>
      <c r="BD7" s="3" t="s">
        <v>1503</v>
      </c>
      <c r="BE7" s="25" t="s">
        <v>3112</v>
      </c>
      <c r="BF7" s="25"/>
    </row>
    <row r="8" spans="1:58" s="2" customFormat="1" ht="80.099999999999994" customHeight="1" x14ac:dyDescent="0.25">
      <c r="A8" s="2">
        <v>6</v>
      </c>
      <c r="B8" s="2">
        <v>277</v>
      </c>
      <c r="C8" s="2" t="s">
        <v>4444</v>
      </c>
      <c r="D8" s="2" t="s">
        <v>571</v>
      </c>
      <c r="F8" s="7" t="s">
        <v>1504</v>
      </c>
      <c r="G8" s="2" t="s">
        <v>38</v>
      </c>
      <c r="H8" s="2" t="s">
        <v>35</v>
      </c>
      <c r="I8" s="2" t="s">
        <v>68</v>
      </c>
      <c r="J8" s="2" t="s">
        <v>36</v>
      </c>
      <c r="K8" s="2" t="s">
        <v>1508</v>
      </c>
      <c r="L8" s="2" t="s">
        <v>82</v>
      </c>
      <c r="M8" s="2" t="s">
        <v>1509</v>
      </c>
      <c r="N8" s="2" t="s">
        <v>1510</v>
      </c>
      <c r="O8" s="2" t="s">
        <v>123</v>
      </c>
      <c r="P8" s="2" t="s">
        <v>85</v>
      </c>
      <c r="Q8" s="2" t="s">
        <v>185</v>
      </c>
      <c r="R8" s="2">
        <v>4618833</v>
      </c>
      <c r="S8" s="2">
        <v>2018</v>
      </c>
      <c r="T8" s="2" t="s">
        <v>616</v>
      </c>
      <c r="U8" s="2" t="s">
        <v>37</v>
      </c>
      <c r="V8" s="2" t="s">
        <v>152</v>
      </c>
      <c r="W8" s="2" t="s">
        <v>37</v>
      </c>
      <c r="X8" s="2" t="s">
        <v>37</v>
      </c>
      <c r="Y8" s="2">
        <f>95+74+90+85+96</f>
        <v>440</v>
      </c>
      <c r="Z8" s="2">
        <v>500</v>
      </c>
      <c r="AA8" s="2">
        <f t="shared" si="0"/>
        <v>88</v>
      </c>
      <c r="AB8" s="2">
        <f>74+90+85</f>
        <v>249</v>
      </c>
      <c r="AC8" s="2">
        <v>300</v>
      </c>
      <c r="AD8" s="2">
        <f t="shared" si="1"/>
        <v>83</v>
      </c>
      <c r="AE8" s="2" t="s">
        <v>1511</v>
      </c>
      <c r="AF8" s="2" t="s">
        <v>1512</v>
      </c>
      <c r="AG8" s="2" t="s">
        <v>1512</v>
      </c>
      <c r="AH8" s="2">
        <v>10000</v>
      </c>
      <c r="AI8" s="2">
        <v>180000</v>
      </c>
      <c r="AJ8" s="2">
        <v>27500</v>
      </c>
      <c r="AK8" s="2">
        <f t="shared" si="2"/>
        <v>217500</v>
      </c>
      <c r="AL8" s="2" t="s">
        <v>1513</v>
      </c>
      <c r="AM8" s="2" t="s">
        <v>99</v>
      </c>
      <c r="AN8" s="2" t="s">
        <v>1514</v>
      </c>
      <c r="AO8" s="2" t="s">
        <v>99</v>
      </c>
      <c r="AP8" s="2">
        <v>1490000</v>
      </c>
      <c r="AQ8" s="2" t="s">
        <v>1515</v>
      </c>
      <c r="AR8" s="4" t="s">
        <v>1516</v>
      </c>
      <c r="AS8" s="2" t="s">
        <v>1517</v>
      </c>
      <c r="AT8" s="2" t="s">
        <v>1518</v>
      </c>
      <c r="AU8" s="2" t="s">
        <v>764</v>
      </c>
      <c r="AV8" s="2" t="s">
        <v>152</v>
      </c>
      <c r="AW8" s="2">
        <v>643202</v>
      </c>
      <c r="AX8" s="2" t="s">
        <v>1517</v>
      </c>
      <c r="AY8" s="2" t="s">
        <v>1519</v>
      </c>
      <c r="AZ8" s="2">
        <v>8754105798</v>
      </c>
      <c r="BA8" s="2">
        <v>8643003346</v>
      </c>
      <c r="BB8" s="2">
        <v>9442797936</v>
      </c>
      <c r="BC8" s="3" t="s">
        <v>1520</v>
      </c>
      <c r="BD8" s="3" t="s">
        <v>1521</v>
      </c>
      <c r="BE8" s="2" t="s">
        <v>2913</v>
      </c>
    </row>
    <row r="9" spans="1:58" s="2" customFormat="1" ht="80.099999999999994" customHeight="1" x14ac:dyDescent="0.25">
      <c r="A9" s="2">
        <v>7</v>
      </c>
      <c r="B9" s="6">
        <v>304</v>
      </c>
      <c r="C9" s="6" t="s">
        <v>4444</v>
      </c>
      <c r="D9" s="6" t="s">
        <v>571</v>
      </c>
      <c r="F9" s="8" t="s">
        <v>1571</v>
      </c>
      <c r="G9" s="6" t="s">
        <v>38</v>
      </c>
      <c r="H9" s="6" t="s">
        <v>35</v>
      </c>
      <c r="I9" s="2" t="s">
        <v>68</v>
      </c>
      <c r="J9" s="2" t="s">
        <v>36</v>
      </c>
      <c r="K9" s="2" t="s">
        <v>1622</v>
      </c>
      <c r="L9" s="2" t="s">
        <v>70</v>
      </c>
      <c r="M9" s="2" t="s">
        <v>585</v>
      </c>
      <c r="N9" s="2" t="s">
        <v>923</v>
      </c>
      <c r="O9" s="2" t="s">
        <v>123</v>
      </c>
      <c r="P9" s="2" t="s">
        <v>73</v>
      </c>
      <c r="Q9" s="2" t="s">
        <v>185</v>
      </c>
      <c r="R9" s="2">
        <v>4613316</v>
      </c>
      <c r="S9" s="2">
        <v>2018</v>
      </c>
      <c r="T9" s="2" t="s">
        <v>616</v>
      </c>
      <c r="U9" s="2" t="s">
        <v>37</v>
      </c>
      <c r="V9" s="2" t="s">
        <v>152</v>
      </c>
      <c r="W9" s="2" t="s">
        <v>37</v>
      </c>
      <c r="X9" s="2" t="s">
        <v>37</v>
      </c>
      <c r="Y9" s="2">
        <f>72+69+90+73+84</f>
        <v>388</v>
      </c>
      <c r="Z9" s="2">
        <v>600</v>
      </c>
      <c r="AA9" s="2">
        <f t="shared" si="0"/>
        <v>64.666666666666657</v>
      </c>
      <c r="AB9" s="2">
        <f>69+90+73</f>
        <v>232</v>
      </c>
      <c r="AC9" s="2">
        <v>300</v>
      </c>
      <c r="AD9" s="2">
        <f t="shared" si="1"/>
        <v>77.333333333333329</v>
      </c>
      <c r="AE9" s="2" t="s">
        <v>1623</v>
      </c>
      <c r="AF9" s="2" t="s">
        <v>790</v>
      </c>
      <c r="AG9" s="2" t="s">
        <v>1560</v>
      </c>
      <c r="AH9" s="2">
        <v>10000</v>
      </c>
      <c r="AI9" s="2">
        <v>180000</v>
      </c>
      <c r="AJ9" s="2">
        <v>27500</v>
      </c>
      <c r="AK9" s="2">
        <f t="shared" si="2"/>
        <v>217500</v>
      </c>
      <c r="AL9" s="2" t="s">
        <v>1624</v>
      </c>
      <c r="AM9" s="2" t="s">
        <v>78</v>
      </c>
      <c r="AN9" s="2" t="s">
        <v>1625</v>
      </c>
      <c r="AO9" s="2" t="s">
        <v>139</v>
      </c>
      <c r="AP9" s="2">
        <v>84000</v>
      </c>
      <c r="AQ9" s="2" t="s">
        <v>1626</v>
      </c>
      <c r="AR9" s="4" t="s">
        <v>1627</v>
      </c>
      <c r="AS9" s="2" t="s">
        <v>1628</v>
      </c>
      <c r="AT9" s="2" t="s">
        <v>1629</v>
      </c>
      <c r="AU9" s="2" t="s">
        <v>1630</v>
      </c>
      <c r="AV9" s="2" t="s">
        <v>152</v>
      </c>
      <c r="AW9" s="2">
        <v>631302</v>
      </c>
      <c r="AX9" s="2" t="s">
        <v>1628</v>
      </c>
      <c r="AZ9" s="2">
        <v>9047545475</v>
      </c>
      <c r="BB9" s="2">
        <v>9087788211</v>
      </c>
      <c r="BC9" s="3" t="s">
        <v>1631</v>
      </c>
      <c r="BD9" s="3" t="s">
        <v>1632</v>
      </c>
      <c r="BE9" s="2" t="s">
        <v>1412</v>
      </c>
    </row>
    <row r="10" spans="1:58" s="2" customFormat="1" ht="80.099999999999994" customHeight="1" x14ac:dyDescent="0.25">
      <c r="A10" s="2">
        <v>8</v>
      </c>
      <c r="B10" s="2">
        <v>322</v>
      </c>
      <c r="C10" s="2" t="s">
        <v>4444</v>
      </c>
      <c r="D10" s="2" t="s">
        <v>571</v>
      </c>
      <c r="F10" s="7" t="s">
        <v>1720</v>
      </c>
      <c r="G10" s="2" t="s">
        <v>38</v>
      </c>
      <c r="H10" s="2" t="s">
        <v>35</v>
      </c>
      <c r="I10" s="2" t="s">
        <v>68</v>
      </c>
      <c r="J10" s="2" t="s">
        <v>36</v>
      </c>
      <c r="K10" s="2" t="s">
        <v>363</v>
      </c>
      <c r="L10" s="2" t="s">
        <v>82</v>
      </c>
      <c r="M10" s="2" t="s">
        <v>428</v>
      </c>
      <c r="N10" s="2" t="s">
        <v>152</v>
      </c>
      <c r="O10" s="2" t="s">
        <v>123</v>
      </c>
      <c r="P10" s="2" t="s">
        <v>85</v>
      </c>
      <c r="Q10" s="2" t="s">
        <v>185</v>
      </c>
      <c r="R10" s="2">
        <v>1811002418</v>
      </c>
      <c r="S10" s="2">
        <v>2018</v>
      </c>
      <c r="T10" s="2" t="s">
        <v>366</v>
      </c>
      <c r="U10" s="2" t="s">
        <v>37</v>
      </c>
      <c r="V10" s="2" t="s">
        <v>155</v>
      </c>
      <c r="W10" s="2" t="s">
        <v>37</v>
      </c>
      <c r="X10" s="2" t="s">
        <v>37</v>
      </c>
      <c r="Y10" s="2">
        <v>1050</v>
      </c>
      <c r="Z10" s="2">
        <v>1200</v>
      </c>
      <c r="AA10" s="2">
        <f t="shared" si="0"/>
        <v>87.5</v>
      </c>
      <c r="AB10" s="2">
        <f>183+154+194</f>
        <v>531</v>
      </c>
      <c r="AC10" s="2">
        <v>600</v>
      </c>
      <c r="AD10" s="2">
        <f t="shared" si="1"/>
        <v>88.5</v>
      </c>
      <c r="AE10" s="2" t="s">
        <v>1721</v>
      </c>
      <c r="AF10" s="2" t="s">
        <v>319</v>
      </c>
      <c r="AG10" s="2" t="s">
        <v>1722</v>
      </c>
      <c r="AH10" s="2">
        <v>10000</v>
      </c>
      <c r="AI10" s="2">
        <v>180000</v>
      </c>
      <c r="AJ10" s="2">
        <v>27500</v>
      </c>
      <c r="AK10" s="2">
        <f t="shared" si="2"/>
        <v>217500</v>
      </c>
      <c r="AL10" s="2" t="s">
        <v>1723</v>
      </c>
      <c r="AM10" s="2" t="s">
        <v>1724</v>
      </c>
      <c r="AN10" s="2" t="s">
        <v>1725</v>
      </c>
      <c r="AO10" s="2" t="s">
        <v>1084</v>
      </c>
      <c r="AP10" s="2">
        <v>32000</v>
      </c>
      <c r="AQ10" s="2" t="s">
        <v>1726</v>
      </c>
      <c r="AR10" s="4" t="s">
        <v>1727</v>
      </c>
      <c r="AS10" s="2" t="s">
        <v>1728</v>
      </c>
      <c r="AT10" s="2" t="s">
        <v>1731</v>
      </c>
      <c r="AU10" s="2" t="s">
        <v>1729</v>
      </c>
      <c r="AV10" s="2" t="s">
        <v>152</v>
      </c>
      <c r="AW10" s="2">
        <v>629809</v>
      </c>
      <c r="AX10" s="2" t="s">
        <v>1728</v>
      </c>
      <c r="AZ10" s="2">
        <v>8098901230</v>
      </c>
      <c r="BA10" s="2">
        <v>9585084645</v>
      </c>
      <c r="BB10" s="2">
        <v>8148834645</v>
      </c>
      <c r="BD10" s="3" t="s">
        <v>1730</v>
      </c>
      <c r="BE10" s="2" t="s">
        <v>4103</v>
      </c>
    </row>
    <row r="11" spans="1:58" s="2" customFormat="1" ht="80.099999999999994" customHeight="1" x14ac:dyDescent="0.25">
      <c r="A11" s="2">
        <v>9</v>
      </c>
      <c r="B11" s="2">
        <v>383</v>
      </c>
      <c r="C11" s="2" t="s">
        <v>4444</v>
      </c>
      <c r="D11" s="6" t="s">
        <v>571</v>
      </c>
      <c r="F11" s="8" t="s">
        <v>2059</v>
      </c>
      <c r="G11" s="6" t="s">
        <v>38</v>
      </c>
      <c r="H11" s="6" t="s">
        <v>35</v>
      </c>
      <c r="I11" s="2" t="s">
        <v>68</v>
      </c>
      <c r="J11" s="2" t="s">
        <v>36</v>
      </c>
      <c r="K11" s="2" t="s">
        <v>2060</v>
      </c>
      <c r="L11" s="2" t="s">
        <v>82</v>
      </c>
      <c r="M11" s="2" t="s">
        <v>2061</v>
      </c>
      <c r="N11" s="2" t="s">
        <v>205</v>
      </c>
      <c r="O11" s="2" t="s">
        <v>61</v>
      </c>
      <c r="Q11" s="2" t="s">
        <v>185</v>
      </c>
      <c r="R11" s="2">
        <v>1811297792</v>
      </c>
      <c r="S11" s="2">
        <v>2018</v>
      </c>
      <c r="T11" s="2" t="s">
        <v>366</v>
      </c>
      <c r="U11" s="2" t="s">
        <v>37</v>
      </c>
      <c r="V11" s="2" t="s">
        <v>152</v>
      </c>
      <c r="W11" s="2" t="s">
        <v>37</v>
      </c>
      <c r="X11" s="2" t="s">
        <v>37</v>
      </c>
      <c r="Y11" s="2">
        <v>836</v>
      </c>
      <c r="Z11" s="2">
        <v>1200</v>
      </c>
      <c r="AA11" s="2">
        <f t="shared" si="0"/>
        <v>69.666666666666671</v>
      </c>
      <c r="AB11" s="2">
        <f>137+139+86</f>
        <v>362</v>
      </c>
      <c r="AC11" s="2">
        <v>600</v>
      </c>
      <c r="AD11" s="2">
        <f t="shared" si="1"/>
        <v>60.333333333333336</v>
      </c>
      <c r="AE11" s="2" t="s">
        <v>2062</v>
      </c>
      <c r="AF11" s="2" t="s">
        <v>204</v>
      </c>
      <c r="AG11" s="2" t="s">
        <v>2030</v>
      </c>
      <c r="AH11" s="2">
        <v>10000</v>
      </c>
      <c r="AI11" s="2">
        <v>180000</v>
      </c>
      <c r="AJ11" s="2">
        <v>27500</v>
      </c>
      <c r="AK11" s="2">
        <f t="shared" si="2"/>
        <v>217500</v>
      </c>
      <c r="AL11" s="2" t="s">
        <v>2063</v>
      </c>
      <c r="AM11" s="2" t="s">
        <v>78</v>
      </c>
      <c r="AN11" s="2" t="s">
        <v>2064</v>
      </c>
      <c r="AO11" s="2" t="s">
        <v>2065</v>
      </c>
      <c r="AP11" s="2">
        <v>35000</v>
      </c>
      <c r="AQ11" s="2" t="s">
        <v>2066</v>
      </c>
      <c r="AR11" s="4" t="s">
        <v>2067</v>
      </c>
      <c r="AS11" s="2" t="s">
        <v>2068</v>
      </c>
      <c r="AT11" s="2" t="s">
        <v>205</v>
      </c>
      <c r="AU11" s="2" t="s">
        <v>715</v>
      </c>
      <c r="AV11" s="2" t="s">
        <v>152</v>
      </c>
      <c r="AW11" s="2">
        <v>635126</v>
      </c>
      <c r="AX11" s="2" t="s">
        <v>2068</v>
      </c>
      <c r="AZ11" s="2">
        <v>7092869088</v>
      </c>
      <c r="BA11" s="2">
        <v>9789777471</v>
      </c>
      <c r="BB11" s="2">
        <v>9976976974</v>
      </c>
      <c r="BC11" s="3" t="s">
        <v>2069</v>
      </c>
      <c r="BD11" s="3" t="s">
        <v>2070</v>
      </c>
      <c r="BE11" s="2" t="s">
        <v>2913</v>
      </c>
    </row>
    <row r="12" spans="1:58" s="2" customFormat="1" ht="80.099999999999994" customHeight="1" x14ac:dyDescent="0.25">
      <c r="A12" s="2">
        <v>10</v>
      </c>
      <c r="B12" s="2">
        <v>425</v>
      </c>
      <c r="C12" s="2" t="s">
        <v>4444</v>
      </c>
      <c r="D12" s="2" t="s">
        <v>571</v>
      </c>
      <c r="F12" s="7" t="s">
        <v>2194</v>
      </c>
      <c r="G12" s="2" t="s">
        <v>38</v>
      </c>
      <c r="H12" s="2" t="s">
        <v>35</v>
      </c>
      <c r="I12" s="2" t="s">
        <v>68</v>
      </c>
      <c r="J12" s="2" t="s">
        <v>36</v>
      </c>
      <c r="K12" s="2" t="s">
        <v>1804</v>
      </c>
      <c r="L12" s="2" t="s">
        <v>82</v>
      </c>
      <c r="M12" s="2" t="s">
        <v>1740</v>
      </c>
      <c r="N12" s="2" t="s">
        <v>2201</v>
      </c>
      <c r="O12" s="2" t="s">
        <v>795</v>
      </c>
      <c r="P12" s="2" t="s">
        <v>62</v>
      </c>
      <c r="Q12" s="2" t="s">
        <v>185</v>
      </c>
      <c r="R12" s="2">
        <v>5416302</v>
      </c>
      <c r="S12" s="2">
        <v>2018</v>
      </c>
      <c r="T12" s="2" t="s">
        <v>1361</v>
      </c>
      <c r="U12" s="2" t="s">
        <v>37</v>
      </c>
      <c r="V12" s="2" t="s">
        <v>794</v>
      </c>
      <c r="W12" s="2">
        <f>130+191+104+102+156+85</f>
        <v>768</v>
      </c>
      <c r="X12" s="2">
        <f>W12/1200*100</f>
        <v>64</v>
      </c>
      <c r="Y12" s="2">
        <f>65+96+62+58+98+43</f>
        <v>422</v>
      </c>
      <c r="Z12" s="2">
        <v>600</v>
      </c>
      <c r="AA12" s="2">
        <f t="shared" si="0"/>
        <v>70.333333333333343</v>
      </c>
      <c r="AB12" s="2">
        <f>104+102+85</f>
        <v>291</v>
      </c>
      <c r="AC12" s="2">
        <v>600</v>
      </c>
      <c r="AD12" s="2">
        <f t="shared" si="1"/>
        <v>48.5</v>
      </c>
      <c r="AE12" s="2" t="s">
        <v>2195</v>
      </c>
      <c r="AF12" s="2" t="s">
        <v>2160</v>
      </c>
      <c r="AG12" s="2" t="s">
        <v>2160</v>
      </c>
      <c r="AH12" s="2">
        <v>10000</v>
      </c>
      <c r="AI12" s="2">
        <v>180000</v>
      </c>
      <c r="AJ12" s="2">
        <v>27500</v>
      </c>
      <c r="AK12" s="2">
        <f t="shared" si="2"/>
        <v>217500</v>
      </c>
      <c r="AL12" s="2" t="s">
        <v>2196</v>
      </c>
      <c r="AM12" s="2" t="s">
        <v>78</v>
      </c>
      <c r="AN12" s="2" t="s">
        <v>2197</v>
      </c>
      <c r="AO12" s="2" t="s">
        <v>2198</v>
      </c>
      <c r="AP12" s="2">
        <v>36000</v>
      </c>
      <c r="AR12" s="4" t="s">
        <v>2199</v>
      </c>
      <c r="AS12" s="2" t="s">
        <v>2200</v>
      </c>
      <c r="AT12" s="2" t="s">
        <v>2201</v>
      </c>
      <c r="AU12" s="2" t="s">
        <v>1988</v>
      </c>
      <c r="AV12" s="2" t="s">
        <v>794</v>
      </c>
      <c r="AW12" s="2">
        <v>670331</v>
      </c>
      <c r="AX12" s="2" t="s">
        <v>2200</v>
      </c>
      <c r="AY12" s="2" t="s">
        <v>37</v>
      </c>
      <c r="AZ12" s="2">
        <v>9847029428</v>
      </c>
      <c r="BA12" s="2">
        <v>9605974169</v>
      </c>
      <c r="BB12" s="2">
        <v>8281089428</v>
      </c>
      <c r="BD12" s="3" t="s">
        <v>2202</v>
      </c>
      <c r="BE12" s="2" t="s">
        <v>2203</v>
      </c>
      <c r="BF12" s="2" t="s">
        <v>1066</v>
      </c>
    </row>
    <row r="13" spans="1:58" s="2" customFormat="1" ht="80.099999999999994" customHeight="1" x14ac:dyDescent="0.25">
      <c r="A13" s="2">
        <v>11</v>
      </c>
      <c r="B13" s="2">
        <v>470</v>
      </c>
      <c r="C13" s="2" t="s">
        <v>4444</v>
      </c>
      <c r="D13" s="6" t="s">
        <v>571</v>
      </c>
      <c r="F13" s="8" t="s">
        <v>2411</v>
      </c>
      <c r="G13" s="6" t="s">
        <v>38</v>
      </c>
      <c r="H13" s="6" t="s">
        <v>35</v>
      </c>
      <c r="I13" s="2" t="s">
        <v>68</v>
      </c>
      <c r="J13" s="2" t="s">
        <v>36</v>
      </c>
      <c r="K13" s="2" t="s">
        <v>347</v>
      </c>
      <c r="L13" s="2" t="s">
        <v>82</v>
      </c>
      <c r="M13" s="2" t="s">
        <v>2414</v>
      </c>
      <c r="N13" s="2" t="s">
        <v>1852</v>
      </c>
      <c r="O13" s="2" t="s">
        <v>72</v>
      </c>
      <c r="P13" s="2" t="s">
        <v>73</v>
      </c>
      <c r="Q13" s="2" t="s">
        <v>185</v>
      </c>
      <c r="R13" s="2">
        <v>5800010</v>
      </c>
      <c r="S13" s="2">
        <v>2017</v>
      </c>
      <c r="T13" s="2" t="s">
        <v>616</v>
      </c>
      <c r="U13" s="2" t="s">
        <v>37</v>
      </c>
      <c r="V13" s="2" t="s">
        <v>1563</v>
      </c>
      <c r="W13" s="2" t="s">
        <v>37</v>
      </c>
      <c r="X13" s="2" t="s">
        <v>37</v>
      </c>
      <c r="Y13" s="2">
        <f>87+48+65+91+89+67</f>
        <v>447</v>
      </c>
      <c r="Z13" s="2">
        <v>600</v>
      </c>
      <c r="AA13" s="2">
        <f t="shared" si="0"/>
        <v>74.5</v>
      </c>
      <c r="AB13" s="2">
        <f>48+65+91</f>
        <v>204</v>
      </c>
      <c r="AC13" s="2">
        <v>300</v>
      </c>
      <c r="AD13" s="2">
        <f t="shared" si="1"/>
        <v>68</v>
      </c>
      <c r="AE13" s="2" t="s">
        <v>2415</v>
      </c>
      <c r="AF13" s="2" t="s">
        <v>2348</v>
      </c>
      <c r="AG13" s="2" t="s">
        <v>2348</v>
      </c>
      <c r="AH13" s="2">
        <v>10000</v>
      </c>
      <c r="AI13" s="2">
        <v>180000</v>
      </c>
      <c r="AJ13" s="2">
        <v>27500</v>
      </c>
      <c r="AK13" s="2">
        <f t="shared" si="2"/>
        <v>217500</v>
      </c>
      <c r="AL13" s="2" t="s">
        <v>2416</v>
      </c>
      <c r="AM13" s="2" t="s">
        <v>78</v>
      </c>
      <c r="AN13" s="2" t="s">
        <v>2417</v>
      </c>
      <c r="AO13" s="2" t="s">
        <v>563</v>
      </c>
      <c r="AP13" s="2">
        <v>650000</v>
      </c>
      <c r="AQ13" s="2" t="s">
        <v>2418</v>
      </c>
      <c r="AR13" s="4" t="s">
        <v>2419</v>
      </c>
      <c r="AS13" s="2" t="s">
        <v>2420</v>
      </c>
      <c r="AT13" s="2" t="s">
        <v>2421</v>
      </c>
      <c r="AU13" s="2" t="s">
        <v>2422</v>
      </c>
      <c r="AV13" s="2" t="s">
        <v>1563</v>
      </c>
      <c r="AW13" s="2">
        <v>263931</v>
      </c>
      <c r="AX13" s="2" t="s">
        <v>2420</v>
      </c>
      <c r="AY13" s="2" t="s">
        <v>37</v>
      </c>
      <c r="AZ13" s="2">
        <v>9410577384</v>
      </c>
      <c r="BA13" s="2">
        <v>9411520669</v>
      </c>
      <c r="BB13" s="2">
        <v>7579081883</v>
      </c>
      <c r="BC13" s="3"/>
      <c r="BD13" s="3" t="s">
        <v>2423</v>
      </c>
      <c r="BE13" s="2" t="s">
        <v>1862</v>
      </c>
      <c r="BF13" s="2" t="s">
        <v>37</v>
      </c>
    </row>
    <row r="14" spans="1:58" s="2" customFormat="1" ht="80.099999999999994" customHeight="1" x14ac:dyDescent="0.25">
      <c r="A14" s="2">
        <v>12</v>
      </c>
      <c r="B14" s="2">
        <v>471</v>
      </c>
      <c r="C14" s="2" t="s">
        <v>4444</v>
      </c>
      <c r="D14" s="6" t="s">
        <v>571</v>
      </c>
      <c r="F14" s="8" t="s">
        <v>2412</v>
      </c>
      <c r="G14" s="6" t="s">
        <v>38</v>
      </c>
      <c r="H14" s="6" t="s">
        <v>35</v>
      </c>
      <c r="I14" s="2" t="s">
        <v>68</v>
      </c>
      <c r="J14" s="2" t="s">
        <v>36</v>
      </c>
      <c r="K14" s="2" t="s">
        <v>347</v>
      </c>
      <c r="L14" s="2" t="s">
        <v>82</v>
      </c>
      <c r="M14" s="2" t="s">
        <v>203</v>
      </c>
      <c r="N14" s="2" t="s">
        <v>2424</v>
      </c>
      <c r="O14" s="2" t="s">
        <v>72</v>
      </c>
      <c r="P14" s="2" t="s">
        <v>85</v>
      </c>
      <c r="Q14" s="2" t="s">
        <v>185</v>
      </c>
      <c r="R14" s="2">
        <v>5821226</v>
      </c>
      <c r="S14" s="2">
        <v>2017</v>
      </c>
      <c r="T14" s="2" t="s">
        <v>616</v>
      </c>
      <c r="U14" s="2" t="s">
        <v>37</v>
      </c>
      <c r="V14" s="2" t="s">
        <v>1563</v>
      </c>
      <c r="W14" s="2" t="s">
        <v>37</v>
      </c>
      <c r="X14" s="2" t="s">
        <v>37</v>
      </c>
      <c r="Y14" s="2">
        <f>77+67+79+72+96+88</f>
        <v>479</v>
      </c>
      <c r="Z14" s="2">
        <v>600</v>
      </c>
      <c r="AA14" s="2">
        <f t="shared" si="0"/>
        <v>79.833333333333329</v>
      </c>
      <c r="AB14" s="2">
        <f>67+79+72</f>
        <v>218</v>
      </c>
      <c r="AC14" s="2">
        <v>300</v>
      </c>
      <c r="AD14" s="2">
        <f t="shared" si="1"/>
        <v>72.666666666666671</v>
      </c>
      <c r="AE14" s="2" t="s">
        <v>2425</v>
      </c>
      <c r="AF14" s="2" t="s">
        <v>2348</v>
      </c>
      <c r="AG14" s="2" t="s">
        <v>2348</v>
      </c>
      <c r="AH14" s="2">
        <v>10000</v>
      </c>
      <c r="AI14" s="2">
        <v>180000</v>
      </c>
      <c r="AJ14" s="2">
        <v>27500</v>
      </c>
      <c r="AK14" s="2">
        <f t="shared" si="2"/>
        <v>217500</v>
      </c>
      <c r="AL14" s="2" t="s">
        <v>2426</v>
      </c>
      <c r="AM14" s="2" t="s">
        <v>99</v>
      </c>
      <c r="AN14" s="2" t="s">
        <v>2427</v>
      </c>
      <c r="AO14" s="2" t="s">
        <v>139</v>
      </c>
      <c r="AP14" s="2">
        <v>1000000</v>
      </c>
      <c r="AQ14" s="2" t="s">
        <v>2428</v>
      </c>
      <c r="AR14" s="4" t="s">
        <v>2429</v>
      </c>
      <c r="AS14" s="2" t="s">
        <v>2430</v>
      </c>
      <c r="AT14" s="2" t="s">
        <v>2424</v>
      </c>
      <c r="AU14" s="2" t="s">
        <v>2431</v>
      </c>
      <c r="AV14" s="2" t="s">
        <v>1563</v>
      </c>
      <c r="AW14" s="2">
        <v>263645</v>
      </c>
      <c r="AX14" s="2" t="s">
        <v>2430</v>
      </c>
      <c r="AY14" s="2" t="s">
        <v>2432</v>
      </c>
      <c r="AZ14" s="2">
        <v>9758072699</v>
      </c>
      <c r="BA14" s="2">
        <v>9412951888</v>
      </c>
      <c r="BB14" s="2">
        <v>9411544279</v>
      </c>
      <c r="BC14" s="3"/>
      <c r="BD14" s="3" t="s">
        <v>2433</v>
      </c>
      <c r="BE14" s="25" t="s">
        <v>1862</v>
      </c>
      <c r="BF14" s="25" t="s">
        <v>37</v>
      </c>
    </row>
    <row r="15" spans="1:58" s="2" customFormat="1" ht="80.099999999999994" customHeight="1" x14ac:dyDescent="0.25">
      <c r="A15" s="2">
        <v>13</v>
      </c>
      <c r="B15" s="2">
        <v>472</v>
      </c>
      <c r="C15" s="2" t="s">
        <v>4444</v>
      </c>
      <c r="D15" s="6" t="s">
        <v>571</v>
      </c>
      <c r="F15" s="8" t="s">
        <v>2413</v>
      </c>
      <c r="G15" s="6" t="s">
        <v>38</v>
      </c>
      <c r="H15" s="6" t="s">
        <v>35</v>
      </c>
      <c r="I15" s="2" t="s">
        <v>68</v>
      </c>
      <c r="J15" s="2" t="s">
        <v>36</v>
      </c>
      <c r="K15" s="2" t="s">
        <v>347</v>
      </c>
      <c r="L15" s="2" t="s">
        <v>82</v>
      </c>
      <c r="M15" s="2" t="s">
        <v>2434</v>
      </c>
      <c r="N15" s="2" t="s">
        <v>2435</v>
      </c>
      <c r="O15" s="2" t="s">
        <v>72</v>
      </c>
      <c r="P15" s="2" t="s">
        <v>62</v>
      </c>
      <c r="Q15" s="2" t="s">
        <v>185</v>
      </c>
      <c r="R15" s="2">
        <v>5800002</v>
      </c>
      <c r="S15" s="2">
        <v>2017</v>
      </c>
      <c r="T15" s="2" t="s">
        <v>616</v>
      </c>
      <c r="U15" s="2" t="s">
        <v>37</v>
      </c>
      <c r="V15" s="2" t="s">
        <v>1563</v>
      </c>
      <c r="W15" s="2" t="s">
        <v>37</v>
      </c>
      <c r="X15" s="2" t="s">
        <v>37</v>
      </c>
      <c r="Y15" s="2">
        <f>80+71+72+88+87+92</f>
        <v>490</v>
      </c>
      <c r="Z15" s="2">
        <v>600</v>
      </c>
      <c r="AA15" s="2">
        <f t="shared" si="0"/>
        <v>81.666666666666671</v>
      </c>
      <c r="AB15" s="2">
        <f>71+72+88</f>
        <v>231</v>
      </c>
      <c r="AC15" s="2">
        <v>300</v>
      </c>
      <c r="AD15" s="2">
        <f t="shared" si="1"/>
        <v>77</v>
      </c>
      <c r="AE15" s="2" t="s">
        <v>2436</v>
      </c>
      <c r="AF15" s="2" t="s">
        <v>2348</v>
      </c>
      <c r="AG15" s="2" t="s">
        <v>2348</v>
      </c>
      <c r="AH15" s="2">
        <v>10000</v>
      </c>
      <c r="AI15" s="2">
        <v>180000</v>
      </c>
      <c r="AJ15" s="2">
        <v>27500</v>
      </c>
      <c r="AK15" s="2">
        <f t="shared" si="2"/>
        <v>217500</v>
      </c>
      <c r="AL15" s="2" t="s">
        <v>2437</v>
      </c>
      <c r="AM15" s="2" t="s">
        <v>78</v>
      </c>
      <c r="AN15" s="2" t="s">
        <v>2438</v>
      </c>
      <c r="AO15" s="2" t="s">
        <v>563</v>
      </c>
      <c r="AP15" s="2">
        <v>650000</v>
      </c>
      <c r="AQ15" s="2" t="s">
        <v>2439</v>
      </c>
      <c r="AR15" s="4" t="s">
        <v>2440</v>
      </c>
      <c r="AS15" s="2" t="s">
        <v>2441</v>
      </c>
      <c r="AT15" s="2" t="s">
        <v>2442</v>
      </c>
      <c r="AU15" s="2" t="s">
        <v>2443</v>
      </c>
      <c r="AV15" s="2" t="s">
        <v>1563</v>
      </c>
      <c r="AW15" s="2">
        <v>262553</v>
      </c>
      <c r="AX15" s="2" t="s">
        <v>2444</v>
      </c>
      <c r="AY15" s="2" t="s">
        <v>37</v>
      </c>
      <c r="AZ15" s="2">
        <v>9410592237</v>
      </c>
      <c r="BA15" s="2">
        <v>9411264443</v>
      </c>
      <c r="BB15" s="2">
        <v>9410592236</v>
      </c>
      <c r="BC15" s="3"/>
      <c r="BD15" s="3" t="s">
        <v>2445</v>
      </c>
      <c r="BE15" s="2" t="s">
        <v>1862</v>
      </c>
      <c r="BF15" s="2" t="s">
        <v>37</v>
      </c>
    </row>
    <row r="16" spans="1:58" s="2" customFormat="1" ht="80.099999999999994" customHeight="1" x14ac:dyDescent="0.25">
      <c r="A16" s="2">
        <v>14</v>
      </c>
      <c r="B16" s="2">
        <v>488</v>
      </c>
      <c r="C16" s="2" t="s">
        <v>4444</v>
      </c>
      <c r="D16" s="11" t="s">
        <v>571</v>
      </c>
      <c r="F16" s="12" t="s">
        <v>2460</v>
      </c>
      <c r="G16" s="11" t="s">
        <v>38</v>
      </c>
      <c r="H16" s="11" t="s">
        <v>35</v>
      </c>
      <c r="I16" s="2" t="s">
        <v>68</v>
      </c>
      <c r="J16" s="2" t="s">
        <v>36</v>
      </c>
      <c r="K16" s="2" t="s">
        <v>69</v>
      </c>
      <c r="L16" s="2" t="s">
        <v>70</v>
      </c>
      <c r="M16" s="2" t="s">
        <v>2480</v>
      </c>
      <c r="N16" s="2" t="s">
        <v>1551</v>
      </c>
      <c r="O16" s="2" t="s">
        <v>561</v>
      </c>
      <c r="P16" s="2" t="s">
        <v>85</v>
      </c>
      <c r="Q16" s="2" t="s">
        <v>185</v>
      </c>
      <c r="R16" s="2" t="s">
        <v>2481</v>
      </c>
      <c r="S16" s="2">
        <v>2018</v>
      </c>
      <c r="T16" s="2" t="s">
        <v>1099</v>
      </c>
      <c r="U16" s="2" t="s">
        <v>37</v>
      </c>
      <c r="V16" s="2" t="s">
        <v>1100</v>
      </c>
      <c r="W16" s="2" t="s">
        <v>37</v>
      </c>
      <c r="X16" s="2" t="s">
        <v>37</v>
      </c>
      <c r="Y16" s="2">
        <f>64+41+41+46+109+50</f>
        <v>351</v>
      </c>
      <c r="Z16" s="2">
        <v>650</v>
      </c>
      <c r="AA16" s="2">
        <f t="shared" si="0"/>
        <v>54</v>
      </c>
      <c r="AB16" s="2">
        <f>41+41+46</f>
        <v>128</v>
      </c>
      <c r="AC16" s="2">
        <v>300</v>
      </c>
      <c r="AD16" s="2">
        <f t="shared" si="1"/>
        <v>42.666666666666671</v>
      </c>
      <c r="AE16" s="2" t="s">
        <v>2482</v>
      </c>
      <c r="AF16" s="2" t="s">
        <v>2446</v>
      </c>
      <c r="AG16" s="2" t="s">
        <v>2446</v>
      </c>
      <c r="AH16" s="2">
        <v>10000</v>
      </c>
      <c r="AI16" s="2">
        <v>180000</v>
      </c>
      <c r="AJ16" s="2">
        <v>27500</v>
      </c>
      <c r="AK16" s="2">
        <f t="shared" si="2"/>
        <v>217500</v>
      </c>
      <c r="AL16" s="2" t="s">
        <v>2483</v>
      </c>
      <c r="AM16" s="2" t="s">
        <v>78</v>
      </c>
      <c r="AN16" s="2" t="s">
        <v>2484</v>
      </c>
      <c r="AO16" s="2" t="s">
        <v>139</v>
      </c>
      <c r="AP16" s="2">
        <v>250000</v>
      </c>
      <c r="AQ16" s="2" t="s">
        <v>2485</v>
      </c>
      <c r="AR16" s="4" t="s">
        <v>2486</v>
      </c>
      <c r="AS16" s="2" t="s">
        <v>2487</v>
      </c>
      <c r="AT16" s="2" t="s">
        <v>2488</v>
      </c>
      <c r="AU16" s="2" t="s">
        <v>1551</v>
      </c>
      <c r="AV16" s="2" t="s">
        <v>1101</v>
      </c>
      <c r="AW16" s="2">
        <v>440008</v>
      </c>
      <c r="AX16" s="2" t="s">
        <v>2487</v>
      </c>
      <c r="AZ16" s="2">
        <v>7304682703</v>
      </c>
      <c r="BA16" s="2">
        <v>9325223382</v>
      </c>
      <c r="BB16" s="2">
        <v>9372512219</v>
      </c>
      <c r="BC16" s="3" t="s">
        <v>2490</v>
      </c>
      <c r="BD16" s="3" t="s">
        <v>2489</v>
      </c>
      <c r="BE16" s="2" t="s">
        <v>3096</v>
      </c>
    </row>
    <row r="17" spans="1:58" s="2" customFormat="1" ht="80.099999999999994" customHeight="1" x14ac:dyDescent="0.25">
      <c r="A17" s="2">
        <v>15</v>
      </c>
      <c r="B17" s="11">
        <v>507</v>
      </c>
      <c r="C17" s="11" t="s">
        <v>4444</v>
      </c>
      <c r="D17" s="11" t="s">
        <v>571</v>
      </c>
      <c r="F17" s="12" t="s">
        <v>2570</v>
      </c>
      <c r="G17" s="11" t="s">
        <v>1505</v>
      </c>
      <c r="H17" s="11" t="s">
        <v>92</v>
      </c>
      <c r="I17" s="2" t="s">
        <v>68</v>
      </c>
      <c r="J17" s="2" t="s">
        <v>36</v>
      </c>
      <c r="K17" s="2" t="s">
        <v>81</v>
      </c>
      <c r="L17" s="2" t="s">
        <v>214</v>
      </c>
      <c r="M17" s="2" t="s">
        <v>2571</v>
      </c>
      <c r="N17" s="2" t="s">
        <v>1599</v>
      </c>
      <c r="O17" s="2" t="s">
        <v>83</v>
      </c>
      <c r="P17" s="2" t="s">
        <v>73</v>
      </c>
      <c r="Q17" s="2" t="s">
        <v>63</v>
      </c>
      <c r="R17" s="2">
        <v>307808</v>
      </c>
      <c r="S17" s="2">
        <v>2018</v>
      </c>
      <c r="T17" s="2" t="s">
        <v>64</v>
      </c>
      <c r="U17" s="2" t="s">
        <v>65</v>
      </c>
      <c r="V17" s="2" t="s">
        <v>37</v>
      </c>
      <c r="W17" s="2" t="s">
        <v>37</v>
      </c>
      <c r="X17" s="2" t="s">
        <v>37</v>
      </c>
      <c r="Y17" s="2">
        <v>491</v>
      </c>
      <c r="Z17" s="2">
        <v>600</v>
      </c>
      <c r="AA17" s="2">
        <f t="shared" si="0"/>
        <v>81.833333333333343</v>
      </c>
      <c r="AB17" s="2">
        <f>86+80+89</f>
        <v>255</v>
      </c>
      <c r="AC17" s="2">
        <v>300</v>
      </c>
      <c r="AD17" s="2">
        <f t="shared" si="1"/>
        <v>85</v>
      </c>
      <c r="AE17" s="2" t="s">
        <v>2572</v>
      </c>
      <c r="AF17" s="2" t="s">
        <v>2493</v>
      </c>
      <c r="AG17" s="2" t="s">
        <v>2558</v>
      </c>
      <c r="AH17" s="2">
        <v>10000</v>
      </c>
      <c r="AI17" s="2">
        <v>165000</v>
      </c>
      <c r="AJ17" s="2">
        <v>27500</v>
      </c>
      <c r="AK17" s="2">
        <f t="shared" si="2"/>
        <v>202500</v>
      </c>
      <c r="AL17" s="2" t="s">
        <v>2573</v>
      </c>
      <c r="AM17" s="2" t="s">
        <v>87</v>
      </c>
      <c r="AN17" s="2" t="s">
        <v>2574</v>
      </c>
      <c r="AO17" s="2" t="s">
        <v>67</v>
      </c>
      <c r="AP17" s="2">
        <v>400000</v>
      </c>
      <c r="AQ17" s="2" t="s">
        <v>2581</v>
      </c>
      <c r="AR17" s="4" t="s">
        <v>2575</v>
      </c>
      <c r="AS17" s="2" t="s">
        <v>2576</v>
      </c>
      <c r="AT17" s="2" t="s">
        <v>2577</v>
      </c>
      <c r="AU17" s="2" t="s">
        <v>169</v>
      </c>
      <c r="AV17" s="2" t="s">
        <v>215</v>
      </c>
      <c r="AW17" s="2">
        <v>518301</v>
      </c>
      <c r="AX17" s="2" t="s">
        <v>2582</v>
      </c>
      <c r="AY17" s="2" t="s">
        <v>2578</v>
      </c>
      <c r="BA17" s="2">
        <v>9490092587</v>
      </c>
      <c r="BB17" s="2">
        <v>8500019092</v>
      </c>
      <c r="BC17" s="3" t="s">
        <v>2579</v>
      </c>
      <c r="BD17" s="3" t="s">
        <v>2580</v>
      </c>
      <c r="BE17" s="2" t="s">
        <v>3385</v>
      </c>
    </row>
    <row r="18" spans="1:58" s="2" customFormat="1" ht="80.099999999999994" customHeight="1" x14ac:dyDescent="0.25">
      <c r="A18" s="2">
        <v>16</v>
      </c>
      <c r="B18" s="2">
        <v>546</v>
      </c>
      <c r="C18" s="2" t="s">
        <v>4444</v>
      </c>
      <c r="D18" s="2" t="s">
        <v>571</v>
      </c>
      <c r="F18" s="7" t="s">
        <v>1586</v>
      </c>
      <c r="G18" s="2" t="s">
        <v>38</v>
      </c>
      <c r="H18" s="2" t="s">
        <v>35</v>
      </c>
      <c r="I18" s="2" t="s">
        <v>68</v>
      </c>
      <c r="J18" s="2" t="s">
        <v>435</v>
      </c>
      <c r="K18" s="2" t="s">
        <v>1067</v>
      </c>
      <c r="L18" s="2" t="s">
        <v>82</v>
      </c>
      <c r="M18" s="2" t="s">
        <v>2760</v>
      </c>
      <c r="N18" s="2" t="s">
        <v>2761</v>
      </c>
      <c r="O18" s="2" t="s">
        <v>72</v>
      </c>
      <c r="P18" s="2" t="s">
        <v>137</v>
      </c>
      <c r="Q18" s="2" t="s">
        <v>185</v>
      </c>
      <c r="R18" s="2">
        <v>7645230</v>
      </c>
      <c r="S18" s="2">
        <v>2018</v>
      </c>
      <c r="T18" s="2" t="s">
        <v>616</v>
      </c>
      <c r="U18" s="2" t="s">
        <v>37</v>
      </c>
      <c r="V18" s="2" t="s">
        <v>188</v>
      </c>
      <c r="W18" s="2" t="s">
        <v>37</v>
      </c>
      <c r="X18" s="2" t="s">
        <v>37</v>
      </c>
      <c r="Y18" s="2">
        <f>76+71+56+77+68</f>
        <v>348</v>
      </c>
      <c r="Z18" s="2">
        <v>500</v>
      </c>
      <c r="AA18" s="2">
        <f t="shared" si="0"/>
        <v>69.599999999999994</v>
      </c>
      <c r="AB18" s="2">
        <f>56+77+68</f>
        <v>201</v>
      </c>
      <c r="AC18" s="2">
        <v>300</v>
      </c>
      <c r="AD18" s="2">
        <f t="shared" si="1"/>
        <v>67</v>
      </c>
      <c r="AE18" s="2" t="s">
        <v>2762</v>
      </c>
      <c r="AF18" s="2" t="s">
        <v>2610</v>
      </c>
      <c r="AG18" s="2" t="s">
        <v>2759</v>
      </c>
      <c r="AH18" s="2">
        <v>10000</v>
      </c>
      <c r="AI18" s="2">
        <v>180000</v>
      </c>
      <c r="AJ18" s="2">
        <v>27500</v>
      </c>
      <c r="AK18" s="2">
        <f t="shared" si="2"/>
        <v>217500</v>
      </c>
      <c r="AL18" s="2" t="s">
        <v>2763</v>
      </c>
      <c r="AM18" s="2" t="s">
        <v>78</v>
      </c>
      <c r="AN18" s="2" t="s">
        <v>2764</v>
      </c>
      <c r="AO18" s="2" t="s">
        <v>912</v>
      </c>
      <c r="AP18" s="2">
        <v>800000</v>
      </c>
      <c r="AQ18" s="2" t="s">
        <v>2765</v>
      </c>
      <c r="AR18" s="4" t="s">
        <v>2766</v>
      </c>
      <c r="AS18" s="2" t="s">
        <v>2767</v>
      </c>
      <c r="AT18" s="2" t="s">
        <v>2768</v>
      </c>
      <c r="AU18" s="2" t="s">
        <v>2769</v>
      </c>
      <c r="AV18" s="2" t="s">
        <v>188</v>
      </c>
      <c r="AW18" s="2">
        <v>854305</v>
      </c>
      <c r="AX18" s="2" t="s">
        <v>2767</v>
      </c>
      <c r="AY18" s="2" t="s">
        <v>37</v>
      </c>
      <c r="AZ18" s="2">
        <v>7004450551</v>
      </c>
      <c r="BA18" s="2">
        <v>9430005233</v>
      </c>
      <c r="BB18" s="2">
        <v>9570744117</v>
      </c>
      <c r="BD18" s="3" t="s">
        <v>2770</v>
      </c>
      <c r="BE18" s="2" t="s">
        <v>1862</v>
      </c>
    </row>
    <row r="19" spans="1:58" s="2" customFormat="1" ht="80.099999999999994" customHeight="1" x14ac:dyDescent="0.25">
      <c r="A19" s="2">
        <v>17</v>
      </c>
      <c r="B19" s="2">
        <v>589</v>
      </c>
      <c r="C19" s="2" t="s">
        <v>4444</v>
      </c>
      <c r="D19" s="2" t="s">
        <v>571</v>
      </c>
      <c r="F19" s="7" t="s">
        <v>2915</v>
      </c>
      <c r="G19" s="2" t="s">
        <v>38</v>
      </c>
      <c r="H19" s="2" t="s">
        <v>35</v>
      </c>
      <c r="I19" s="2" t="s">
        <v>68</v>
      </c>
      <c r="J19" s="2" t="s">
        <v>36</v>
      </c>
      <c r="K19" s="2" t="s">
        <v>2916</v>
      </c>
      <c r="L19" s="2" t="s">
        <v>82</v>
      </c>
      <c r="M19" s="2" t="s">
        <v>2917</v>
      </c>
      <c r="N19" s="2" t="s">
        <v>2918</v>
      </c>
      <c r="O19" s="2" t="s">
        <v>2919</v>
      </c>
      <c r="P19" s="2" t="s">
        <v>73</v>
      </c>
      <c r="Q19" s="2" t="s">
        <v>185</v>
      </c>
      <c r="R19" s="2">
        <v>464811</v>
      </c>
      <c r="S19" s="2">
        <v>2018</v>
      </c>
      <c r="T19" s="2" t="s">
        <v>1483</v>
      </c>
      <c r="U19" s="2" t="s">
        <v>37</v>
      </c>
      <c r="V19" s="2" t="s">
        <v>450</v>
      </c>
      <c r="W19" s="2" t="s">
        <v>37</v>
      </c>
      <c r="X19" s="2" t="s">
        <v>37</v>
      </c>
      <c r="Y19" s="2">
        <f>67+64+71+53+50+70</f>
        <v>375</v>
      </c>
      <c r="Z19" s="2">
        <v>600</v>
      </c>
      <c r="AA19" s="2">
        <f t="shared" si="0"/>
        <v>62.5</v>
      </c>
      <c r="AB19" s="2">
        <f>53+50+70</f>
        <v>173</v>
      </c>
      <c r="AC19" s="2">
        <v>300</v>
      </c>
      <c r="AD19" s="2">
        <f t="shared" si="1"/>
        <v>57.666666666666664</v>
      </c>
      <c r="AE19" s="2" t="s">
        <v>2929</v>
      </c>
      <c r="AF19" s="2" t="s">
        <v>2914</v>
      </c>
      <c r="AG19" s="2" t="s">
        <v>2914</v>
      </c>
      <c r="AH19" s="2">
        <v>10000</v>
      </c>
      <c r="AI19" s="2">
        <v>180000</v>
      </c>
      <c r="AJ19" s="2">
        <v>27500</v>
      </c>
      <c r="AK19" s="2">
        <f t="shared" si="2"/>
        <v>217500</v>
      </c>
      <c r="AL19" s="2" t="s">
        <v>2921</v>
      </c>
      <c r="AM19" s="2" t="s">
        <v>78</v>
      </c>
      <c r="AN19" s="2" t="s">
        <v>2920</v>
      </c>
      <c r="AO19" s="2" t="s">
        <v>139</v>
      </c>
      <c r="AP19" s="2">
        <v>360000</v>
      </c>
      <c r="AQ19" s="2" t="s">
        <v>2922</v>
      </c>
      <c r="AR19" s="4" t="s">
        <v>2923</v>
      </c>
      <c r="AS19" s="2" t="s">
        <v>2924</v>
      </c>
      <c r="AT19" s="2" t="s">
        <v>2918</v>
      </c>
      <c r="AU19" s="2" t="s">
        <v>2925</v>
      </c>
      <c r="AV19" s="2" t="s">
        <v>450</v>
      </c>
      <c r="AW19" s="2">
        <v>743401</v>
      </c>
      <c r="AX19" s="2" t="s">
        <v>2926</v>
      </c>
      <c r="AY19" s="2">
        <v>9632204098</v>
      </c>
      <c r="AZ19" s="2">
        <v>7432854337</v>
      </c>
      <c r="BA19" s="2">
        <v>9734434707</v>
      </c>
      <c r="BB19" s="2">
        <v>8926469811</v>
      </c>
      <c r="BC19" s="3" t="s">
        <v>2927</v>
      </c>
      <c r="BD19" s="3" t="s">
        <v>2928</v>
      </c>
      <c r="BE19" s="25" t="s">
        <v>4329</v>
      </c>
      <c r="BF19" s="25"/>
    </row>
    <row r="20" spans="1:58" s="2" customFormat="1" ht="80.099999999999994" customHeight="1" x14ac:dyDescent="0.25">
      <c r="A20" s="2">
        <v>18</v>
      </c>
      <c r="B20" s="6">
        <v>652</v>
      </c>
      <c r="C20" s="6" t="s">
        <v>4444</v>
      </c>
      <c r="D20" s="6" t="s">
        <v>571</v>
      </c>
      <c r="F20" s="8" t="s">
        <v>3110</v>
      </c>
      <c r="G20" s="6" t="s">
        <v>91</v>
      </c>
      <c r="H20" s="6" t="s">
        <v>35</v>
      </c>
      <c r="I20" s="2" t="s">
        <v>68</v>
      </c>
      <c r="J20" s="2" t="s">
        <v>36</v>
      </c>
      <c r="K20" s="2" t="s">
        <v>157</v>
      </c>
      <c r="L20" s="2" t="s">
        <v>82</v>
      </c>
      <c r="M20" s="2" t="s">
        <v>3114</v>
      </c>
      <c r="N20" s="2" t="s">
        <v>736</v>
      </c>
      <c r="O20" s="2" t="s">
        <v>123</v>
      </c>
      <c r="P20" s="2" t="s">
        <v>62</v>
      </c>
      <c r="Q20" s="2" t="s">
        <v>185</v>
      </c>
      <c r="R20" s="2">
        <v>1811301213</v>
      </c>
      <c r="S20" s="2">
        <v>2018</v>
      </c>
      <c r="T20" s="2" t="s">
        <v>366</v>
      </c>
      <c r="U20" s="2" t="s">
        <v>37</v>
      </c>
      <c r="V20" s="2" t="s">
        <v>155</v>
      </c>
      <c r="W20" s="2" t="s">
        <v>37</v>
      </c>
      <c r="X20" s="2" t="s">
        <v>37</v>
      </c>
      <c r="Y20" s="2">
        <v>883</v>
      </c>
      <c r="Z20" s="2">
        <v>1200</v>
      </c>
      <c r="AA20" s="2">
        <f t="shared" si="0"/>
        <v>73.583333333333329</v>
      </c>
      <c r="AB20" s="2">
        <f>142+94+139</f>
        <v>375</v>
      </c>
      <c r="AC20" s="2">
        <v>600</v>
      </c>
      <c r="AD20" s="2">
        <f t="shared" si="1"/>
        <v>62.5</v>
      </c>
      <c r="AE20" s="2" t="s">
        <v>3115</v>
      </c>
      <c r="AF20" s="2" t="s">
        <v>150</v>
      </c>
      <c r="AG20" s="2" t="s">
        <v>3101</v>
      </c>
      <c r="AH20" s="2">
        <v>10000</v>
      </c>
      <c r="AI20" s="2">
        <v>165000</v>
      </c>
      <c r="AJ20" s="2">
        <v>27500</v>
      </c>
      <c r="AK20" s="2">
        <f t="shared" si="2"/>
        <v>202500</v>
      </c>
      <c r="AL20" s="2" t="s">
        <v>3116</v>
      </c>
      <c r="AM20" s="2" t="s">
        <v>87</v>
      </c>
      <c r="AN20" s="2" t="s">
        <v>3117</v>
      </c>
      <c r="AO20" s="2" t="s">
        <v>139</v>
      </c>
      <c r="AP20" s="2">
        <v>500000</v>
      </c>
      <c r="AQ20" s="2" t="s">
        <v>3119</v>
      </c>
      <c r="AR20" s="4" t="s">
        <v>3118</v>
      </c>
      <c r="AS20" s="2" t="s">
        <v>3120</v>
      </c>
      <c r="AT20" s="2" t="s">
        <v>3123</v>
      </c>
      <c r="AU20" s="2" t="s">
        <v>736</v>
      </c>
      <c r="AV20" s="2" t="s">
        <v>152</v>
      </c>
      <c r="AW20" s="2">
        <v>638001</v>
      </c>
      <c r="AX20" s="2" t="s">
        <v>3120</v>
      </c>
      <c r="AZ20" s="2">
        <v>6379184201</v>
      </c>
      <c r="BA20" s="2">
        <v>9443036869</v>
      </c>
      <c r="BB20" s="2">
        <v>9442177299</v>
      </c>
      <c r="BC20" s="3" t="s">
        <v>3121</v>
      </c>
      <c r="BD20" s="3" t="s">
        <v>3122</v>
      </c>
      <c r="BE20" s="25" t="s">
        <v>1609</v>
      </c>
      <c r="BF20" s="25" t="s">
        <v>230</v>
      </c>
    </row>
    <row r="21" spans="1:58" s="2" customFormat="1" ht="80.099999999999994" customHeight="1" x14ac:dyDescent="0.25">
      <c r="A21" s="2">
        <v>19</v>
      </c>
      <c r="B21" s="2">
        <v>657</v>
      </c>
      <c r="C21" s="2" t="s">
        <v>4444</v>
      </c>
      <c r="D21" s="2" t="s">
        <v>571</v>
      </c>
      <c r="F21" s="7" t="s">
        <v>3137</v>
      </c>
      <c r="G21" s="2" t="s">
        <v>38</v>
      </c>
      <c r="H21" s="2" t="s">
        <v>92</v>
      </c>
      <c r="I21" s="2" t="s">
        <v>68</v>
      </c>
      <c r="J21" s="2" t="s">
        <v>36</v>
      </c>
      <c r="K21" s="2" t="s">
        <v>231</v>
      </c>
      <c r="L21" s="2" t="s">
        <v>82</v>
      </c>
      <c r="M21" s="2" t="s">
        <v>1574</v>
      </c>
      <c r="N21" s="2" t="s">
        <v>3139</v>
      </c>
      <c r="O21" s="2" t="s">
        <v>72</v>
      </c>
      <c r="P21" s="2" t="s">
        <v>73</v>
      </c>
      <c r="Q21" s="2" t="s">
        <v>185</v>
      </c>
      <c r="R21" s="2">
        <v>2766629</v>
      </c>
      <c r="S21" s="2">
        <v>2018</v>
      </c>
      <c r="T21" s="2" t="s">
        <v>616</v>
      </c>
      <c r="U21" s="2" t="s">
        <v>37</v>
      </c>
      <c r="V21" s="2" t="s">
        <v>3052</v>
      </c>
      <c r="W21" s="2" t="s">
        <v>37</v>
      </c>
      <c r="X21" s="2" t="s">
        <v>37</v>
      </c>
      <c r="Y21" s="2">
        <f>70+71+60+56+83</f>
        <v>340</v>
      </c>
      <c r="Z21" s="2">
        <v>500</v>
      </c>
      <c r="AA21" s="2">
        <f t="shared" si="0"/>
        <v>68</v>
      </c>
      <c r="AB21" s="2">
        <f>71+60+56</f>
        <v>187</v>
      </c>
      <c r="AC21" s="2">
        <v>300</v>
      </c>
      <c r="AD21" s="2">
        <f t="shared" si="1"/>
        <v>62.333333333333329</v>
      </c>
      <c r="AE21" s="2" t="s">
        <v>3140</v>
      </c>
      <c r="AF21" s="2" t="s">
        <v>3101</v>
      </c>
      <c r="AG21" s="2" t="s">
        <v>3101</v>
      </c>
      <c r="AH21" s="2">
        <v>10000</v>
      </c>
      <c r="AI21" s="2">
        <v>180000</v>
      </c>
      <c r="AJ21" s="2">
        <v>27500</v>
      </c>
      <c r="AK21" s="2">
        <f t="shared" si="2"/>
        <v>217500</v>
      </c>
      <c r="AL21" s="2" t="s">
        <v>3142</v>
      </c>
      <c r="AM21" s="2" t="s">
        <v>78</v>
      </c>
      <c r="AN21" s="2" t="s">
        <v>3141</v>
      </c>
      <c r="AO21" s="2" t="s">
        <v>139</v>
      </c>
      <c r="AP21" s="2">
        <v>200000</v>
      </c>
      <c r="AQ21" s="2" t="s">
        <v>3143</v>
      </c>
      <c r="AR21" s="4" t="s">
        <v>3144</v>
      </c>
      <c r="AS21" s="2" t="s">
        <v>3145</v>
      </c>
      <c r="AT21" s="2" t="s">
        <v>3146</v>
      </c>
      <c r="AU21" s="2" t="s">
        <v>3139</v>
      </c>
      <c r="AV21" s="2" t="s">
        <v>3052</v>
      </c>
      <c r="AW21" s="2">
        <v>177001</v>
      </c>
      <c r="AX21" s="2" t="s">
        <v>3145</v>
      </c>
      <c r="AY21" s="2" t="s">
        <v>37</v>
      </c>
      <c r="AZ21" s="2">
        <v>7591000061</v>
      </c>
      <c r="BA21" s="2">
        <v>9816319816</v>
      </c>
      <c r="BB21" s="2">
        <v>9418202065</v>
      </c>
      <c r="BD21" s="3" t="s">
        <v>3147</v>
      </c>
      <c r="BE21" s="2" t="s">
        <v>3148</v>
      </c>
      <c r="BF21" s="2" t="s">
        <v>1469</v>
      </c>
    </row>
    <row r="22" spans="1:58" s="2" customFormat="1" ht="80.099999999999994" customHeight="1" x14ac:dyDescent="0.25">
      <c r="A22" s="2">
        <v>20</v>
      </c>
      <c r="B22" s="6">
        <v>669</v>
      </c>
      <c r="C22" s="6" t="s">
        <v>4444</v>
      </c>
      <c r="D22" s="6" t="s">
        <v>571</v>
      </c>
      <c r="F22" s="8" t="s">
        <v>3178</v>
      </c>
      <c r="G22" s="6" t="s">
        <v>38</v>
      </c>
      <c r="H22" s="6" t="s">
        <v>35</v>
      </c>
      <c r="I22" s="2" t="s">
        <v>68</v>
      </c>
      <c r="J22" s="2" t="s">
        <v>36</v>
      </c>
      <c r="K22" s="2" t="s">
        <v>1804</v>
      </c>
      <c r="L22" s="2" t="s">
        <v>82</v>
      </c>
      <c r="M22" s="2" t="s">
        <v>2998</v>
      </c>
      <c r="N22" s="2" t="s">
        <v>1805</v>
      </c>
      <c r="O22" s="2" t="s">
        <v>795</v>
      </c>
      <c r="P22" s="2" t="s">
        <v>73</v>
      </c>
      <c r="Q22" s="2" t="s">
        <v>185</v>
      </c>
      <c r="R22" s="2">
        <v>4838284</v>
      </c>
      <c r="S22" s="2">
        <v>2018</v>
      </c>
      <c r="T22" s="2" t="s">
        <v>616</v>
      </c>
      <c r="U22" s="2" t="s">
        <v>37</v>
      </c>
      <c r="V22" s="2" t="s">
        <v>794</v>
      </c>
      <c r="W22" s="2" t="s">
        <v>37</v>
      </c>
      <c r="X22" s="2" t="s">
        <v>37</v>
      </c>
      <c r="Y22" s="2">
        <f>61+34+52+55+86</f>
        <v>288</v>
      </c>
      <c r="Z22" s="2">
        <v>500</v>
      </c>
      <c r="AA22" s="2">
        <f t="shared" si="0"/>
        <v>57.599999999999994</v>
      </c>
      <c r="AB22" s="2">
        <f>34+52+55</f>
        <v>141</v>
      </c>
      <c r="AC22" s="2">
        <v>300</v>
      </c>
      <c r="AD22" s="2">
        <f t="shared" si="1"/>
        <v>47</v>
      </c>
      <c r="AE22" s="2" t="s">
        <v>3227</v>
      </c>
      <c r="AF22" s="2" t="s">
        <v>3163</v>
      </c>
      <c r="AG22" s="2" t="s">
        <v>3163</v>
      </c>
      <c r="AH22" s="2">
        <v>10000</v>
      </c>
      <c r="AI22" s="2">
        <v>180000</v>
      </c>
      <c r="AJ22" s="2">
        <v>27500</v>
      </c>
      <c r="AK22" s="2">
        <f t="shared" si="2"/>
        <v>217500</v>
      </c>
      <c r="AL22" s="2" t="s">
        <v>3228</v>
      </c>
      <c r="AM22" s="2" t="s">
        <v>1818</v>
      </c>
      <c r="AN22" s="2" t="s">
        <v>3229</v>
      </c>
      <c r="AO22" s="2" t="s">
        <v>3230</v>
      </c>
      <c r="AP22" s="2">
        <v>500000</v>
      </c>
      <c r="AQ22" s="2" t="s">
        <v>3231</v>
      </c>
      <c r="AR22" s="4" t="s">
        <v>3232</v>
      </c>
      <c r="AS22" s="2" t="s">
        <v>3233</v>
      </c>
      <c r="AT22" s="2" t="s">
        <v>3234</v>
      </c>
      <c r="AU22" s="2" t="s">
        <v>1988</v>
      </c>
      <c r="AV22" s="2" t="s">
        <v>794</v>
      </c>
      <c r="AW22" s="2">
        <v>670741</v>
      </c>
      <c r="AX22" s="2" t="s">
        <v>3233</v>
      </c>
      <c r="AY22" s="2" t="s">
        <v>37</v>
      </c>
      <c r="AZ22" s="2">
        <v>9400156703</v>
      </c>
      <c r="BA22" s="2">
        <v>9446459069</v>
      </c>
      <c r="BB22" s="2">
        <v>9447816303</v>
      </c>
      <c r="BD22" s="3" t="s">
        <v>3235</v>
      </c>
      <c r="BE22" s="2" t="s">
        <v>3382</v>
      </c>
    </row>
    <row r="23" spans="1:58" s="2" customFormat="1" ht="80.099999999999994" customHeight="1" x14ac:dyDescent="0.25">
      <c r="A23" s="2">
        <v>21</v>
      </c>
      <c r="B23" s="6">
        <v>678</v>
      </c>
      <c r="C23" s="6" t="s">
        <v>4444</v>
      </c>
      <c r="D23" s="6" t="s">
        <v>571</v>
      </c>
      <c r="F23" s="8" t="s">
        <v>3259</v>
      </c>
      <c r="G23" s="6" t="s">
        <v>38</v>
      </c>
      <c r="H23" s="6" t="s">
        <v>35</v>
      </c>
      <c r="I23" s="2" t="s">
        <v>68</v>
      </c>
      <c r="J23" s="2" t="s">
        <v>36</v>
      </c>
      <c r="K23" s="2" t="s">
        <v>1774</v>
      </c>
      <c r="L23" s="2" t="s">
        <v>82</v>
      </c>
      <c r="M23" s="2" t="s">
        <v>3291</v>
      </c>
      <c r="N23" s="2" t="s">
        <v>1568</v>
      </c>
      <c r="O23" s="2" t="s">
        <v>83</v>
      </c>
      <c r="P23" s="2" t="s">
        <v>85</v>
      </c>
      <c r="Q23" s="2" t="s">
        <v>185</v>
      </c>
      <c r="R23" s="2">
        <v>1808220486</v>
      </c>
      <c r="S23" s="2">
        <v>2018</v>
      </c>
      <c r="T23" s="2" t="s">
        <v>89</v>
      </c>
      <c r="U23" s="2" t="s">
        <v>37</v>
      </c>
      <c r="V23" s="2" t="s">
        <v>215</v>
      </c>
      <c r="W23" s="2">
        <v>507</v>
      </c>
      <c r="X23" s="2">
        <f>W23/1000*100</f>
        <v>50.7</v>
      </c>
      <c r="Y23" s="2">
        <f>69+45+28+31+22+27+30+30</f>
        <v>282</v>
      </c>
      <c r="Z23" s="2">
        <v>530</v>
      </c>
      <c r="AA23" s="2">
        <f t="shared" si="0"/>
        <v>53.20754716981132</v>
      </c>
      <c r="AB23" s="2">
        <f>36+30+36+27+28+31+22+27+30+30</f>
        <v>297</v>
      </c>
      <c r="AC23" s="2">
        <v>600</v>
      </c>
      <c r="AD23" s="2">
        <f t="shared" si="1"/>
        <v>49.5</v>
      </c>
      <c r="AE23" s="2" t="s">
        <v>3274</v>
      </c>
      <c r="AF23" s="2" t="s">
        <v>3163</v>
      </c>
      <c r="AG23" s="2" t="s">
        <v>3163</v>
      </c>
      <c r="AH23" s="2">
        <v>10000</v>
      </c>
      <c r="AI23" s="2">
        <v>180000</v>
      </c>
      <c r="AJ23" s="2">
        <v>27500</v>
      </c>
      <c r="AK23" s="2">
        <f t="shared" si="2"/>
        <v>217500</v>
      </c>
      <c r="AL23" s="2" t="s">
        <v>3292</v>
      </c>
      <c r="AM23" s="2" t="s">
        <v>87</v>
      </c>
      <c r="AN23" s="2" t="s">
        <v>3293</v>
      </c>
      <c r="AO23" s="2" t="s">
        <v>139</v>
      </c>
      <c r="AP23" s="2">
        <v>50000</v>
      </c>
      <c r="AQ23" s="2" t="s">
        <v>3294</v>
      </c>
      <c r="AR23" s="4" t="s">
        <v>3295</v>
      </c>
      <c r="AS23" s="2" t="s">
        <v>3296</v>
      </c>
      <c r="AT23" s="2" t="s">
        <v>3297</v>
      </c>
      <c r="AU23" s="2" t="s">
        <v>1568</v>
      </c>
      <c r="AV23" s="2" t="s">
        <v>215</v>
      </c>
      <c r="AW23" s="2">
        <v>524101</v>
      </c>
      <c r="AX23" s="2" t="s">
        <v>3296</v>
      </c>
      <c r="AY23" s="2" t="s">
        <v>37</v>
      </c>
      <c r="AZ23" s="2">
        <v>9515728439</v>
      </c>
      <c r="BA23" s="2">
        <v>9440078492</v>
      </c>
      <c r="BB23" s="2">
        <v>9963195988</v>
      </c>
      <c r="BD23" s="3" t="s">
        <v>3298</v>
      </c>
      <c r="BE23" s="2" t="s">
        <v>2756</v>
      </c>
      <c r="BF23" s="2" t="s">
        <v>379</v>
      </c>
    </row>
    <row r="24" spans="1:58" s="2" customFormat="1" ht="80.099999999999994" customHeight="1" x14ac:dyDescent="0.25">
      <c r="A24" s="2">
        <v>22</v>
      </c>
      <c r="B24" s="6">
        <v>684</v>
      </c>
      <c r="C24" s="6" t="s">
        <v>4444</v>
      </c>
      <c r="D24" s="2" t="s">
        <v>571</v>
      </c>
      <c r="F24" s="7" t="s">
        <v>3314</v>
      </c>
      <c r="G24" s="2" t="s">
        <v>38</v>
      </c>
      <c r="H24" s="2" t="s">
        <v>92</v>
      </c>
      <c r="I24" s="2" t="s">
        <v>68</v>
      </c>
      <c r="J24" s="2" t="s">
        <v>3327</v>
      </c>
      <c r="K24" s="2" t="s">
        <v>3328</v>
      </c>
      <c r="L24" s="2" t="s">
        <v>82</v>
      </c>
      <c r="M24" s="2" t="s">
        <v>3329</v>
      </c>
      <c r="N24" s="2" t="s">
        <v>3330</v>
      </c>
      <c r="O24" s="2" t="s">
        <v>3051</v>
      </c>
      <c r="P24" s="2" t="s">
        <v>62</v>
      </c>
      <c r="Q24" s="2" t="s">
        <v>185</v>
      </c>
      <c r="R24" s="2">
        <v>2761223</v>
      </c>
      <c r="S24" s="2">
        <v>2018</v>
      </c>
      <c r="T24" s="2" t="s">
        <v>616</v>
      </c>
      <c r="U24" s="2" t="s">
        <v>37</v>
      </c>
      <c r="V24" s="2" t="s">
        <v>3330</v>
      </c>
      <c r="W24" s="2" t="s">
        <v>37</v>
      </c>
      <c r="X24" s="2" t="s">
        <v>37</v>
      </c>
      <c r="Y24" s="2">
        <f>93+78+65+56+86</f>
        <v>378</v>
      </c>
      <c r="Z24" s="2">
        <v>500</v>
      </c>
      <c r="AA24" s="2">
        <f t="shared" si="0"/>
        <v>75.599999999999994</v>
      </c>
      <c r="AB24" s="2">
        <f>78+65+56</f>
        <v>199</v>
      </c>
      <c r="AC24" s="2">
        <v>300</v>
      </c>
      <c r="AD24" s="2">
        <f t="shared" si="1"/>
        <v>66.333333333333329</v>
      </c>
      <c r="AE24" s="2" t="s">
        <v>3318</v>
      </c>
      <c r="AF24" s="2" t="s">
        <v>3319</v>
      </c>
      <c r="AG24" s="2" t="s">
        <v>3319</v>
      </c>
      <c r="AH24" s="2">
        <v>10000</v>
      </c>
      <c r="AI24" s="2">
        <v>180000</v>
      </c>
      <c r="AJ24" s="2">
        <v>27500</v>
      </c>
      <c r="AK24" s="2">
        <f t="shared" si="2"/>
        <v>217500</v>
      </c>
      <c r="AL24" s="2" t="s">
        <v>3331</v>
      </c>
      <c r="AM24" s="2" t="s">
        <v>99</v>
      </c>
      <c r="AN24" s="2" t="s">
        <v>3332</v>
      </c>
      <c r="AO24" s="2" t="s">
        <v>3333</v>
      </c>
      <c r="AP24" s="2">
        <v>500000</v>
      </c>
      <c r="AQ24" s="2" t="s">
        <v>3340</v>
      </c>
      <c r="AR24" s="4" t="s">
        <v>3334</v>
      </c>
      <c r="AS24" s="2" t="s">
        <v>3335</v>
      </c>
      <c r="AT24" s="2" t="s">
        <v>3336</v>
      </c>
      <c r="AU24" s="2" t="s">
        <v>3337</v>
      </c>
      <c r="AV24" s="2" t="s">
        <v>3330</v>
      </c>
      <c r="AW24" s="2">
        <v>148109</v>
      </c>
      <c r="AX24" s="2" t="s">
        <v>3335</v>
      </c>
      <c r="AZ24" s="2">
        <v>8264154115</v>
      </c>
      <c r="BA24" s="2">
        <v>7252813813</v>
      </c>
      <c r="BB24" s="2">
        <v>9463824099</v>
      </c>
      <c r="BC24" s="3" t="s">
        <v>3338</v>
      </c>
      <c r="BD24" s="3" t="s">
        <v>3339</v>
      </c>
      <c r="BE24" s="2" t="s">
        <v>1862</v>
      </c>
      <c r="BF24" s="2" t="s">
        <v>37</v>
      </c>
    </row>
    <row r="25" spans="1:58" s="2" customFormat="1" ht="80.099999999999994" customHeight="1" x14ac:dyDescent="0.25">
      <c r="A25" s="2">
        <v>23</v>
      </c>
      <c r="B25" s="2">
        <v>688</v>
      </c>
      <c r="C25" s="2" t="s">
        <v>4444</v>
      </c>
      <c r="D25" s="2" t="s">
        <v>571</v>
      </c>
      <c r="F25" s="7" t="s">
        <v>3316</v>
      </c>
      <c r="G25" s="2" t="s">
        <v>38</v>
      </c>
      <c r="H25" s="2" t="s">
        <v>35</v>
      </c>
      <c r="I25" s="2" t="s">
        <v>68</v>
      </c>
      <c r="J25" s="2" t="s">
        <v>36</v>
      </c>
      <c r="K25" s="2" t="s">
        <v>347</v>
      </c>
      <c r="L25" s="2" t="s">
        <v>82</v>
      </c>
      <c r="M25" s="2" t="s">
        <v>1323</v>
      </c>
      <c r="N25" s="2" t="s">
        <v>3342</v>
      </c>
      <c r="O25" s="2" t="s">
        <v>83</v>
      </c>
      <c r="Q25" s="2" t="s">
        <v>185</v>
      </c>
      <c r="R25" s="2">
        <v>4612078</v>
      </c>
      <c r="S25" s="2">
        <v>2018</v>
      </c>
      <c r="T25" s="2" t="s">
        <v>616</v>
      </c>
      <c r="U25" s="2" t="s">
        <v>37</v>
      </c>
      <c r="V25" s="2" t="s">
        <v>152</v>
      </c>
      <c r="W25" s="2" t="s">
        <v>37</v>
      </c>
      <c r="X25" s="2" t="s">
        <v>37</v>
      </c>
      <c r="Y25" s="2">
        <f>79+72+62+70+33+78</f>
        <v>394</v>
      </c>
      <c r="Z25" s="2">
        <v>600</v>
      </c>
      <c r="AA25" s="2">
        <f t="shared" si="0"/>
        <v>65.666666666666657</v>
      </c>
      <c r="AB25" s="2">
        <f>72+62+33</f>
        <v>167</v>
      </c>
      <c r="AC25" s="2">
        <v>300</v>
      </c>
      <c r="AD25" s="2">
        <f t="shared" si="1"/>
        <v>55.666666666666664</v>
      </c>
      <c r="AE25" s="2" t="s">
        <v>1712</v>
      </c>
      <c r="AF25" s="2" t="s">
        <v>1219</v>
      </c>
      <c r="AG25" s="2" t="s">
        <v>3319</v>
      </c>
      <c r="AH25" s="2">
        <v>10000</v>
      </c>
      <c r="AI25" s="2">
        <v>180000</v>
      </c>
      <c r="AJ25" s="2">
        <v>27500</v>
      </c>
      <c r="AK25" s="2">
        <f t="shared" si="2"/>
        <v>217500</v>
      </c>
      <c r="AL25" s="2" t="s">
        <v>3343</v>
      </c>
      <c r="AM25" s="2" t="s">
        <v>87</v>
      </c>
      <c r="AN25" s="2" t="s">
        <v>3344</v>
      </c>
      <c r="AO25" s="2" t="s">
        <v>139</v>
      </c>
      <c r="AP25" s="2">
        <v>250000</v>
      </c>
      <c r="AQ25" s="2" t="s">
        <v>3345</v>
      </c>
      <c r="AR25" s="4" t="s">
        <v>3346</v>
      </c>
      <c r="AS25" s="2" t="s">
        <v>3347</v>
      </c>
      <c r="AT25" s="2" t="s">
        <v>3348</v>
      </c>
      <c r="AU25" s="2" t="s">
        <v>437</v>
      </c>
      <c r="AV25" s="2" t="s">
        <v>229</v>
      </c>
      <c r="AW25" s="2">
        <v>395005</v>
      </c>
      <c r="AX25" s="2" t="s">
        <v>3347</v>
      </c>
      <c r="AY25" s="2" t="s">
        <v>37</v>
      </c>
      <c r="AZ25" s="2">
        <v>6354851323</v>
      </c>
      <c r="BA25" s="2">
        <v>9978537006</v>
      </c>
      <c r="BB25" s="2">
        <v>9978537004</v>
      </c>
      <c r="BC25" s="3" t="s">
        <v>3349</v>
      </c>
      <c r="BD25" s="3" t="s">
        <v>3350</v>
      </c>
      <c r="BE25" s="2" t="s">
        <v>1862</v>
      </c>
      <c r="BF25" s="2" t="s">
        <v>37</v>
      </c>
    </row>
    <row r="26" spans="1:58" s="2" customFormat="1" ht="80.099999999999994" customHeight="1" x14ac:dyDescent="0.25">
      <c r="A26" s="2">
        <v>24</v>
      </c>
      <c r="B26" s="6">
        <v>789</v>
      </c>
      <c r="C26" s="6" t="s">
        <v>4444</v>
      </c>
      <c r="D26" s="6" t="s">
        <v>571</v>
      </c>
      <c r="F26" s="8" t="s">
        <v>3475</v>
      </c>
      <c r="G26" s="6" t="s">
        <v>38</v>
      </c>
      <c r="H26" s="6" t="s">
        <v>35</v>
      </c>
      <c r="I26" s="2" t="s">
        <v>68</v>
      </c>
      <c r="J26" s="2" t="s">
        <v>36</v>
      </c>
      <c r="K26" s="2" t="s">
        <v>157</v>
      </c>
      <c r="L26" s="2" t="s">
        <v>82</v>
      </c>
      <c r="M26" s="2" t="s">
        <v>1348</v>
      </c>
      <c r="N26" s="2" t="s">
        <v>3699</v>
      </c>
      <c r="O26" s="2" t="s">
        <v>72</v>
      </c>
      <c r="Q26" s="2" t="s">
        <v>185</v>
      </c>
      <c r="R26" s="2">
        <v>5968926</v>
      </c>
      <c r="S26" s="2">
        <v>2017</v>
      </c>
      <c r="T26" s="2" t="s">
        <v>184</v>
      </c>
      <c r="V26" s="2" t="s">
        <v>80</v>
      </c>
      <c r="W26" s="2" t="s">
        <v>37</v>
      </c>
      <c r="X26" s="2" t="s">
        <v>37</v>
      </c>
      <c r="Y26" s="2">
        <f>74+84+74+68+57</f>
        <v>357</v>
      </c>
      <c r="Z26" s="2">
        <v>500</v>
      </c>
      <c r="AA26" s="2">
        <f t="shared" si="0"/>
        <v>71.399999999999991</v>
      </c>
      <c r="AB26" s="2">
        <f>74+68+57</f>
        <v>199</v>
      </c>
      <c r="AC26" s="2">
        <v>300</v>
      </c>
      <c r="AD26" s="2">
        <f t="shared" si="1"/>
        <v>66.333333333333329</v>
      </c>
      <c r="AE26" s="2" t="s">
        <v>3700</v>
      </c>
      <c r="AF26" s="2" t="s">
        <v>3163</v>
      </c>
      <c r="AG26" s="2" t="s">
        <v>3681</v>
      </c>
      <c r="AH26" s="2">
        <v>10000</v>
      </c>
      <c r="AI26" s="2">
        <v>180000</v>
      </c>
      <c r="AJ26" s="2">
        <v>27500</v>
      </c>
      <c r="AK26" s="2">
        <f t="shared" si="2"/>
        <v>217500</v>
      </c>
      <c r="AL26" s="2" t="s">
        <v>3701</v>
      </c>
      <c r="AM26" s="2" t="s">
        <v>78</v>
      </c>
      <c r="AN26" s="2" t="s">
        <v>3702</v>
      </c>
      <c r="AO26" s="2" t="s">
        <v>3703</v>
      </c>
      <c r="AP26" s="2">
        <v>120000</v>
      </c>
      <c r="AQ26" s="2" t="s">
        <v>3709</v>
      </c>
      <c r="AR26" s="4" t="s">
        <v>3705</v>
      </c>
      <c r="AS26" s="2" t="s">
        <v>3704</v>
      </c>
      <c r="AT26" s="2" t="s">
        <v>3706</v>
      </c>
      <c r="AU26" s="2" t="s">
        <v>3707</v>
      </c>
      <c r="AV26" s="2" t="s">
        <v>80</v>
      </c>
      <c r="AW26" s="2">
        <v>271801</v>
      </c>
      <c r="AX26" s="2" t="s">
        <v>3704</v>
      </c>
      <c r="AZ26" s="2">
        <v>9636064875</v>
      </c>
      <c r="BA26" s="2">
        <v>9919942904</v>
      </c>
      <c r="BB26" s="2">
        <v>9839801201</v>
      </c>
      <c r="BD26" s="3" t="s">
        <v>3708</v>
      </c>
      <c r="BE26" s="2" t="s">
        <v>1863</v>
      </c>
      <c r="BF26" s="2" t="s">
        <v>1066</v>
      </c>
    </row>
    <row r="27" spans="1:58" s="2" customFormat="1" ht="80.099999999999994" customHeight="1" x14ac:dyDescent="0.25">
      <c r="A27" s="2">
        <v>25</v>
      </c>
      <c r="B27" s="6">
        <v>803</v>
      </c>
      <c r="C27" s="6" t="s">
        <v>4444</v>
      </c>
      <c r="D27" s="6" t="s">
        <v>571</v>
      </c>
      <c r="F27" s="8" t="s">
        <v>3481</v>
      </c>
      <c r="G27" s="6" t="s">
        <v>38</v>
      </c>
      <c r="H27" s="6" t="s">
        <v>35</v>
      </c>
      <c r="I27" s="2" t="s">
        <v>68</v>
      </c>
      <c r="J27" s="2" t="s">
        <v>36</v>
      </c>
      <c r="K27" s="2" t="s">
        <v>69</v>
      </c>
      <c r="L27" s="2" t="s">
        <v>82</v>
      </c>
      <c r="M27" s="2" t="s">
        <v>3768</v>
      </c>
      <c r="N27" s="2" t="s">
        <v>2261</v>
      </c>
      <c r="O27" s="2" t="s">
        <v>72</v>
      </c>
      <c r="P27" s="2" t="s">
        <v>85</v>
      </c>
      <c r="Q27" s="2" t="s">
        <v>185</v>
      </c>
      <c r="R27" s="2">
        <v>6616260</v>
      </c>
      <c r="S27" s="2">
        <v>2018</v>
      </c>
      <c r="T27" s="2" t="s">
        <v>616</v>
      </c>
      <c r="U27" s="2" t="s">
        <v>37</v>
      </c>
      <c r="V27" s="2" t="s">
        <v>3769</v>
      </c>
      <c r="W27" s="2" t="s">
        <v>37</v>
      </c>
      <c r="X27" s="2" t="s">
        <v>37</v>
      </c>
      <c r="Y27" s="2">
        <f>77+79+70+71+76</f>
        <v>373</v>
      </c>
      <c r="Z27" s="2">
        <v>500</v>
      </c>
      <c r="AA27" s="2">
        <f t="shared" si="0"/>
        <v>74.599999999999994</v>
      </c>
      <c r="AB27" s="2">
        <f>79+70+71</f>
        <v>220</v>
      </c>
      <c r="AC27" s="2">
        <v>300</v>
      </c>
      <c r="AD27" s="2">
        <f t="shared" si="1"/>
        <v>73.333333333333329</v>
      </c>
      <c r="AE27" s="2" t="s">
        <v>3770</v>
      </c>
      <c r="AF27" s="2" t="s">
        <v>3681</v>
      </c>
      <c r="AG27" s="2" t="s">
        <v>3681</v>
      </c>
      <c r="AH27" s="2">
        <v>10000</v>
      </c>
      <c r="AI27" s="2">
        <v>180000</v>
      </c>
      <c r="AJ27" s="2">
        <v>27500</v>
      </c>
      <c r="AK27" s="2">
        <f t="shared" si="2"/>
        <v>217500</v>
      </c>
      <c r="AL27" s="2" t="s">
        <v>3771</v>
      </c>
      <c r="AM27" s="2" t="s">
        <v>139</v>
      </c>
      <c r="AN27" s="2" t="s">
        <v>3772</v>
      </c>
      <c r="AO27" s="2" t="s">
        <v>139</v>
      </c>
      <c r="AP27" s="2">
        <v>100000</v>
      </c>
      <c r="AQ27" s="2" t="s">
        <v>3773</v>
      </c>
      <c r="AR27" s="4" t="s">
        <v>3774</v>
      </c>
      <c r="AS27" s="2" t="s">
        <v>3777</v>
      </c>
      <c r="AT27" s="2" t="s">
        <v>3775</v>
      </c>
      <c r="AU27" s="2" t="s">
        <v>3776</v>
      </c>
      <c r="AV27" s="2" t="s">
        <v>1762</v>
      </c>
      <c r="AW27" s="2">
        <v>835226</v>
      </c>
      <c r="AX27" s="2" t="s">
        <v>3778</v>
      </c>
      <c r="AZ27" s="2">
        <v>9348848563</v>
      </c>
      <c r="BA27" s="2">
        <v>9438716618</v>
      </c>
      <c r="BC27" s="3" t="s">
        <v>3779</v>
      </c>
      <c r="BD27" s="3" t="s">
        <v>3780</v>
      </c>
      <c r="BE27" s="2" t="s">
        <v>1862</v>
      </c>
      <c r="BF27" s="2" t="s">
        <v>37</v>
      </c>
    </row>
    <row r="28" spans="1:58" s="2" customFormat="1" ht="80.099999999999994" customHeight="1" x14ac:dyDescent="0.25">
      <c r="A28" s="2">
        <v>26</v>
      </c>
      <c r="B28" s="6">
        <v>808</v>
      </c>
      <c r="C28" s="6" t="s">
        <v>4444</v>
      </c>
      <c r="D28" s="6" t="s">
        <v>571</v>
      </c>
      <c r="F28" s="8" t="s">
        <v>3483</v>
      </c>
      <c r="G28" s="6" t="s">
        <v>3484</v>
      </c>
      <c r="H28" s="6" t="s">
        <v>35</v>
      </c>
      <c r="I28" s="2" t="s">
        <v>2815</v>
      </c>
      <c r="J28" s="2" t="s">
        <v>36</v>
      </c>
      <c r="K28" s="2" t="s">
        <v>2273</v>
      </c>
      <c r="L28" s="2" t="s">
        <v>82</v>
      </c>
      <c r="M28" s="2" t="s">
        <v>3791</v>
      </c>
      <c r="N28" s="2" t="s">
        <v>3792</v>
      </c>
      <c r="O28" s="2" t="s">
        <v>2815</v>
      </c>
      <c r="P28" s="2" t="s">
        <v>85</v>
      </c>
      <c r="Q28" s="2" t="s">
        <v>185</v>
      </c>
      <c r="S28" s="2">
        <v>2018</v>
      </c>
      <c r="T28" s="2" t="s">
        <v>3793</v>
      </c>
      <c r="U28" s="2" t="s">
        <v>37</v>
      </c>
      <c r="V28" s="2" t="s">
        <v>3484</v>
      </c>
      <c r="AE28" s="2" t="s">
        <v>3794</v>
      </c>
      <c r="AG28" s="2" t="s">
        <v>3681</v>
      </c>
      <c r="AH28" s="2">
        <v>70000</v>
      </c>
      <c r="AI28" s="2">
        <v>180000</v>
      </c>
      <c r="AL28" s="2" t="s">
        <v>3795</v>
      </c>
      <c r="AM28" s="2" t="s">
        <v>78</v>
      </c>
      <c r="AN28" s="2" t="s">
        <v>3796</v>
      </c>
      <c r="AO28" s="2" t="s">
        <v>139</v>
      </c>
      <c r="AP28" s="2">
        <v>500000</v>
      </c>
      <c r="AR28" s="4"/>
      <c r="AS28" s="2" t="s">
        <v>3797</v>
      </c>
      <c r="AT28" s="2" t="s">
        <v>3798</v>
      </c>
      <c r="AU28" s="2" t="s">
        <v>3799</v>
      </c>
      <c r="AV28" s="2" t="s">
        <v>3484</v>
      </c>
      <c r="AX28" s="2" t="s">
        <v>3800</v>
      </c>
      <c r="AZ28" s="2" t="s">
        <v>3801</v>
      </c>
      <c r="BD28" s="3" t="s">
        <v>3802</v>
      </c>
      <c r="BE28" s="2" t="s">
        <v>3281</v>
      </c>
      <c r="BF28" s="2" t="s">
        <v>113</v>
      </c>
    </row>
    <row r="29" spans="1:58" s="2" customFormat="1" ht="80.099999999999994" customHeight="1" x14ac:dyDescent="0.25">
      <c r="A29" s="2">
        <v>27</v>
      </c>
      <c r="B29" s="6">
        <v>825</v>
      </c>
      <c r="C29" s="6" t="s">
        <v>4444</v>
      </c>
      <c r="D29" s="6" t="s">
        <v>571</v>
      </c>
      <c r="F29" s="8" t="s">
        <v>3491</v>
      </c>
      <c r="G29" s="6" t="s">
        <v>1505</v>
      </c>
      <c r="H29" s="6" t="s">
        <v>35</v>
      </c>
      <c r="I29" s="2" t="s">
        <v>68</v>
      </c>
      <c r="J29" s="2" t="s">
        <v>158</v>
      </c>
      <c r="K29" s="2" t="s">
        <v>3859</v>
      </c>
      <c r="L29" s="2" t="s">
        <v>136</v>
      </c>
      <c r="M29" s="2" t="s">
        <v>3860</v>
      </c>
      <c r="N29" s="2" t="s">
        <v>3861</v>
      </c>
      <c r="O29" s="2" t="s">
        <v>72</v>
      </c>
      <c r="P29" s="2" t="s">
        <v>85</v>
      </c>
      <c r="Q29" s="2" t="s">
        <v>185</v>
      </c>
      <c r="R29" s="2">
        <v>2443165</v>
      </c>
      <c r="S29" s="2">
        <v>2016</v>
      </c>
      <c r="T29" s="2" t="s">
        <v>3862</v>
      </c>
      <c r="U29" s="2" t="s">
        <v>37</v>
      </c>
      <c r="V29" s="2" t="s">
        <v>80</v>
      </c>
      <c r="W29" s="2" t="s">
        <v>37</v>
      </c>
      <c r="X29" s="2" t="s">
        <v>37</v>
      </c>
      <c r="Y29" s="2">
        <v>420</v>
      </c>
      <c r="Z29" s="2">
        <v>500</v>
      </c>
      <c r="AA29" s="2">
        <f t="shared" ref="AA29:AA34" si="3">Y29/Z29*100</f>
        <v>84</v>
      </c>
      <c r="AB29" s="2">
        <f>96+88+84</f>
        <v>268</v>
      </c>
      <c r="AC29" s="2">
        <v>300</v>
      </c>
      <c r="AD29" s="2">
        <f t="shared" ref="AD29:AD34" si="4">AB29/AC29*100</f>
        <v>89.333333333333329</v>
      </c>
      <c r="AE29" s="2" t="s">
        <v>3863</v>
      </c>
      <c r="AF29" s="2" t="s">
        <v>3497</v>
      </c>
      <c r="AG29" s="2" t="s">
        <v>3840</v>
      </c>
      <c r="AH29" s="2">
        <v>10000</v>
      </c>
      <c r="AI29" s="2">
        <v>165000</v>
      </c>
      <c r="AJ29" s="2">
        <v>27500</v>
      </c>
      <c r="AK29" s="2">
        <f t="shared" ref="AK29:AK35" si="5">AH29+AI29+AJ29</f>
        <v>202500</v>
      </c>
      <c r="AL29" s="2" t="s">
        <v>3864</v>
      </c>
      <c r="AM29" s="2" t="s">
        <v>78</v>
      </c>
      <c r="AN29" s="2" t="s">
        <v>3865</v>
      </c>
      <c r="AO29" s="2" t="s">
        <v>139</v>
      </c>
      <c r="AP29" s="2" t="s">
        <v>3866</v>
      </c>
      <c r="AQ29" s="2" t="s">
        <v>3867</v>
      </c>
      <c r="AR29" s="4" t="s">
        <v>3868</v>
      </c>
      <c r="AS29" s="2" t="s">
        <v>3869</v>
      </c>
      <c r="AT29" s="2" t="s">
        <v>3870</v>
      </c>
      <c r="AU29" s="2" t="s">
        <v>3871</v>
      </c>
      <c r="AV29" s="2" t="s">
        <v>2802</v>
      </c>
      <c r="AW29" s="2">
        <v>276403</v>
      </c>
      <c r="AX29" s="2" t="s">
        <v>3869</v>
      </c>
      <c r="AZ29" s="2">
        <v>9044343233</v>
      </c>
      <c r="BA29" s="2">
        <v>9450755388</v>
      </c>
      <c r="BD29" s="3" t="s">
        <v>3872</v>
      </c>
      <c r="BE29" s="2" t="s">
        <v>1609</v>
      </c>
      <c r="BF29" s="2" t="s">
        <v>230</v>
      </c>
    </row>
    <row r="30" spans="1:58" s="2" customFormat="1" ht="80.099999999999994" customHeight="1" x14ac:dyDescent="0.25">
      <c r="A30" s="2">
        <v>28</v>
      </c>
      <c r="B30" s="6">
        <v>828</v>
      </c>
      <c r="C30" s="6" t="s">
        <v>4444</v>
      </c>
      <c r="D30" s="6" t="s">
        <v>571</v>
      </c>
      <c r="F30" s="8" t="s">
        <v>3493</v>
      </c>
      <c r="G30" s="6" t="s">
        <v>38</v>
      </c>
      <c r="H30" s="6" t="s">
        <v>35</v>
      </c>
      <c r="I30" s="2" t="s">
        <v>68</v>
      </c>
      <c r="J30" s="2" t="s">
        <v>36</v>
      </c>
      <c r="K30" s="2" t="s">
        <v>1459</v>
      </c>
      <c r="L30" s="2" t="s">
        <v>82</v>
      </c>
      <c r="M30" s="2" t="s">
        <v>3879</v>
      </c>
      <c r="N30" s="2" t="s">
        <v>215</v>
      </c>
      <c r="O30" s="2" t="s">
        <v>83</v>
      </c>
      <c r="P30" s="2" t="s">
        <v>73</v>
      </c>
      <c r="Q30" s="2" t="s">
        <v>185</v>
      </c>
      <c r="R30" s="2">
        <v>1805218576</v>
      </c>
      <c r="S30" s="2">
        <v>2018</v>
      </c>
      <c r="T30" s="2" t="s">
        <v>89</v>
      </c>
      <c r="U30" s="2" t="s">
        <v>37</v>
      </c>
      <c r="V30" s="2" t="s">
        <v>215</v>
      </c>
      <c r="W30" s="2">
        <v>501</v>
      </c>
      <c r="X30" s="2">
        <f>W30/1000*100</f>
        <v>50.1</v>
      </c>
      <c r="Y30" s="2">
        <f>70+35+43+45+45+46+25+16</f>
        <v>325</v>
      </c>
      <c r="Z30" s="2">
        <v>530</v>
      </c>
      <c r="AA30" s="2">
        <f t="shared" si="3"/>
        <v>61.320754716981128</v>
      </c>
      <c r="AB30" s="2">
        <f>27+26+25+21+43+45+45+46+25+16</f>
        <v>319</v>
      </c>
      <c r="AC30" s="2">
        <v>600</v>
      </c>
      <c r="AD30" s="2">
        <f t="shared" si="4"/>
        <v>53.166666666666664</v>
      </c>
      <c r="AE30" s="2" t="s">
        <v>3880</v>
      </c>
      <c r="AF30" s="2" t="s">
        <v>3497</v>
      </c>
      <c r="AG30" s="2" t="s">
        <v>3840</v>
      </c>
      <c r="AH30" s="2">
        <v>10000</v>
      </c>
      <c r="AI30" s="2">
        <v>180000</v>
      </c>
      <c r="AJ30" s="2">
        <v>27500</v>
      </c>
      <c r="AK30" s="2">
        <f t="shared" si="5"/>
        <v>217500</v>
      </c>
      <c r="AL30" s="2" t="s">
        <v>3881</v>
      </c>
      <c r="AM30" s="2" t="s">
        <v>3882</v>
      </c>
      <c r="AN30" s="2" t="s">
        <v>3883</v>
      </c>
      <c r="AQ30" s="2" t="s">
        <v>3884</v>
      </c>
      <c r="AR30" s="4" t="s">
        <v>3885</v>
      </c>
      <c r="AS30" s="2" t="s">
        <v>3886</v>
      </c>
      <c r="AT30" s="2" t="s">
        <v>3887</v>
      </c>
      <c r="AU30" s="2" t="s">
        <v>341</v>
      </c>
      <c r="AV30" s="2" t="s">
        <v>215</v>
      </c>
      <c r="AW30" s="2">
        <v>534313</v>
      </c>
      <c r="AX30" s="2" t="s">
        <v>3886</v>
      </c>
      <c r="AZ30" s="2">
        <v>8639968696</v>
      </c>
      <c r="BB30" s="2">
        <v>9490333451</v>
      </c>
      <c r="BC30" s="3" t="s">
        <v>3888</v>
      </c>
      <c r="BD30" s="3" t="s">
        <v>3889</v>
      </c>
      <c r="BE30" s="2" t="s">
        <v>3891</v>
      </c>
      <c r="BF30" s="2" t="s">
        <v>3890</v>
      </c>
    </row>
    <row r="31" spans="1:58" s="2" customFormat="1" ht="80.099999999999994" customHeight="1" x14ac:dyDescent="0.25">
      <c r="A31" s="2">
        <v>29</v>
      </c>
      <c r="B31" s="2">
        <v>839</v>
      </c>
      <c r="C31" s="2" t="s">
        <v>4444</v>
      </c>
      <c r="D31" s="2" t="s">
        <v>571</v>
      </c>
      <c r="F31" s="7" t="s">
        <v>3509</v>
      </c>
      <c r="G31" s="2" t="s">
        <v>38</v>
      </c>
      <c r="H31" s="2" t="s">
        <v>92</v>
      </c>
      <c r="I31" s="2" t="s">
        <v>68</v>
      </c>
      <c r="J31" s="2" t="s">
        <v>36</v>
      </c>
      <c r="K31" s="2" t="s">
        <v>683</v>
      </c>
      <c r="L31" s="2">
        <v>1</v>
      </c>
      <c r="M31" s="2" t="s">
        <v>2376</v>
      </c>
      <c r="N31" s="2" t="s">
        <v>1068</v>
      </c>
      <c r="O31" s="2" t="s">
        <v>61</v>
      </c>
      <c r="P31" s="2" t="s">
        <v>85</v>
      </c>
      <c r="Q31" s="2" t="s">
        <v>63</v>
      </c>
      <c r="S31" s="2">
        <v>2018</v>
      </c>
      <c r="T31" s="2" t="s">
        <v>64</v>
      </c>
      <c r="U31" s="2" t="s">
        <v>65</v>
      </c>
      <c r="V31" s="2" t="s">
        <v>37</v>
      </c>
      <c r="W31" s="2" t="s">
        <v>37</v>
      </c>
      <c r="X31" s="2" t="s">
        <v>37</v>
      </c>
      <c r="Y31" s="2">
        <f>92+85+69+60+58+72</f>
        <v>436</v>
      </c>
      <c r="Z31" s="2">
        <v>600</v>
      </c>
      <c r="AA31" s="2">
        <f t="shared" si="3"/>
        <v>72.666666666666671</v>
      </c>
      <c r="AB31" s="2">
        <f>69+60+58</f>
        <v>187</v>
      </c>
      <c r="AC31" s="2">
        <v>300</v>
      </c>
      <c r="AD31" s="2">
        <f t="shared" si="4"/>
        <v>62.333333333333329</v>
      </c>
      <c r="AE31" s="2" t="s">
        <v>3895</v>
      </c>
      <c r="AF31" s="2" t="s">
        <v>3681</v>
      </c>
      <c r="AG31" s="2" t="s">
        <v>3894</v>
      </c>
      <c r="AH31" s="2">
        <v>10000</v>
      </c>
      <c r="AI31" s="2">
        <v>180000</v>
      </c>
      <c r="AJ31" s="2">
        <v>27500</v>
      </c>
      <c r="AK31" s="2">
        <f t="shared" si="5"/>
        <v>217500</v>
      </c>
      <c r="AL31" s="2" t="s">
        <v>3896</v>
      </c>
      <c r="AM31" s="2" t="s">
        <v>78</v>
      </c>
      <c r="AN31" s="2" t="s">
        <v>3897</v>
      </c>
      <c r="AO31" s="2" t="s">
        <v>3898</v>
      </c>
      <c r="AP31" s="2">
        <v>480000</v>
      </c>
      <c r="AQ31" s="2" t="s">
        <v>3905</v>
      </c>
      <c r="AR31" s="4" t="s">
        <v>3899</v>
      </c>
      <c r="AS31" s="2" t="s">
        <v>3900</v>
      </c>
      <c r="AT31" s="2" t="s">
        <v>3901</v>
      </c>
      <c r="AU31" s="2" t="s">
        <v>3404</v>
      </c>
      <c r="AV31" s="2" t="s">
        <v>65</v>
      </c>
      <c r="AW31" s="2">
        <v>562112</v>
      </c>
      <c r="AX31" s="2" t="s">
        <v>3900</v>
      </c>
      <c r="AZ31" s="2">
        <v>9448685148</v>
      </c>
      <c r="BA31" s="2">
        <v>9448685148</v>
      </c>
      <c r="BB31" s="2">
        <v>9482244212</v>
      </c>
      <c r="BC31" s="3" t="s">
        <v>3902</v>
      </c>
      <c r="BE31" s="2" t="s">
        <v>3903</v>
      </c>
      <c r="BF31" s="2" t="s">
        <v>3904</v>
      </c>
    </row>
    <row r="32" spans="1:58" s="2" customFormat="1" ht="80.099999999999994" customHeight="1" x14ac:dyDescent="0.25">
      <c r="A32" s="2">
        <v>30</v>
      </c>
      <c r="B32" s="6">
        <v>862</v>
      </c>
      <c r="C32" s="6" t="s">
        <v>4444</v>
      </c>
      <c r="D32" s="6" t="s">
        <v>571</v>
      </c>
      <c r="F32" s="8" t="s">
        <v>3762</v>
      </c>
      <c r="G32" s="6" t="s">
        <v>38</v>
      </c>
      <c r="H32" s="6" t="s">
        <v>35</v>
      </c>
      <c r="I32" s="2" t="s">
        <v>68</v>
      </c>
      <c r="J32" s="2" t="s">
        <v>36</v>
      </c>
      <c r="K32" s="2" t="s">
        <v>2863</v>
      </c>
      <c r="L32" s="2" t="s">
        <v>82</v>
      </c>
      <c r="M32" s="2" t="s">
        <v>3929</v>
      </c>
      <c r="N32" s="2" t="s">
        <v>1852</v>
      </c>
      <c r="O32" s="2" t="s">
        <v>72</v>
      </c>
      <c r="P32" s="2" t="s">
        <v>73</v>
      </c>
      <c r="Q32" s="2" t="s">
        <v>185</v>
      </c>
      <c r="R32" s="4" t="s">
        <v>3930</v>
      </c>
      <c r="S32" s="2">
        <v>2018</v>
      </c>
      <c r="T32" s="2" t="s">
        <v>768</v>
      </c>
      <c r="U32" s="2" t="s">
        <v>37</v>
      </c>
      <c r="V32" s="2" t="s">
        <v>2802</v>
      </c>
      <c r="W32" s="2" t="s">
        <v>37</v>
      </c>
      <c r="X32" s="2" t="s">
        <v>37</v>
      </c>
      <c r="Y32" s="2">
        <f>87+83+82+77+74+65</f>
        <v>468</v>
      </c>
      <c r="Z32" s="2">
        <v>600</v>
      </c>
      <c r="AA32" s="2">
        <f t="shared" si="3"/>
        <v>78</v>
      </c>
      <c r="AB32" s="2">
        <f>82+77+65</f>
        <v>224</v>
      </c>
      <c r="AC32" s="2">
        <v>300</v>
      </c>
      <c r="AD32" s="2">
        <f t="shared" si="4"/>
        <v>74.666666666666671</v>
      </c>
      <c r="AE32" s="2" t="s">
        <v>3931</v>
      </c>
      <c r="AF32" s="2" t="s">
        <v>3894</v>
      </c>
      <c r="AG32" s="2" t="s">
        <v>3915</v>
      </c>
      <c r="AH32" s="2">
        <v>10000</v>
      </c>
      <c r="AI32" s="2">
        <v>180000</v>
      </c>
      <c r="AJ32" s="2">
        <v>27500</v>
      </c>
      <c r="AK32" s="2">
        <f t="shared" si="5"/>
        <v>217500</v>
      </c>
      <c r="AL32" s="2" t="s">
        <v>3932</v>
      </c>
      <c r="AM32" s="2" t="s">
        <v>78</v>
      </c>
      <c r="AN32" s="2" t="s">
        <v>3933</v>
      </c>
      <c r="AO32" s="2" t="s">
        <v>187</v>
      </c>
      <c r="AP32" s="2">
        <v>700000</v>
      </c>
      <c r="AQ32" s="2" t="s">
        <v>3934</v>
      </c>
      <c r="AR32" s="4" t="s">
        <v>3935</v>
      </c>
      <c r="AS32" s="2" t="s">
        <v>3936</v>
      </c>
      <c r="AT32" s="2" t="s">
        <v>1858</v>
      </c>
      <c r="AU32" s="2" t="s">
        <v>1852</v>
      </c>
      <c r="AV32" s="2" t="s">
        <v>2802</v>
      </c>
      <c r="AW32" s="2">
        <v>226008</v>
      </c>
      <c r="AX32" s="2" t="s">
        <v>3936</v>
      </c>
      <c r="AZ32" s="2">
        <v>9125085377</v>
      </c>
      <c r="BA32" s="2">
        <v>9450066114</v>
      </c>
      <c r="BB32" s="2">
        <v>8887656461</v>
      </c>
      <c r="BC32" s="3" t="s">
        <v>3937</v>
      </c>
      <c r="BD32" s="3" t="s">
        <v>3938</v>
      </c>
      <c r="BE32" s="25" t="s">
        <v>3763</v>
      </c>
      <c r="BF32" s="25" t="s">
        <v>37</v>
      </c>
    </row>
    <row r="33" spans="1:58" s="2" customFormat="1" ht="80.099999999999994" customHeight="1" x14ac:dyDescent="0.25">
      <c r="A33" s="2">
        <v>31</v>
      </c>
      <c r="B33" s="6">
        <v>895</v>
      </c>
      <c r="C33" s="6" t="s">
        <v>4444</v>
      </c>
      <c r="D33" s="6" t="s">
        <v>571</v>
      </c>
      <c r="F33" s="8" t="s">
        <v>3993</v>
      </c>
      <c r="G33" s="6" t="s">
        <v>1505</v>
      </c>
      <c r="H33" s="6" t="s">
        <v>35</v>
      </c>
      <c r="I33" s="2" t="s">
        <v>68</v>
      </c>
      <c r="J33" s="2" t="s">
        <v>36</v>
      </c>
      <c r="K33" s="2" t="s">
        <v>4032</v>
      </c>
      <c r="L33" s="2" t="s">
        <v>82</v>
      </c>
      <c r="M33" s="2" t="s">
        <v>481</v>
      </c>
      <c r="N33" s="2" t="s">
        <v>1852</v>
      </c>
      <c r="O33" s="2" t="s">
        <v>72</v>
      </c>
      <c r="P33" s="2" t="s">
        <v>73</v>
      </c>
      <c r="Q33" s="2" t="s">
        <v>185</v>
      </c>
      <c r="R33" s="2">
        <v>6129614</v>
      </c>
      <c r="S33" s="2">
        <v>2018</v>
      </c>
      <c r="T33" s="2" t="s">
        <v>184</v>
      </c>
      <c r="U33" s="2" t="s">
        <v>37</v>
      </c>
      <c r="V33" s="2" t="s">
        <v>1852</v>
      </c>
      <c r="W33" s="2" t="s">
        <v>37</v>
      </c>
      <c r="X33" s="2" t="s">
        <v>37</v>
      </c>
      <c r="Y33" s="2">
        <f>57+62+52+62+86</f>
        <v>319</v>
      </c>
      <c r="Z33" s="2">
        <v>500</v>
      </c>
      <c r="AA33" s="2">
        <f t="shared" si="3"/>
        <v>63.800000000000004</v>
      </c>
      <c r="AB33" s="2">
        <f>62+52+62</f>
        <v>176</v>
      </c>
      <c r="AC33" s="2">
        <v>300</v>
      </c>
      <c r="AD33" s="2">
        <f t="shared" si="4"/>
        <v>58.666666666666664</v>
      </c>
      <c r="AE33" s="2" t="s">
        <v>4033</v>
      </c>
      <c r="AF33" s="2" t="s">
        <v>2879</v>
      </c>
      <c r="AG33" s="2" t="s">
        <v>4000</v>
      </c>
      <c r="AH33" s="2">
        <v>10000</v>
      </c>
      <c r="AI33" s="2">
        <v>165000</v>
      </c>
      <c r="AJ33" s="2">
        <v>27500</v>
      </c>
      <c r="AK33" s="2">
        <f t="shared" si="5"/>
        <v>202500</v>
      </c>
      <c r="AL33" s="2" t="s">
        <v>4034</v>
      </c>
      <c r="AM33" s="2" t="s">
        <v>78</v>
      </c>
      <c r="AN33" s="2" t="s">
        <v>4035</v>
      </c>
      <c r="AO33" s="2" t="s">
        <v>4036</v>
      </c>
      <c r="AP33" s="2">
        <v>650000</v>
      </c>
      <c r="AQ33" s="2" t="s">
        <v>4044</v>
      </c>
      <c r="AR33" s="4" t="s">
        <v>4043</v>
      </c>
      <c r="AS33" s="2" t="s">
        <v>4037</v>
      </c>
      <c r="AT33" s="2" t="s">
        <v>4038</v>
      </c>
      <c r="AU33" s="2" t="s">
        <v>4039</v>
      </c>
      <c r="AV33" s="2" t="s">
        <v>1852</v>
      </c>
      <c r="AX33" s="2" t="s">
        <v>4040</v>
      </c>
      <c r="AZ33" s="2">
        <v>9886946537</v>
      </c>
      <c r="BA33" s="2">
        <v>9889334137</v>
      </c>
      <c r="BB33" s="2">
        <v>9935977268</v>
      </c>
      <c r="BC33" s="3" t="s">
        <v>4041</v>
      </c>
      <c r="BD33" s="3" t="s">
        <v>4042</v>
      </c>
      <c r="BE33" s="2" t="s">
        <v>1609</v>
      </c>
      <c r="BF33" s="2" t="s">
        <v>230</v>
      </c>
    </row>
    <row r="34" spans="1:58" s="2" customFormat="1" ht="80.099999999999994" customHeight="1" x14ac:dyDescent="0.25">
      <c r="A34" s="2">
        <v>32</v>
      </c>
      <c r="B34" s="2">
        <v>881</v>
      </c>
      <c r="C34" s="2" t="s">
        <v>4444</v>
      </c>
      <c r="D34" s="6" t="s">
        <v>571</v>
      </c>
      <c r="F34" s="7" t="s">
        <v>4110</v>
      </c>
      <c r="G34" s="2" t="s">
        <v>38</v>
      </c>
      <c r="H34" s="2" t="s">
        <v>92</v>
      </c>
      <c r="I34" s="2" t="s">
        <v>68</v>
      </c>
      <c r="J34" s="2" t="s">
        <v>36</v>
      </c>
      <c r="K34" s="2" t="s">
        <v>58</v>
      </c>
      <c r="L34" s="2" t="s">
        <v>82</v>
      </c>
      <c r="M34" s="2" t="s">
        <v>4149</v>
      </c>
      <c r="N34" s="2" t="s">
        <v>4150</v>
      </c>
      <c r="O34" s="2" t="s">
        <v>61</v>
      </c>
      <c r="P34" s="2" t="s">
        <v>73</v>
      </c>
      <c r="Q34" s="2" t="s">
        <v>63</v>
      </c>
      <c r="R34" s="2">
        <v>109201</v>
      </c>
      <c r="S34" s="2">
        <v>2018</v>
      </c>
      <c r="T34" s="2" t="s">
        <v>64</v>
      </c>
      <c r="U34" s="2" t="s">
        <v>65</v>
      </c>
      <c r="V34" s="2" t="s">
        <v>37</v>
      </c>
      <c r="W34" s="2" t="s">
        <v>37</v>
      </c>
      <c r="X34" s="2" t="s">
        <v>37</v>
      </c>
      <c r="Y34" s="2">
        <v>385</v>
      </c>
      <c r="Z34" s="2">
        <v>600</v>
      </c>
      <c r="AA34" s="2">
        <f t="shared" si="3"/>
        <v>64.166666666666671</v>
      </c>
      <c r="AB34" s="2">
        <f>58+59+35</f>
        <v>152</v>
      </c>
      <c r="AC34" s="2">
        <v>300</v>
      </c>
      <c r="AD34" s="2">
        <f t="shared" si="4"/>
        <v>50.666666666666671</v>
      </c>
      <c r="AE34" s="2" t="s">
        <v>3931</v>
      </c>
      <c r="AF34" s="2" t="s">
        <v>3840</v>
      </c>
      <c r="AG34" s="2" t="s">
        <v>4117</v>
      </c>
      <c r="AH34" s="2">
        <v>10000</v>
      </c>
      <c r="AI34" s="2">
        <v>180000</v>
      </c>
      <c r="AJ34" s="2">
        <v>27500</v>
      </c>
      <c r="AK34" s="2">
        <f t="shared" si="5"/>
        <v>217500</v>
      </c>
      <c r="AL34" s="2" t="s">
        <v>4151</v>
      </c>
      <c r="AM34" s="2" t="s">
        <v>139</v>
      </c>
      <c r="AN34" s="2" t="s">
        <v>4152</v>
      </c>
      <c r="AO34" s="2" t="s">
        <v>37</v>
      </c>
      <c r="AP34" s="2">
        <v>500000</v>
      </c>
      <c r="AQ34" s="2" t="s">
        <v>4153</v>
      </c>
      <c r="AR34" s="4" t="s">
        <v>4154</v>
      </c>
      <c r="AS34" s="2" t="s">
        <v>4155</v>
      </c>
      <c r="AT34" s="2" t="s">
        <v>4156</v>
      </c>
      <c r="AU34" s="2" t="s">
        <v>95</v>
      </c>
      <c r="AV34" s="2" t="s">
        <v>65</v>
      </c>
      <c r="AW34" s="2">
        <v>560082</v>
      </c>
      <c r="AX34" s="2" t="s">
        <v>4155</v>
      </c>
      <c r="AZ34" s="2">
        <v>9972729948</v>
      </c>
      <c r="BA34" s="2">
        <v>9343002450</v>
      </c>
      <c r="BC34" s="3" t="s">
        <v>4157</v>
      </c>
      <c r="BD34" s="3" t="s">
        <v>4158</v>
      </c>
      <c r="BE34" s="2" t="s">
        <v>4097</v>
      </c>
      <c r="BF34" s="2" t="s">
        <v>144</v>
      </c>
    </row>
    <row r="35" spans="1:58" s="44" customFormat="1" ht="54.95" customHeight="1" x14ac:dyDescent="0.25">
      <c r="A35" s="38">
        <v>33</v>
      </c>
      <c r="B35" s="38">
        <v>995</v>
      </c>
      <c r="C35" s="38" t="s">
        <v>4444</v>
      </c>
      <c r="D35" s="38" t="s">
        <v>571</v>
      </c>
      <c r="E35" s="38"/>
      <c r="F35" s="43" t="s">
        <v>4354</v>
      </c>
      <c r="G35" s="38" t="s">
        <v>38</v>
      </c>
      <c r="H35" s="38" t="s">
        <v>35</v>
      </c>
      <c r="I35" s="38" t="s">
        <v>68</v>
      </c>
      <c r="J35" s="38" t="s">
        <v>36</v>
      </c>
      <c r="K35" s="38" t="s">
        <v>4356</v>
      </c>
      <c r="L35" s="38" t="s">
        <v>82</v>
      </c>
      <c r="M35" s="38" t="s">
        <v>1573</v>
      </c>
      <c r="N35" s="38" t="s">
        <v>3341</v>
      </c>
      <c r="O35" s="38" t="s">
        <v>123</v>
      </c>
      <c r="P35" s="38" t="s">
        <v>85</v>
      </c>
      <c r="Q35" s="38" t="s">
        <v>185</v>
      </c>
      <c r="R35" s="38">
        <v>4651498</v>
      </c>
      <c r="S35" s="38">
        <v>2018</v>
      </c>
      <c r="T35" s="38" t="s">
        <v>616</v>
      </c>
      <c r="U35" s="38" t="s">
        <v>37</v>
      </c>
      <c r="V35" s="38" t="s">
        <v>152</v>
      </c>
      <c r="W35" s="38" t="s">
        <v>37</v>
      </c>
      <c r="X35" s="38" t="s">
        <v>37</v>
      </c>
      <c r="Y35" s="38">
        <f>65+33+66+53+53</f>
        <v>270</v>
      </c>
      <c r="Z35" s="38">
        <v>500</v>
      </c>
      <c r="AA35" s="38">
        <f>Y35/Z35*100</f>
        <v>54</v>
      </c>
      <c r="AB35" s="38">
        <f>33+66+53</f>
        <v>152</v>
      </c>
      <c r="AC35" s="38">
        <v>300</v>
      </c>
      <c r="AD35" s="38">
        <f>AB35/AC35*100</f>
        <v>50.666666666666671</v>
      </c>
      <c r="AE35" s="38" t="s">
        <v>4357</v>
      </c>
      <c r="AF35" s="38" t="s">
        <v>4352</v>
      </c>
      <c r="AG35" s="38" t="s">
        <v>4355</v>
      </c>
      <c r="AH35" s="38">
        <v>10000</v>
      </c>
      <c r="AI35" s="38">
        <v>180000</v>
      </c>
      <c r="AJ35" s="38">
        <v>27500</v>
      </c>
      <c r="AK35" s="15">
        <f t="shared" si="5"/>
        <v>217500</v>
      </c>
      <c r="AL35" s="38" t="s">
        <v>4358</v>
      </c>
      <c r="AM35" s="38" t="s">
        <v>78</v>
      </c>
      <c r="AN35" s="38" t="s">
        <v>4359</v>
      </c>
      <c r="AO35" s="38" t="s">
        <v>139</v>
      </c>
      <c r="AP35" s="38">
        <v>600000</v>
      </c>
      <c r="AQ35" s="38" t="s">
        <v>4360</v>
      </c>
      <c r="AR35" s="41" t="s">
        <v>4361</v>
      </c>
      <c r="AS35" s="38" t="s">
        <v>4362</v>
      </c>
      <c r="AT35" s="38" t="s">
        <v>4363</v>
      </c>
      <c r="AU35" s="38" t="s">
        <v>3341</v>
      </c>
      <c r="AV35" s="38" t="s">
        <v>152</v>
      </c>
      <c r="AW35" s="38">
        <v>641006</v>
      </c>
      <c r="AX35" s="38" t="s">
        <v>4362</v>
      </c>
      <c r="AY35" s="38"/>
      <c r="AZ35" s="38">
        <v>9791259010</v>
      </c>
      <c r="BA35" s="38">
        <v>9894942032</v>
      </c>
      <c r="BB35" s="38">
        <v>9207731552</v>
      </c>
      <c r="BC35" s="42" t="s">
        <v>4364</v>
      </c>
      <c r="BD35" s="42" t="s">
        <v>4365</v>
      </c>
      <c r="BE35" s="38" t="s">
        <v>4366</v>
      </c>
      <c r="BF35" s="38" t="s">
        <v>4367</v>
      </c>
    </row>
    <row r="36" spans="1:58" s="2" customFormat="1" ht="78" customHeight="1" x14ac:dyDescent="0.25">
      <c r="A36" s="2">
        <v>34</v>
      </c>
      <c r="B36" s="2">
        <v>1013</v>
      </c>
      <c r="C36" s="2" t="s">
        <v>4444</v>
      </c>
      <c r="D36" s="6" t="s">
        <v>571</v>
      </c>
      <c r="F36" s="8" t="s">
        <v>4378</v>
      </c>
      <c r="G36" s="2" t="s">
        <v>4379</v>
      </c>
      <c r="H36" s="2" t="s">
        <v>35</v>
      </c>
      <c r="I36" s="2" t="s">
        <v>4379</v>
      </c>
      <c r="J36" s="2" t="s">
        <v>158</v>
      </c>
      <c r="K36" s="2" t="s">
        <v>37</v>
      </c>
      <c r="L36" s="2" t="s">
        <v>82</v>
      </c>
      <c r="M36" s="2" t="s">
        <v>4384</v>
      </c>
      <c r="N36" s="2" t="s">
        <v>4385</v>
      </c>
      <c r="O36" s="2" t="s">
        <v>4386</v>
      </c>
      <c r="P36" s="2" t="s">
        <v>85</v>
      </c>
      <c r="Q36" s="2" t="s">
        <v>185</v>
      </c>
      <c r="S36" s="2">
        <v>2017</v>
      </c>
      <c r="T36" s="2" t="s">
        <v>4387</v>
      </c>
      <c r="U36" s="2" t="s">
        <v>37</v>
      </c>
      <c r="V36" s="2" t="s">
        <v>4379</v>
      </c>
      <c r="W36" s="2" t="s">
        <v>37</v>
      </c>
      <c r="X36" s="2" t="s">
        <v>37</v>
      </c>
      <c r="Y36" s="2">
        <f>84+100+76+83+96+96</f>
        <v>535</v>
      </c>
      <c r="Z36" s="2">
        <v>600</v>
      </c>
      <c r="AA36" s="2">
        <f t="shared" ref="AA36" si="6">Y36/Z36*100</f>
        <v>89.166666666666671</v>
      </c>
      <c r="AB36" s="2">
        <f>76+83+96</f>
        <v>255</v>
      </c>
      <c r="AC36" s="2">
        <v>300</v>
      </c>
      <c r="AD36" s="2">
        <f t="shared" ref="AD36" si="7">AB36/AC36*100</f>
        <v>85</v>
      </c>
      <c r="AE36" s="2" t="s">
        <v>4388</v>
      </c>
      <c r="AG36" s="2" t="s">
        <v>4383</v>
      </c>
      <c r="AH36" s="2" t="s">
        <v>3514</v>
      </c>
      <c r="AI36" s="2">
        <v>180000</v>
      </c>
      <c r="AL36" s="2" t="s">
        <v>4389</v>
      </c>
      <c r="AM36" s="2" t="s">
        <v>78</v>
      </c>
      <c r="AN36" s="2" t="s">
        <v>4390</v>
      </c>
      <c r="AO36" s="2" t="s">
        <v>320</v>
      </c>
      <c r="AP36" s="2" t="s">
        <v>4391</v>
      </c>
      <c r="AR36" s="4"/>
      <c r="AS36" s="2" t="s">
        <v>4392</v>
      </c>
      <c r="AT36" s="2" t="s">
        <v>4393</v>
      </c>
      <c r="AU36" s="2" t="s">
        <v>4385</v>
      </c>
      <c r="AV36" s="2" t="s">
        <v>4379</v>
      </c>
      <c r="AW36" s="2">
        <v>1006</v>
      </c>
      <c r="AX36" s="2" t="s">
        <v>4392</v>
      </c>
      <c r="AY36" s="2" t="s">
        <v>4394</v>
      </c>
      <c r="AZ36" s="2" t="s">
        <v>4395</v>
      </c>
      <c r="BA36" s="2">
        <v>93700224558</v>
      </c>
      <c r="BB36" s="2">
        <v>93783110265</v>
      </c>
      <c r="BC36" s="3" t="s">
        <v>4396</v>
      </c>
      <c r="BD36" s="3" t="s">
        <v>4397</v>
      </c>
      <c r="BE36" s="2" t="s">
        <v>4398</v>
      </c>
      <c r="BF36" s="2" t="s">
        <v>37</v>
      </c>
    </row>
  </sheetData>
  <mergeCells count="56">
    <mergeCell ref="BE1:BE2"/>
    <mergeCell ref="BF1:BF2"/>
    <mergeCell ref="AY1:AY2"/>
    <mergeCell ref="AZ1:AZ2"/>
    <mergeCell ref="BA1:BA2"/>
    <mergeCell ref="BB1:BB2"/>
    <mergeCell ref="BC1:BC2"/>
    <mergeCell ref="BD1:BD2"/>
    <mergeCell ref="AX1:AX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L1:AL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Z1:Z2"/>
    <mergeCell ref="N1:N2"/>
    <mergeCell ref="O1:O2"/>
    <mergeCell ref="P1:P2"/>
    <mergeCell ref="Q1:Q2"/>
    <mergeCell ref="R1:R2"/>
    <mergeCell ref="S1:S2"/>
    <mergeCell ref="T1:T2"/>
    <mergeCell ref="U1:V1"/>
    <mergeCell ref="W1:W2"/>
    <mergeCell ref="X1:X2"/>
    <mergeCell ref="Y1:Y2"/>
    <mergeCell ref="M1:M2"/>
    <mergeCell ref="A1:A2"/>
    <mergeCell ref="B1:B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hyperlinks>
    <hyperlink ref="BC3" r:id="rId1"/>
    <hyperlink ref="BD3" r:id="rId2"/>
    <hyperlink ref="BD4" r:id="rId3"/>
    <hyperlink ref="BD5" r:id="rId4"/>
    <hyperlink ref="BD6" r:id="rId5"/>
    <hyperlink ref="BD7" r:id="rId6"/>
    <hyperlink ref="BC8" r:id="rId7"/>
    <hyperlink ref="BD8" r:id="rId8"/>
    <hyperlink ref="BC9" r:id="rId9"/>
    <hyperlink ref="BD9" r:id="rId10"/>
    <hyperlink ref="BD10" r:id="rId11"/>
    <hyperlink ref="BC11" r:id="rId12"/>
    <hyperlink ref="BD11" r:id="rId13"/>
    <hyperlink ref="BD12" r:id="rId14"/>
    <hyperlink ref="BD13" r:id="rId15"/>
    <hyperlink ref="BD14" r:id="rId16"/>
    <hyperlink ref="BD15" r:id="rId17"/>
    <hyperlink ref="BC16" r:id="rId18"/>
    <hyperlink ref="BD16" r:id="rId19"/>
    <hyperlink ref="BC17" r:id="rId20"/>
    <hyperlink ref="BD17" r:id="rId21"/>
    <hyperlink ref="BD18" r:id="rId22"/>
    <hyperlink ref="BC19" r:id="rId23"/>
    <hyperlink ref="BD19" r:id="rId24"/>
    <hyperlink ref="BC20" r:id="rId25"/>
    <hyperlink ref="BD20" r:id="rId26"/>
    <hyperlink ref="BD21" r:id="rId27"/>
    <hyperlink ref="BD22" r:id="rId28"/>
    <hyperlink ref="BD23" r:id="rId29"/>
    <hyperlink ref="BC24" r:id="rId30"/>
    <hyperlink ref="BD24" r:id="rId31"/>
    <hyperlink ref="BC25" r:id="rId32"/>
    <hyperlink ref="BD25" r:id="rId33"/>
    <hyperlink ref="BD26" r:id="rId34"/>
    <hyperlink ref="BC27" r:id="rId35"/>
    <hyperlink ref="BD27" r:id="rId36"/>
    <hyperlink ref="BD28" r:id="rId37"/>
    <hyperlink ref="BD29" r:id="rId38"/>
    <hyperlink ref="BC30" r:id="rId39"/>
    <hyperlink ref="BD30" r:id="rId40"/>
    <hyperlink ref="BC31" r:id="rId41"/>
    <hyperlink ref="BC32" r:id="rId42"/>
    <hyperlink ref="BD32" r:id="rId43"/>
    <hyperlink ref="BC33" r:id="rId44"/>
    <hyperlink ref="BD33" r:id="rId45"/>
    <hyperlink ref="BC34" r:id="rId46"/>
    <hyperlink ref="BD34" r:id="rId47"/>
    <hyperlink ref="BC35" r:id="rId48"/>
    <hyperlink ref="BD35" r:id="rId49"/>
    <hyperlink ref="BC36" r:id="rId50"/>
    <hyperlink ref="BD36" r:id="rId51"/>
  </hyperlinks>
  <pageMargins left="0.7" right="0.7" top="0.75" bottom="0.75" header="0.3" footer="0.3"/>
  <pageSetup orientation="portrait" horizontalDpi="0" verticalDpi="0" r:id="rId5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F9"/>
  <sheetViews>
    <sheetView workbookViewId="0">
      <selection activeCell="F15" sqref="F15"/>
    </sheetView>
  </sheetViews>
  <sheetFormatPr defaultRowHeight="15" x14ac:dyDescent="0.25"/>
  <sheetData>
    <row r="3" spans="5:6" x14ac:dyDescent="0.25">
      <c r="E3" s="57" t="s">
        <v>4445</v>
      </c>
      <c r="F3" s="57">
        <f>COUNTA(CTIS!A3:A61)</f>
        <v>59</v>
      </c>
    </row>
    <row r="4" spans="5:6" x14ac:dyDescent="0.25">
      <c r="E4" s="57" t="s">
        <v>4446</v>
      </c>
      <c r="F4" s="57">
        <f>COUNTA(CTMA!A3:A54)</f>
        <v>52</v>
      </c>
    </row>
    <row r="5" spans="5:6" x14ac:dyDescent="0.25">
      <c r="E5" s="57" t="s">
        <v>4447</v>
      </c>
      <c r="F5" s="57">
        <f>COUNTA(DS!A3:A60)</f>
        <v>58</v>
      </c>
    </row>
    <row r="6" spans="5:6" x14ac:dyDescent="0.25">
      <c r="E6" s="57" t="s">
        <v>4448</v>
      </c>
      <c r="F6" s="57">
        <f>COUNTA(IOT!A3:A57)</f>
        <v>55</v>
      </c>
    </row>
    <row r="7" spans="5:6" x14ac:dyDescent="0.25">
      <c r="E7" s="57" t="s">
        <v>4449</v>
      </c>
      <c r="F7" s="57">
        <f>COUNTA(AI!A3:A67)</f>
        <v>65</v>
      </c>
    </row>
    <row r="8" spans="5:6" x14ac:dyDescent="0.25">
      <c r="E8" s="57" t="s">
        <v>571</v>
      </c>
      <c r="F8" s="57">
        <f>COUNTA(SE!A3:A36)</f>
        <v>34</v>
      </c>
    </row>
    <row r="9" spans="5:6" x14ac:dyDescent="0.25">
      <c r="E9" s="57" t="s">
        <v>4450</v>
      </c>
      <c r="F9" s="57">
        <f>SUM(F3:F8)</f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CTIS</vt:lpstr>
      <vt:lpstr>CTMA</vt:lpstr>
      <vt:lpstr>DS</vt:lpstr>
      <vt:lpstr>IOT</vt:lpstr>
      <vt:lpstr>AI</vt:lpstr>
      <vt:lpstr>SE</vt:lpstr>
      <vt:lpstr>Statestics</vt:lpstr>
    </vt:vector>
  </TitlesOfParts>
  <Company>JGI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cp:lastPrinted>2018-09-08T03:54:46Z</cp:lastPrinted>
  <dcterms:created xsi:type="dcterms:W3CDTF">2015-06-29T11:01:03Z</dcterms:created>
  <dcterms:modified xsi:type="dcterms:W3CDTF">2018-09-10T03:02:31Z</dcterms:modified>
</cp:coreProperties>
</file>