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Finance modeling\"/>
    </mc:Choice>
  </mc:AlternateContent>
  <xr:revisionPtr revIDLastSave="0" documentId="13_ncr:1_{19766D24-084E-4D69-86FE-D2A09B2B656B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HistoricalFs" sheetId="8" r:id="rId6"/>
    <sheet name="Ratio Analysis" sheetId="12" r:id="rId7"/>
    <sheet name="common size statement" sheetId="15" r:id="rId8"/>
    <sheet name="Forcasting" sheetId="13" r:id="rId9"/>
    <sheet name="DCF" sheetId="14" r:id="rId10"/>
    <sheet name="Intransic value " sheetId="16" r:id="rId11"/>
    <sheet name="WACC" sheetId="18" r:id="rId12"/>
    <sheet name="Market return " sheetId="19" r:id="rId13"/>
    <sheet name="Beta benchmarking" sheetId="17" r:id="rId14"/>
    <sheet name="Raw data" sheetId="10" r:id="rId15"/>
    <sheet name="Data Sheet" sheetId="6" r:id="rId16"/>
    <sheet name="Data" sheetId="9" r:id="rId17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" i="13" l="1"/>
  <c r="J15" i="13" s="1"/>
  <c r="J9" i="13"/>
  <c r="J14" i="14"/>
  <c r="K14" i="14" s="1"/>
  <c r="I14" i="14"/>
  <c r="G13" i="14"/>
  <c r="I12" i="14"/>
  <c r="J12" i="14" s="1"/>
  <c r="H12" i="14"/>
  <c r="G12" i="14"/>
  <c r="I41" i="16"/>
  <c r="J41" i="16"/>
  <c r="K41" i="16"/>
  <c r="L41" i="16"/>
  <c r="H41" i="16"/>
  <c r="G34" i="6"/>
  <c r="H34" i="6"/>
  <c r="I34" i="6"/>
  <c r="J34" i="6"/>
  <c r="K34" i="6"/>
  <c r="F34" i="6"/>
  <c r="J49" i="16"/>
  <c r="J51" i="16" s="1"/>
  <c r="J54" i="16" s="1"/>
  <c r="J14" i="13" l="1"/>
  <c r="G11" i="14"/>
  <c r="G9" i="14"/>
  <c r="K33" i="6"/>
  <c r="E40" i="18"/>
  <c r="E39" i="18"/>
  <c r="E37" i="18"/>
  <c r="C12" i="19"/>
  <c r="C13" i="19"/>
  <c r="G11" i="19" s="1"/>
  <c r="G13" i="19" s="1"/>
  <c r="K24" i="18" s="1"/>
  <c r="K26" i="18" s="1"/>
  <c r="E36" i="18" s="1"/>
  <c r="E41" i="18" s="1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11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10" i="19"/>
  <c r="K32" i="18"/>
  <c r="I19" i="18"/>
  <c r="I18" i="18"/>
  <c r="J14" i="18" l="1"/>
  <c r="J15" i="18"/>
  <c r="J16" i="18"/>
  <c r="J13" i="18"/>
  <c r="F14" i="18"/>
  <c r="G14" i="18" s="1"/>
  <c r="F15" i="18"/>
  <c r="F16" i="18"/>
  <c r="G16" i="18" s="1"/>
  <c r="F13" i="18"/>
  <c r="G13" i="18" s="1"/>
  <c r="E14" i="18"/>
  <c r="E15" i="18"/>
  <c r="E16" i="18"/>
  <c r="E13" i="18"/>
  <c r="C14" i="18"/>
  <c r="C15" i="18"/>
  <c r="C16" i="18"/>
  <c r="C13" i="18"/>
  <c r="T11" i="17"/>
  <c r="T10" i="17"/>
  <c r="T9" i="17"/>
  <c r="T8" i="17"/>
  <c r="P114" i="17"/>
  <c r="P113" i="17"/>
  <c r="P112" i="17"/>
  <c r="P111" i="17"/>
  <c r="P110" i="17"/>
  <c r="P109" i="17"/>
  <c r="P108" i="17"/>
  <c r="P107" i="17"/>
  <c r="P106" i="17"/>
  <c r="P105" i="17"/>
  <c r="P104" i="17"/>
  <c r="P103" i="17"/>
  <c r="P102" i="17"/>
  <c r="P101" i="17"/>
  <c r="P100" i="17"/>
  <c r="P99" i="17"/>
  <c r="P98" i="17"/>
  <c r="P97" i="17"/>
  <c r="P96" i="17"/>
  <c r="P95" i="17"/>
  <c r="P94" i="17"/>
  <c r="P93" i="17"/>
  <c r="P92" i="17"/>
  <c r="P91" i="17"/>
  <c r="P90" i="17"/>
  <c r="P89" i="17"/>
  <c r="P88" i="17"/>
  <c r="P87" i="17"/>
  <c r="P86" i="17"/>
  <c r="P85" i="17"/>
  <c r="P84" i="17"/>
  <c r="P83" i="17"/>
  <c r="P82" i="17"/>
  <c r="P81" i="17"/>
  <c r="P80" i="17"/>
  <c r="P79" i="17"/>
  <c r="P78" i="17"/>
  <c r="P77" i="17"/>
  <c r="P76" i="17"/>
  <c r="P75" i="17"/>
  <c r="P74" i="17"/>
  <c r="P73" i="17"/>
  <c r="P72" i="17"/>
  <c r="P71" i="17"/>
  <c r="P70" i="17"/>
  <c r="P69" i="17"/>
  <c r="P68" i="17"/>
  <c r="P67" i="17"/>
  <c r="P66" i="17"/>
  <c r="P65" i="17"/>
  <c r="P64" i="17"/>
  <c r="P63" i="17"/>
  <c r="P62" i="17"/>
  <c r="P61" i="17"/>
  <c r="P60" i="17"/>
  <c r="P59" i="17"/>
  <c r="P58" i="17"/>
  <c r="P57" i="17"/>
  <c r="P56" i="17"/>
  <c r="P55" i="17"/>
  <c r="P54" i="17"/>
  <c r="P53" i="17"/>
  <c r="P52" i="17"/>
  <c r="P51" i="17"/>
  <c r="P50" i="17"/>
  <c r="P49" i="17"/>
  <c r="P48" i="17"/>
  <c r="P47" i="17"/>
  <c r="P46" i="17"/>
  <c r="P45" i="17"/>
  <c r="P44" i="17"/>
  <c r="P43" i="17"/>
  <c r="P42" i="17"/>
  <c r="P41" i="17"/>
  <c r="P40" i="17"/>
  <c r="P39" i="17"/>
  <c r="P38" i="17"/>
  <c r="P37" i="17"/>
  <c r="P36" i="17"/>
  <c r="P35" i="17"/>
  <c r="P34" i="17"/>
  <c r="P33" i="17"/>
  <c r="P32" i="17"/>
  <c r="P31" i="17"/>
  <c r="P30" i="17"/>
  <c r="P29" i="17"/>
  <c r="P28" i="17"/>
  <c r="P27" i="17"/>
  <c r="P26" i="17"/>
  <c r="P25" i="17"/>
  <c r="P24" i="17"/>
  <c r="P23" i="17"/>
  <c r="P22" i="17"/>
  <c r="P21" i="17"/>
  <c r="P20" i="17"/>
  <c r="P19" i="17"/>
  <c r="P18" i="17"/>
  <c r="P17" i="17"/>
  <c r="P16" i="17"/>
  <c r="P15" i="17"/>
  <c r="P14" i="17"/>
  <c r="P13" i="17"/>
  <c r="P12" i="17"/>
  <c r="P11" i="17"/>
  <c r="P10" i="17"/>
  <c r="M114" i="17"/>
  <c r="M113" i="17"/>
  <c r="M112" i="17"/>
  <c r="M111" i="17"/>
  <c r="M110" i="17"/>
  <c r="M109" i="17"/>
  <c r="M108" i="17"/>
  <c r="M107" i="17"/>
  <c r="M106" i="17"/>
  <c r="M105" i="17"/>
  <c r="M104" i="17"/>
  <c r="M103" i="17"/>
  <c r="M102" i="17"/>
  <c r="M101" i="17"/>
  <c r="M100" i="17"/>
  <c r="M99" i="17"/>
  <c r="M98" i="17"/>
  <c r="M97" i="17"/>
  <c r="M96" i="17"/>
  <c r="M95" i="17"/>
  <c r="M94" i="17"/>
  <c r="M93" i="17"/>
  <c r="M92" i="17"/>
  <c r="M91" i="17"/>
  <c r="M90" i="17"/>
  <c r="M89" i="17"/>
  <c r="M88" i="17"/>
  <c r="M87" i="17"/>
  <c r="M86" i="17"/>
  <c r="M85" i="17"/>
  <c r="M84" i="17"/>
  <c r="M83" i="17"/>
  <c r="M82" i="17"/>
  <c r="M81" i="17"/>
  <c r="M80" i="17"/>
  <c r="M79" i="17"/>
  <c r="M78" i="17"/>
  <c r="M77" i="17"/>
  <c r="M76" i="17"/>
  <c r="M75" i="17"/>
  <c r="M74" i="17"/>
  <c r="M73" i="17"/>
  <c r="M72" i="17"/>
  <c r="M71" i="17"/>
  <c r="M70" i="17"/>
  <c r="M69" i="17"/>
  <c r="M68" i="17"/>
  <c r="M67" i="17"/>
  <c r="M66" i="17"/>
  <c r="M65" i="17"/>
  <c r="M64" i="17"/>
  <c r="M63" i="17"/>
  <c r="M62" i="17"/>
  <c r="M61" i="17"/>
  <c r="M60" i="17"/>
  <c r="M59" i="17"/>
  <c r="M58" i="17"/>
  <c r="M57" i="17"/>
  <c r="M56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L7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75" i="17"/>
  <c r="J74" i="17"/>
  <c r="J73" i="17"/>
  <c r="J72" i="17"/>
  <c r="J71" i="17"/>
  <c r="J70" i="17"/>
  <c r="J69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I7" i="17"/>
  <c r="G114" i="17"/>
  <c r="G113" i="17"/>
  <c r="G112" i="17"/>
  <c r="G111" i="17"/>
  <c r="G110" i="17"/>
  <c r="G109" i="17"/>
  <c r="G108" i="17"/>
  <c r="G107" i="17"/>
  <c r="G106" i="17"/>
  <c r="G105" i="17"/>
  <c r="G104" i="17"/>
  <c r="G103" i="17"/>
  <c r="G102" i="17"/>
  <c r="G101" i="17"/>
  <c r="G100" i="17"/>
  <c r="G99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13" i="18" l="1"/>
  <c r="H16" i="18"/>
  <c r="E23" i="18"/>
  <c r="E25" i="18" s="1"/>
  <c r="C30" i="18"/>
  <c r="H15" i="18"/>
  <c r="C31" i="18"/>
  <c r="G15" i="18"/>
  <c r="K15" i="18" s="1"/>
  <c r="H14" i="18"/>
  <c r="G19" i="18"/>
  <c r="G18" i="18"/>
  <c r="H18" i="18"/>
  <c r="E30" i="18" s="1"/>
  <c r="H19" i="18"/>
  <c r="K16" i="18"/>
  <c r="K14" i="18"/>
  <c r="K13" i="18"/>
  <c r="J19" i="18"/>
  <c r="J18" i="18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0" i="17"/>
  <c r="C7" i="17"/>
  <c r="F7" i="17"/>
  <c r="E31" i="18" l="1"/>
  <c r="E33" i="18" s="1"/>
  <c r="K31" i="18" s="1"/>
  <c r="C32" i="18"/>
  <c r="D31" i="18" s="1"/>
  <c r="K19" i="18"/>
  <c r="K30" i="18" s="1"/>
  <c r="K18" i="18"/>
  <c r="B60" i="16"/>
  <c r="B58" i="16"/>
  <c r="L58" i="16"/>
  <c r="K58" i="16"/>
  <c r="J58" i="16"/>
  <c r="I58" i="16"/>
  <c r="H58" i="16"/>
  <c r="I49" i="16"/>
  <c r="I51" i="16" s="1"/>
  <c r="I54" i="16" s="1"/>
  <c r="I46" i="16"/>
  <c r="J46" i="16"/>
  <c r="K46" i="16"/>
  <c r="L46" i="16"/>
  <c r="H46" i="16"/>
  <c r="B44" i="16"/>
  <c r="L44" i="16"/>
  <c r="K44" i="16"/>
  <c r="J44" i="16"/>
  <c r="I44" i="16"/>
  <c r="H44" i="16"/>
  <c r="B7" i="16"/>
  <c r="L7" i="16"/>
  <c r="G7" i="14" s="1"/>
  <c r="H7" i="14" s="1"/>
  <c r="I7" i="14" s="1"/>
  <c r="J7" i="14" s="1"/>
  <c r="K7" i="14" s="1"/>
  <c r="K7" i="16"/>
  <c r="J7" i="16"/>
  <c r="I7" i="16"/>
  <c r="H7" i="16"/>
  <c r="K49" i="16"/>
  <c r="K51" i="16" s="1"/>
  <c r="L49" i="16"/>
  <c r="L51" i="16" s="1"/>
  <c r="H49" i="16"/>
  <c r="H51" i="16" s="1"/>
  <c r="I37" i="16"/>
  <c r="J37" i="16"/>
  <c r="K37" i="16"/>
  <c r="L37" i="16"/>
  <c r="H37" i="16"/>
  <c r="B37" i="16"/>
  <c r="H28" i="16"/>
  <c r="I28" i="16"/>
  <c r="J28" i="16"/>
  <c r="K28" i="16"/>
  <c r="L28" i="16"/>
  <c r="H29" i="16"/>
  <c r="I29" i="16"/>
  <c r="J29" i="16"/>
  <c r="K29" i="16"/>
  <c r="L29" i="16"/>
  <c r="H30" i="16"/>
  <c r="I30" i="16"/>
  <c r="J30" i="16"/>
  <c r="K30" i="16"/>
  <c r="L30" i="16"/>
  <c r="H31" i="16"/>
  <c r="I31" i="16"/>
  <c r="J31" i="16"/>
  <c r="K31" i="16"/>
  <c r="L31" i="16"/>
  <c r="H32" i="16"/>
  <c r="I32" i="16"/>
  <c r="J32" i="16"/>
  <c r="K32" i="16"/>
  <c r="L32" i="16"/>
  <c r="H33" i="16"/>
  <c r="I33" i="16"/>
  <c r="J33" i="16"/>
  <c r="K33" i="16"/>
  <c r="L33" i="16"/>
  <c r="H34" i="16"/>
  <c r="I34" i="16"/>
  <c r="J34" i="16"/>
  <c r="K34" i="16"/>
  <c r="L34" i="16"/>
  <c r="H35" i="16"/>
  <c r="I35" i="16"/>
  <c r="J35" i="16"/>
  <c r="K35" i="16"/>
  <c r="L35" i="16"/>
  <c r="I27" i="16"/>
  <c r="J27" i="16"/>
  <c r="K27" i="16"/>
  <c r="L27" i="16"/>
  <c r="H27" i="16"/>
  <c r="B36" i="16"/>
  <c r="B28" i="16"/>
  <c r="B29" i="16"/>
  <c r="B30" i="16"/>
  <c r="B31" i="16"/>
  <c r="B32" i="16"/>
  <c r="B33" i="16"/>
  <c r="B34" i="16"/>
  <c r="B35" i="16"/>
  <c r="B27" i="16"/>
  <c r="H19" i="16"/>
  <c r="I19" i="16"/>
  <c r="J19" i="16"/>
  <c r="K19" i="16"/>
  <c r="L19" i="16"/>
  <c r="H20" i="16"/>
  <c r="I20" i="16"/>
  <c r="J20" i="16"/>
  <c r="K20" i="16"/>
  <c r="L20" i="16"/>
  <c r="H21" i="16"/>
  <c r="I21" i="16"/>
  <c r="J21" i="16"/>
  <c r="K21" i="16"/>
  <c r="L21" i="16"/>
  <c r="I18" i="16"/>
  <c r="J18" i="16"/>
  <c r="K18" i="16"/>
  <c r="L18" i="16"/>
  <c r="H18" i="16"/>
  <c r="B19" i="16"/>
  <c r="B20" i="16"/>
  <c r="B21" i="16"/>
  <c r="B18" i="16"/>
  <c r="I14" i="16"/>
  <c r="J14" i="16"/>
  <c r="K14" i="16"/>
  <c r="L14" i="16"/>
  <c r="H14" i="16"/>
  <c r="I13" i="16"/>
  <c r="J13" i="16"/>
  <c r="K13" i="16"/>
  <c r="L13" i="16"/>
  <c r="H13" i="16"/>
  <c r="I12" i="16"/>
  <c r="J12" i="16"/>
  <c r="K12" i="16"/>
  <c r="L12" i="16"/>
  <c r="H12" i="16"/>
  <c r="I11" i="16"/>
  <c r="J11" i="16"/>
  <c r="K11" i="16"/>
  <c r="L11" i="16"/>
  <c r="H11" i="16"/>
  <c r="I10" i="16"/>
  <c r="J10" i="16"/>
  <c r="K10" i="16"/>
  <c r="L10" i="16"/>
  <c r="H10" i="16"/>
  <c r="B14" i="16"/>
  <c r="B13" i="16"/>
  <c r="B12" i="16"/>
  <c r="B11" i="16"/>
  <c r="B10" i="16"/>
  <c r="B11" i="15"/>
  <c r="C37" i="15"/>
  <c r="C43" i="15"/>
  <c r="D43" i="15"/>
  <c r="E43" i="15"/>
  <c r="F43" i="15"/>
  <c r="G43" i="15"/>
  <c r="H43" i="15"/>
  <c r="I43" i="15"/>
  <c r="J43" i="15"/>
  <c r="K43" i="15"/>
  <c r="L43" i="15"/>
  <c r="C44" i="15"/>
  <c r="D44" i="15"/>
  <c r="E44" i="15"/>
  <c r="F44" i="15"/>
  <c r="G44" i="15"/>
  <c r="H44" i="15"/>
  <c r="I44" i="15"/>
  <c r="J44" i="15"/>
  <c r="K44" i="15"/>
  <c r="L44" i="15"/>
  <c r="D42" i="15"/>
  <c r="E42" i="15"/>
  <c r="F42" i="15"/>
  <c r="G42" i="15"/>
  <c r="H42" i="15"/>
  <c r="I42" i="15"/>
  <c r="J42" i="15"/>
  <c r="K42" i="15"/>
  <c r="L42" i="15"/>
  <c r="C42" i="15"/>
  <c r="D41" i="15"/>
  <c r="E41" i="15"/>
  <c r="F41" i="15"/>
  <c r="G41" i="15"/>
  <c r="H41" i="15"/>
  <c r="I41" i="15"/>
  <c r="J41" i="15"/>
  <c r="K41" i="15"/>
  <c r="L41" i="15"/>
  <c r="C74" i="6"/>
  <c r="D74" i="6"/>
  <c r="E74" i="6"/>
  <c r="F74" i="6"/>
  <c r="G74" i="6"/>
  <c r="H74" i="6"/>
  <c r="I74" i="6"/>
  <c r="J74" i="6"/>
  <c r="K74" i="6"/>
  <c r="C41" i="15"/>
  <c r="B74" i="6"/>
  <c r="C39" i="15"/>
  <c r="D39" i="15"/>
  <c r="E39" i="15"/>
  <c r="F39" i="15"/>
  <c r="G39" i="15"/>
  <c r="H39" i="15"/>
  <c r="I39" i="15"/>
  <c r="J39" i="15"/>
  <c r="K39" i="15"/>
  <c r="L39" i="15"/>
  <c r="C40" i="15"/>
  <c r="D40" i="15"/>
  <c r="E40" i="15"/>
  <c r="F40" i="15"/>
  <c r="G40" i="15"/>
  <c r="H40" i="15"/>
  <c r="I40" i="15"/>
  <c r="J40" i="15"/>
  <c r="K40" i="15"/>
  <c r="L40" i="15"/>
  <c r="D38" i="15"/>
  <c r="E38" i="15"/>
  <c r="F38" i="15"/>
  <c r="G38" i="15"/>
  <c r="H38" i="15"/>
  <c r="I38" i="15"/>
  <c r="J38" i="15"/>
  <c r="K38" i="15"/>
  <c r="L38" i="15"/>
  <c r="C38" i="15"/>
  <c r="D37" i="15"/>
  <c r="E37" i="15"/>
  <c r="F37" i="15"/>
  <c r="G37" i="15"/>
  <c r="H37" i="15"/>
  <c r="I37" i="15"/>
  <c r="J37" i="15"/>
  <c r="K37" i="15"/>
  <c r="L37" i="15"/>
  <c r="C33" i="15"/>
  <c r="D33" i="15"/>
  <c r="E33" i="15"/>
  <c r="F33" i="15"/>
  <c r="G33" i="15"/>
  <c r="H33" i="15"/>
  <c r="I33" i="15"/>
  <c r="J33" i="15"/>
  <c r="K33" i="15"/>
  <c r="L33" i="15"/>
  <c r="C34" i="15"/>
  <c r="D34" i="15"/>
  <c r="E34" i="15"/>
  <c r="F34" i="15"/>
  <c r="G34" i="15"/>
  <c r="H34" i="15"/>
  <c r="I34" i="15"/>
  <c r="J34" i="15"/>
  <c r="K34" i="15"/>
  <c r="L34" i="15"/>
  <c r="C35" i="15"/>
  <c r="D35" i="15"/>
  <c r="E35" i="15"/>
  <c r="F35" i="15"/>
  <c r="G35" i="15"/>
  <c r="H35" i="15"/>
  <c r="I35" i="15"/>
  <c r="J35" i="15"/>
  <c r="K35" i="15"/>
  <c r="L35" i="15"/>
  <c r="D32" i="15"/>
  <c r="E32" i="15"/>
  <c r="F32" i="15"/>
  <c r="G32" i="15"/>
  <c r="H32" i="15"/>
  <c r="I32" i="15"/>
  <c r="J32" i="15"/>
  <c r="K32" i="15"/>
  <c r="L32" i="15"/>
  <c r="C32" i="15"/>
  <c r="D31" i="15"/>
  <c r="E31" i="15"/>
  <c r="F31" i="15"/>
  <c r="G31" i="15"/>
  <c r="H31" i="15"/>
  <c r="I31" i="15"/>
  <c r="J31" i="15"/>
  <c r="K31" i="15"/>
  <c r="L31" i="15"/>
  <c r="C31" i="15"/>
  <c r="D30" i="15"/>
  <c r="E30" i="15"/>
  <c r="F30" i="15"/>
  <c r="G30" i="15"/>
  <c r="H30" i="15"/>
  <c r="I30" i="15"/>
  <c r="J30" i="15"/>
  <c r="K30" i="15"/>
  <c r="L30" i="15"/>
  <c r="C30" i="15"/>
  <c r="B33" i="15"/>
  <c r="B34" i="15"/>
  <c r="B35" i="15"/>
  <c r="B38" i="15"/>
  <c r="B39" i="15"/>
  <c r="B40" i="15"/>
  <c r="B41" i="15"/>
  <c r="B42" i="15"/>
  <c r="B43" i="15"/>
  <c r="B44" i="15"/>
  <c r="B32" i="15"/>
  <c r="B28" i="15"/>
  <c r="D26" i="15"/>
  <c r="E26" i="15"/>
  <c r="F26" i="15"/>
  <c r="G26" i="15"/>
  <c r="H26" i="15"/>
  <c r="I26" i="15"/>
  <c r="J26" i="15"/>
  <c r="K26" i="15"/>
  <c r="L26" i="15"/>
  <c r="C26" i="15"/>
  <c r="C12" i="15"/>
  <c r="D12" i="15"/>
  <c r="E12" i="15"/>
  <c r="F12" i="15"/>
  <c r="G12" i="15"/>
  <c r="H12" i="15"/>
  <c r="I12" i="15"/>
  <c r="J12" i="15"/>
  <c r="K12" i="15"/>
  <c r="L12" i="15"/>
  <c r="C13" i="15"/>
  <c r="D13" i="15"/>
  <c r="E13" i="15"/>
  <c r="F13" i="15"/>
  <c r="G13" i="15"/>
  <c r="H13" i="15"/>
  <c r="I13" i="15"/>
  <c r="J13" i="15"/>
  <c r="K13" i="15"/>
  <c r="L13" i="15"/>
  <c r="C14" i="15"/>
  <c r="D14" i="15"/>
  <c r="E14" i="15"/>
  <c r="F14" i="15"/>
  <c r="G14" i="15"/>
  <c r="H14" i="15"/>
  <c r="I14" i="15"/>
  <c r="J14" i="15"/>
  <c r="K14" i="15"/>
  <c r="L14" i="15"/>
  <c r="C15" i="15"/>
  <c r="D15" i="15"/>
  <c r="E15" i="15"/>
  <c r="F15" i="15"/>
  <c r="G15" i="15"/>
  <c r="H15" i="15"/>
  <c r="I15" i="15"/>
  <c r="J15" i="15"/>
  <c r="K15" i="15"/>
  <c r="L15" i="15"/>
  <c r="C16" i="15"/>
  <c r="D16" i="15"/>
  <c r="E16" i="15"/>
  <c r="F16" i="15"/>
  <c r="G16" i="15"/>
  <c r="H16" i="15"/>
  <c r="I16" i="15"/>
  <c r="J16" i="15"/>
  <c r="K16" i="15"/>
  <c r="L16" i="15"/>
  <c r="C17" i="15"/>
  <c r="D17" i="15"/>
  <c r="E17" i="15"/>
  <c r="F17" i="15"/>
  <c r="G17" i="15"/>
  <c r="H17" i="15"/>
  <c r="I17" i="15"/>
  <c r="J17" i="15"/>
  <c r="K17" i="15"/>
  <c r="L17" i="15"/>
  <c r="C18" i="15"/>
  <c r="D18" i="15"/>
  <c r="E18" i="15"/>
  <c r="F18" i="15"/>
  <c r="G18" i="15"/>
  <c r="H18" i="15"/>
  <c r="I18" i="15"/>
  <c r="J18" i="15"/>
  <c r="K18" i="15"/>
  <c r="L18" i="15"/>
  <c r="C19" i="15"/>
  <c r="D19" i="15"/>
  <c r="E19" i="15"/>
  <c r="F19" i="15"/>
  <c r="G19" i="15"/>
  <c r="H19" i="15"/>
  <c r="I19" i="15"/>
  <c r="J19" i="15"/>
  <c r="K19" i="15"/>
  <c r="L19" i="15"/>
  <c r="C20" i="15"/>
  <c r="D20" i="15"/>
  <c r="E20" i="15"/>
  <c r="F20" i="15"/>
  <c r="G20" i="15"/>
  <c r="H20" i="15"/>
  <c r="I20" i="15"/>
  <c r="J20" i="15"/>
  <c r="K20" i="15"/>
  <c r="L20" i="15"/>
  <c r="C21" i="15"/>
  <c r="D21" i="15"/>
  <c r="E21" i="15"/>
  <c r="F21" i="15"/>
  <c r="G21" i="15"/>
  <c r="H21" i="15"/>
  <c r="I21" i="15"/>
  <c r="J21" i="15"/>
  <c r="K21" i="15"/>
  <c r="L21" i="15"/>
  <c r="C22" i="15"/>
  <c r="D22" i="15"/>
  <c r="E22" i="15"/>
  <c r="F22" i="15"/>
  <c r="G22" i="15"/>
  <c r="H22" i="15"/>
  <c r="I22" i="15"/>
  <c r="J22" i="15"/>
  <c r="K22" i="15"/>
  <c r="L22" i="15"/>
  <c r="C23" i="15"/>
  <c r="D23" i="15"/>
  <c r="E23" i="15"/>
  <c r="F23" i="15"/>
  <c r="G23" i="15"/>
  <c r="H23" i="15"/>
  <c r="I23" i="15"/>
  <c r="J23" i="15"/>
  <c r="K23" i="15"/>
  <c r="L23" i="15"/>
  <c r="C24" i="15"/>
  <c r="D24" i="15"/>
  <c r="E24" i="15"/>
  <c r="F24" i="15"/>
  <c r="G24" i="15"/>
  <c r="H24" i="15"/>
  <c r="I24" i="15"/>
  <c r="J24" i="15"/>
  <c r="K24" i="15"/>
  <c r="L24" i="15"/>
  <c r="C25" i="15"/>
  <c r="D25" i="15"/>
  <c r="E25" i="15"/>
  <c r="F25" i="15"/>
  <c r="G25" i="15"/>
  <c r="H25" i="15"/>
  <c r="I25" i="15"/>
  <c r="J25" i="15"/>
  <c r="K25" i="15"/>
  <c r="L25" i="15"/>
  <c r="D11" i="15"/>
  <c r="E11" i="15"/>
  <c r="F11" i="15"/>
  <c r="G11" i="15"/>
  <c r="H11" i="15"/>
  <c r="I11" i="15"/>
  <c r="J11" i="15"/>
  <c r="K11" i="15"/>
  <c r="L11" i="15"/>
  <c r="C11" i="15"/>
  <c r="B26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K9" i="15"/>
  <c r="L9" i="15"/>
  <c r="D9" i="15"/>
  <c r="E9" i="15"/>
  <c r="F9" i="15"/>
  <c r="G9" i="15"/>
  <c r="H9" i="15"/>
  <c r="I9" i="15"/>
  <c r="J9" i="15"/>
  <c r="C9" i="15"/>
  <c r="J5" i="13"/>
  <c r="B7" i="15"/>
  <c r="I22" i="16" l="1"/>
  <c r="H15" i="16"/>
  <c r="H36" i="16"/>
  <c r="H38" i="16" s="1"/>
  <c r="L15" i="16"/>
  <c r="L47" i="16" s="1"/>
  <c r="L53" i="16" s="1"/>
  <c r="L54" i="16" s="1"/>
  <c r="L60" i="16" s="1"/>
  <c r="L36" i="16"/>
  <c r="L38" i="16" s="1"/>
  <c r="I36" i="16"/>
  <c r="I38" i="16" s="1"/>
  <c r="K36" i="16"/>
  <c r="K38" i="16" s="1"/>
  <c r="J36" i="16"/>
  <c r="J38" i="16" s="1"/>
  <c r="I15" i="16"/>
  <c r="I24" i="16" s="1"/>
  <c r="L22" i="16"/>
  <c r="L24" i="16" s="1"/>
  <c r="L40" i="16" s="1"/>
  <c r="L42" i="16" s="1"/>
  <c r="L61" i="16" s="1"/>
  <c r="K22" i="16"/>
  <c r="K24" i="16" s="1"/>
  <c r="K40" i="16" s="1"/>
  <c r="K42" i="16" s="1"/>
  <c r="K61" i="16" s="1"/>
  <c r="J22" i="16"/>
  <c r="K15" i="16"/>
  <c r="J15" i="16"/>
  <c r="H22" i="16"/>
  <c r="H24" i="16"/>
  <c r="H40" i="16"/>
  <c r="H42" i="16" s="1"/>
  <c r="D30" i="18"/>
  <c r="K33" i="18"/>
  <c r="K25" i="18" s="1"/>
  <c r="C33" i="6"/>
  <c r="D33" i="6"/>
  <c r="E33" i="6"/>
  <c r="F33" i="6"/>
  <c r="G33" i="6"/>
  <c r="H33" i="6"/>
  <c r="I33" i="6"/>
  <c r="J33" i="6"/>
  <c r="B33" i="6"/>
  <c r="L2" i="13"/>
  <c r="N15" i="13"/>
  <c r="N16" i="13"/>
  <c r="N17" i="13"/>
  <c r="N18" i="13"/>
  <c r="N14" i="13"/>
  <c r="O6" i="13"/>
  <c r="O7" i="13"/>
  <c r="O8" i="13"/>
  <c r="O9" i="13"/>
  <c r="O10" i="13"/>
  <c r="O11" i="13"/>
  <c r="O12" i="13"/>
  <c r="O13" i="13"/>
  <c r="N4" i="13" a="1"/>
  <c r="N5" i="13" s="1"/>
  <c r="N4" i="13"/>
  <c r="N7" i="13"/>
  <c r="N8" i="13"/>
  <c r="N9" i="13"/>
  <c r="N10" i="13"/>
  <c r="N11" i="13"/>
  <c r="N12" i="13"/>
  <c r="N13" i="13"/>
  <c r="L5" i="13"/>
  <c r="L6" i="13" s="1"/>
  <c r="L7" i="13" s="1"/>
  <c r="L8" i="13" s="1"/>
  <c r="L9" i="13" s="1"/>
  <c r="L10" i="13" s="1"/>
  <c r="L11" i="13" s="1"/>
  <c r="L12" i="13" s="1"/>
  <c r="L13" i="13" s="1"/>
  <c r="L14" i="13" s="1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I4" i="13" a="1"/>
  <c r="I4" i="13" s="1"/>
  <c r="I11" i="13"/>
  <c r="I12" i="13"/>
  <c r="J12" i="13" s="1"/>
  <c r="B2" i="13"/>
  <c r="G2" i="13"/>
  <c r="G5" i="13"/>
  <c r="G6" i="13" s="1"/>
  <c r="G7" i="13" s="1"/>
  <c r="G8" i="13" s="1"/>
  <c r="G9" i="13" s="1"/>
  <c r="G10" i="13" s="1"/>
  <c r="G11" i="13" s="1"/>
  <c r="G12" i="13" s="1"/>
  <c r="G13" i="13" s="1"/>
  <c r="G14" i="13" s="1"/>
  <c r="H4" i="13"/>
  <c r="H5" i="13" s="1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C4" i="13"/>
  <c r="C5" i="13" s="1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D4" i="13" a="1"/>
  <c r="D4" i="13" s="1"/>
  <c r="B5" i="13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O35" i="12"/>
  <c r="O36" i="12"/>
  <c r="O37" i="12"/>
  <c r="O28" i="12"/>
  <c r="O29" i="12"/>
  <c r="O30" i="12"/>
  <c r="O31" i="12"/>
  <c r="O22" i="12"/>
  <c r="O23" i="12"/>
  <c r="O24" i="12"/>
  <c r="O25" i="12"/>
  <c r="O18" i="12"/>
  <c r="O19" i="12"/>
  <c r="O34" i="12"/>
  <c r="O27" i="12"/>
  <c r="O21" i="12"/>
  <c r="O17" i="12"/>
  <c r="O15" i="12"/>
  <c r="O14" i="12"/>
  <c r="O13" i="12"/>
  <c r="O12" i="12"/>
  <c r="O11" i="12"/>
  <c r="O6" i="12"/>
  <c r="O7" i="12"/>
  <c r="O8" i="12"/>
  <c r="O9" i="12"/>
  <c r="O5" i="12"/>
  <c r="N35" i="12"/>
  <c r="N36" i="12"/>
  <c r="N37" i="12"/>
  <c r="N34" i="12"/>
  <c r="N28" i="12"/>
  <c r="N29" i="12"/>
  <c r="N30" i="12"/>
  <c r="N31" i="12"/>
  <c r="N27" i="12"/>
  <c r="N22" i="12"/>
  <c r="N23" i="12"/>
  <c r="N24" i="12"/>
  <c r="N25" i="12"/>
  <c r="N21" i="12"/>
  <c r="N18" i="12"/>
  <c r="N19" i="12"/>
  <c r="N17" i="12"/>
  <c r="N12" i="12"/>
  <c r="N13" i="12"/>
  <c r="N14" i="12"/>
  <c r="N15" i="12"/>
  <c r="N11" i="12"/>
  <c r="N6" i="12"/>
  <c r="N7" i="12"/>
  <c r="N8" i="12"/>
  <c r="N9" i="12"/>
  <c r="N5" i="12"/>
  <c r="H34" i="12"/>
  <c r="I34" i="12"/>
  <c r="J34" i="12"/>
  <c r="K34" i="12"/>
  <c r="L34" i="12"/>
  <c r="D35" i="12"/>
  <c r="E35" i="12"/>
  <c r="F35" i="12"/>
  <c r="K35" i="12"/>
  <c r="L35" i="12"/>
  <c r="D36" i="12"/>
  <c r="E36" i="12"/>
  <c r="F36" i="12"/>
  <c r="G36" i="12"/>
  <c r="H36" i="12"/>
  <c r="I36" i="12"/>
  <c r="D27" i="12"/>
  <c r="D34" i="12" s="1"/>
  <c r="E27" i="12"/>
  <c r="E34" i="12" s="1"/>
  <c r="F27" i="12"/>
  <c r="F34" i="12" s="1"/>
  <c r="G27" i="12"/>
  <c r="G34" i="12" s="1"/>
  <c r="G37" i="12" s="1"/>
  <c r="H27" i="12"/>
  <c r="I27" i="12"/>
  <c r="J27" i="12"/>
  <c r="K27" i="12"/>
  <c r="L27" i="12"/>
  <c r="D28" i="12"/>
  <c r="E28" i="12"/>
  <c r="F28" i="12"/>
  <c r="G28" i="12"/>
  <c r="G35" i="12" s="1"/>
  <c r="H28" i="12"/>
  <c r="H35" i="12" s="1"/>
  <c r="I28" i="12"/>
  <c r="I35" i="12" s="1"/>
  <c r="J28" i="12"/>
  <c r="J35" i="12" s="1"/>
  <c r="K28" i="12"/>
  <c r="L28" i="12"/>
  <c r="D29" i="12"/>
  <c r="E29" i="12"/>
  <c r="F29" i="12"/>
  <c r="G29" i="12"/>
  <c r="H29" i="12"/>
  <c r="I29" i="12"/>
  <c r="J29" i="12"/>
  <c r="J36" i="12" s="1"/>
  <c r="K29" i="12"/>
  <c r="K36" i="12" s="1"/>
  <c r="L29" i="12"/>
  <c r="L36" i="12" s="1"/>
  <c r="D30" i="12"/>
  <c r="E30" i="12"/>
  <c r="F30" i="12"/>
  <c r="G30" i="12"/>
  <c r="H30" i="12"/>
  <c r="I30" i="12"/>
  <c r="J30" i="12"/>
  <c r="K30" i="12"/>
  <c r="L30" i="12"/>
  <c r="D31" i="12"/>
  <c r="E31" i="12"/>
  <c r="F31" i="12"/>
  <c r="G31" i="12"/>
  <c r="H31" i="12"/>
  <c r="I31" i="12"/>
  <c r="J31" i="12"/>
  <c r="K31" i="12"/>
  <c r="L31" i="12"/>
  <c r="C31" i="12"/>
  <c r="C30" i="12"/>
  <c r="C29" i="12"/>
  <c r="C36" i="12" s="1"/>
  <c r="C28" i="12"/>
  <c r="C35" i="12" s="1"/>
  <c r="C27" i="12"/>
  <c r="C34" i="12" s="1"/>
  <c r="C37" i="12" s="1"/>
  <c r="D21" i="12"/>
  <c r="E21" i="12"/>
  <c r="F21" i="12"/>
  <c r="G21" i="12"/>
  <c r="H21" i="12"/>
  <c r="I21" i="12"/>
  <c r="J21" i="12"/>
  <c r="K21" i="12"/>
  <c r="L21" i="12"/>
  <c r="D22" i="12"/>
  <c r="E22" i="12"/>
  <c r="E24" i="12" s="1"/>
  <c r="F22" i="12"/>
  <c r="F24" i="12" s="1"/>
  <c r="G22" i="12"/>
  <c r="H22" i="12"/>
  <c r="I22" i="12"/>
  <c r="J22" i="12"/>
  <c r="K22" i="12"/>
  <c r="L22" i="12"/>
  <c r="D23" i="12"/>
  <c r="E23" i="12"/>
  <c r="F23" i="12"/>
  <c r="G23" i="12"/>
  <c r="H23" i="12"/>
  <c r="I23" i="12"/>
  <c r="J23" i="12"/>
  <c r="J24" i="12" s="1"/>
  <c r="K23" i="12"/>
  <c r="K24" i="12" s="1"/>
  <c r="L23" i="12"/>
  <c r="L24" i="12"/>
  <c r="D25" i="12"/>
  <c r="E25" i="12"/>
  <c r="F25" i="12"/>
  <c r="G25" i="12"/>
  <c r="H25" i="12"/>
  <c r="I25" i="12"/>
  <c r="J25" i="12"/>
  <c r="K25" i="12"/>
  <c r="L25" i="12"/>
  <c r="C25" i="12"/>
  <c r="D5" i="12"/>
  <c r="L9" i="12"/>
  <c r="K9" i="12"/>
  <c r="J9" i="12"/>
  <c r="I9" i="12"/>
  <c r="H9" i="12"/>
  <c r="G9" i="12"/>
  <c r="F9" i="12"/>
  <c r="E9" i="12"/>
  <c r="L8" i="12"/>
  <c r="K8" i="12"/>
  <c r="J8" i="12"/>
  <c r="I8" i="12"/>
  <c r="H8" i="12"/>
  <c r="G8" i="12"/>
  <c r="F8" i="12"/>
  <c r="E8" i="12"/>
  <c r="L7" i="12"/>
  <c r="K7" i="12"/>
  <c r="J7" i="12"/>
  <c r="I7" i="12"/>
  <c r="H7" i="12"/>
  <c r="G7" i="12"/>
  <c r="F7" i="12"/>
  <c r="E7" i="12"/>
  <c r="L6" i="12"/>
  <c r="K6" i="12"/>
  <c r="J6" i="12"/>
  <c r="I6" i="12"/>
  <c r="H6" i="12"/>
  <c r="G6" i="12"/>
  <c r="F6" i="12"/>
  <c r="E6" i="12"/>
  <c r="L5" i="12"/>
  <c r="K5" i="12"/>
  <c r="J5" i="12"/>
  <c r="I5" i="12"/>
  <c r="H5" i="12"/>
  <c r="G5" i="12"/>
  <c r="F5" i="12"/>
  <c r="E5" i="12"/>
  <c r="C23" i="12"/>
  <c r="C22" i="12"/>
  <c r="C24" i="12" s="1"/>
  <c r="C21" i="12"/>
  <c r="L18" i="12"/>
  <c r="K18" i="12"/>
  <c r="J18" i="12"/>
  <c r="I18" i="12"/>
  <c r="H18" i="12"/>
  <c r="G18" i="12"/>
  <c r="F18" i="12"/>
  <c r="E18" i="12"/>
  <c r="D18" i="12"/>
  <c r="L17" i="12"/>
  <c r="K17" i="12"/>
  <c r="J17" i="12"/>
  <c r="I17" i="12"/>
  <c r="H17" i="12"/>
  <c r="G17" i="12"/>
  <c r="F17" i="12"/>
  <c r="E17" i="12"/>
  <c r="D17" i="12"/>
  <c r="C18" i="12"/>
  <c r="C17" i="12"/>
  <c r="L15" i="12"/>
  <c r="K15" i="12"/>
  <c r="J15" i="12"/>
  <c r="I15" i="12"/>
  <c r="H15" i="12"/>
  <c r="G15" i="12"/>
  <c r="F15" i="12"/>
  <c r="E15" i="12"/>
  <c r="D15" i="12"/>
  <c r="L14" i="12"/>
  <c r="K14" i="12"/>
  <c r="J14" i="12"/>
  <c r="I14" i="12"/>
  <c r="H14" i="12"/>
  <c r="G14" i="12"/>
  <c r="F14" i="12"/>
  <c r="E14" i="12"/>
  <c r="D14" i="12"/>
  <c r="L13" i="12"/>
  <c r="L19" i="12" s="1"/>
  <c r="K13" i="12"/>
  <c r="K19" i="12" s="1"/>
  <c r="J13" i="12"/>
  <c r="J19" i="12" s="1"/>
  <c r="I13" i="12"/>
  <c r="I19" i="12" s="1"/>
  <c r="H13" i="12"/>
  <c r="H19" i="12" s="1"/>
  <c r="G13" i="12"/>
  <c r="G19" i="12" s="1"/>
  <c r="F13" i="12"/>
  <c r="F19" i="12" s="1"/>
  <c r="E13" i="12"/>
  <c r="E19" i="12" s="1"/>
  <c r="D13" i="12"/>
  <c r="D19" i="12" s="1"/>
  <c r="L12" i="12"/>
  <c r="K12" i="12"/>
  <c r="J12" i="12"/>
  <c r="I12" i="12"/>
  <c r="H12" i="12"/>
  <c r="G12" i="12"/>
  <c r="F12" i="12"/>
  <c r="E12" i="12"/>
  <c r="D12" i="12"/>
  <c r="L11" i="12"/>
  <c r="K11" i="12"/>
  <c r="J11" i="12"/>
  <c r="I11" i="12"/>
  <c r="H11" i="12"/>
  <c r="G11" i="12"/>
  <c r="F11" i="12"/>
  <c r="E11" i="12"/>
  <c r="D11" i="12"/>
  <c r="C13" i="12"/>
  <c r="C19" i="12" s="1"/>
  <c r="C11" i="12"/>
  <c r="C15" i="12"/>
  <c r="C14" i="12"/>
  <c r="C12" i="12"/>
  <c r="D9" i="12"/>
  <c r="D8" i="12"/>
  <c r="D7" i="12"/>
  <c r="D6" i="12"/>
  <c r="B2" i="12"/>
  <c r="L3" i="12"/>
  <c r="K3" i="12"/>
  <c r="J3" i="12"/>
  <c r="I3" i="12"/>
  <c r="H3" i="12"/>
  <c r="G3" i="12"/>
  <c r="F3" i="12"/>
  <c r="E3" i="12"/>
  <c r="D3" i="12"/>
  <c r="C3" i="12"/>
  <c r="C96" i="8"/>
  <c r="D96" i="8"/>
  <c r="E96" i="8"/>
  <c r="F96" i="8"/>
  <c r="G96" i="8"/>
  <c r="H96" i="8"/>
  <c r="I96" i="8"/>
  <c r="J96" i="8"/>
  <c r="K96" i="8"/>
  <c r="L96" i="8"/>
  <c r="C97" i="8"/>
  <c r="D97" i="8"/>
  <c r="E97" i="8"/>
  <c r="F97" i="8"/>
  <c r="G97" i="8"/>
  <c r="H97" i="8"/>
  <c r="I97" i="8"/>
  <c r="J97" i="8"/>
  <c r="K97" i="8"/>
  <c r="L97" i="8"/>
  <c r="C98" i="8"/>
  <c r="D98" i="8"/>
  <c r="E98" i="8"/>
  <c r="F98" i="8"/>
  <c r="G98" i="8"/>
  <c r="H98" i="8"/>
  <c r="I98" i="8"/>
  <c r="J98" i="8"/>
  <c r="K98" i="8"/>
  <c r="L98" i="8"/>
  <c r="C99" i="8"/>
  <c r="D99" i="8"/>
  <c r="E99" i="8"/>
  <c r="F99" i="8"/>
  <c r="G99" i="8"/>
  <c r="H99" i="8"/>
  <c r="I99" i="8"/>
  <c r="J99" i="8"/>
  <c r="K99" i="8"/>
  <c r="L99" i="8"/>
  <c r="C100" i="8"/>
  <c r="D100" i="8"/>
  <c r="E100" i="8"/>
  <c r="F100" i="8"/>
  <c r="G100" i="8"/>
  <c r="H100" i="8"/>
  <c r="I100" i="8"/>
  <c r="J100" i="8"/>
  <c r="K100" i="8"/>
  <c r="L100" i="8"/>
  <c r="C101" i="8"/>
  <c r="D101" i="8"/>
  <c r="E101" i="8"/>
  <c r="F101" i="8"/>
  <c r="G101" i="8"/>
  <c r="H101" i="8"/>
  <c r="I101" i="8"/>
  <c r="J101" i="8"/>
  <c r="K101" i="8"/>
  <c r="L101" i="8"/>
  <c r="C102" i="8"/>
  <c r="D102" i="8"/>
  <c r="E102" i="8"/>
  <c r="F102" i="8"/>
  <c r="G102" i="8"/>
  <c r="H102" i="8"/>
  <c r="I102" i="8"/>
  <c r="J102" i="8"/>
  <c r="K102" i="8"/>
  <c r="L102" i="8"/>
  <c r="D95" i="8"/>
  <c r="E95" i="8"/>
  <c r="F95" i="8"/>
  <c r="G95" i="8"/>
  <c r="H95" i="8"/>
  <c r="I95" i="8"/>
  <c r="J95" i="8"/>
  <c r="K95" i="8"/>
  <c r="L95" i="8"/>
  <c r="C95" i="8"/>
  <c r="C82" i="8"/>
  <c r="D82" i="8"/>
  <c r="E82" i="8"/>
  <c r="F82" i="8"/>
  <c r="G82" i="8"/>
  <c r="H82" i="8"/>
  <c r="I82" i="8"/>
  <c r="J82" i="8"/>
  <c r="K82" i="8"/>
  <c r="L82" i="8"/>
  <c r="C83" i="8"/>
  <c r="D83" i="8"/>
  <c r="E83" i="8"/>
  <c r="F83" i="8"/>
  <c r="G83" i="8"/>
  <c r="H83" i="8"/>
  <c r="I83" i="8"/>
  <c r="J83" i="8"/>
  <c r="K83" i="8"/>
  <c r="L83" i="8"/>
  <c r="C84" i="8"/>
  <c r="D84" i="8"/>
  <c r="E84" i="8"/>
  <c r="F84" i="8"/>
  <c r="G84" i="8"/>
  <c r="H84" i="8"/>
  <c r="I84" i="8"/>
  <c r="J84" i="8"/>
  <c r="K84" i="8"/>
  <c r="L84" i="8"/>
  <c r="C85" i="8"/>
  <c r="D85" i="8"/>
  <c r="E85" i="8"/>
  <c r="F85" i="8"/>
  <c r="G85" i="8"/>
  <c r="H85" i="8"/>
  <c r="I85" i="8"/>
  <c r="J85" i="8"/>
  <c r="K85" i="8"/>
  <c r="L85" i="8"/>
  <c r="C86" i="8"/>
  <c r="D86" i="8"/>
  <c r="E86" i="8"/>
  <c r="F86" i="8"/>
  <c r="G86" i="8"/>
  <c r="H86" i="8"/>
  <c r="I86" i="8"/>
  <c r="J86" i="8"/>
  <c r="K86" i="8"/>
  <c r="L86" i="8"/>
  <c r="C87" i="8"/>
  <c r="D87" i="8"/>
  <c r="E87" i="8"/>
  <c r="F87" i="8"/>
  <c r="G87" i="8"/>
  <c r="H87" i="8"/>
  <c r="I87" i="8"/>
  <c r="J87" i="8"/>
  <c r="K87" i="8"/>
  <c r="L87" i="8"/>
  <c r="C88" i="8"/>
  <c r="D88" i="8"/>
  <c r="E88" i="8"/>
  <c r="F88" i="8"/>
  <c r="G88" i="8"/>
  <c r="H88" i="8"/>
  <c r="I88" i="8"/>
  <c r="J88" i="8"/>
  <c r="K88" i="8"/>
  <c r="L88" i="8"/>
  <c r="C89" i="8"/>
  <c r="D89" i="8"/>
  <c r="E89" i="8"/>
  <c r="F89" i="8"/>
  <c r="G89" i="8"/>
  <c r="H89" i="8"/>
  <c r="I89" i="8"/>
  <c r="J89" i="8"/>
  <c r="K89" i="8"/>
  <c r="L89" i="8"/>
  <c r="C90" i="8"/>
  <c r="D90" i="8"/>
  <c r="E90" i="8"/>
  <c r="F90" i="8"/>
  <c r="G90" i="8"/>
  <c r="H90" i="8"/>
  <c r="I90" i="8"/>
  <c r="J90" i="8"/>
  <c r="K90" i="8"/>
  <c r="L90" i="8"/>
  <c r="C91" i="8"/>
  <c r="D91" i="8"/>
  <c r="E91" i="8"/>
  <c r="F91" i="8"/>
  <c r="G91" i="8"/>
  <c r="H91" i="8"/>
  <c r="I91" i="8"/>
  <c r="J91" i="8"/>
  <c r="K91" i="8"/>
  <c r="L91" i="8"/>
  <c r="D81" i="8"/>
  <c r="E81" i="8"/>
  <c r="F81" i="8"/>
  <c r="G81" i="8"/>
  <c r="H81" i="8"/>
  <c r="I81" i="8"/>
  <c r="J81" i="8"/>
  <c r="K81" i="8"/>
  <c r="L81" i="8"/>
  <c r="C81" i="8"/>
  <c r="C71" i="8"/>
  <c r="D71" i="8"/>
  <c r="E71" i="8"/>
  <c r="F71" i="8"/>
  <c r="G71" i="8"/>
  <c r="H71" i="8"/>
  <c r="I71" i="8"/>
  <c r="J71" i="8"/>
  <c r="K71" i="8"/>
  <c r="L71" i="8"/>
  <c r="C72" i="8"/>
  <c r="D72" i="8"/>
  <c r="E72" i="8"/>
  <c r="F72" i="8"/>
  <c r="G72" i="8"/>
  <c r="H72" i="8"/>
  <c r="I72" i="8"/>
  <c r="J72" i="8"/>
  <c r="K72" i="8"/>
  <c r="L72" i="8"/>
  <c r="C73" i="8"/>
  <c r="D73" i="8"/>
  <c r="E73" i="8"/>
  <c r="F73" i="8"/>
  <c r="G73" i="8"/>
  <c r="H73" i="8"/>
  <c r="I73" i="8"/>
  <c r="J73" i="8"/>
  <c r="K73" i="8"/>
  <c r="L73" i="8"/>
  <c r="C74" i="8"/>
  <c r="D74" i="8"/>
  <c r="E74" i="8"/>
  <c r="F74" i="8"/>
  <c r="G74" i="8"/>
  <c r="H74" i="8"/>
  <c r="I74" i="8"/>
  <c r="J74" i="8"/>
  <c r="K74" i="8"/>
  <c r="L74" i="8"/>
  <c r="C75" i="8"/>
  <c r="D75" i="8"/>
  <c r="E75" i="8"/>
  <c r="F75" i="8"/>
  <c r="G75" i="8"/>
  <c r="H75" i="8"/>
  <c r="I75" i="8"/>
  <c r="J75" i="8"/>
  <c r="K75" i="8"/>
  <c r="L75" i="8"/>
  <c r="C76" i="8"/>
  <c r="D76" i="8"/>
  <c r="E76" i="8"/>
  <c r="F76" i="8"/>
  <c r="G76" i="8"/>
  <c r="H76" i="8"/>
  <c r="I76" i="8"/>
  <c r="J76" i="8"/>
  <c r="K76" i="8"/>
  <c r="L76" i="8"/>
  <c r="C77" i="8"/>
  <c r="D77" i="8"/>
  <c r="E77" i="8"/>
  <c r="F77" i="8"/>
  <c r="G77" i="8"/>
  <c r="H77" i="8"/>
  <c r="I77" i="8"/>
  <c r="J77" i="8"/>
  <c r="K77" i="8"/>
  <c r="L77" i="8"/>
  <c r="D70" i="8"/>
  <c r="E70" i="8"/>
  <c r="F70" i="8"/>
  <c r="G70" i="8"/>
  <c r="H70" i="8"/>
  <c r="I70" i="8"/>
  <c r="J70" i="8"/>
  <c r="K70" i="8"/>
  <c r="L70" i="8"/>
  <c r="C70" i="8"/>
  <c r="D57" i="8"/>
  <c r="J57" i="8"/>
  <c r="D56" i="8"/>
  <c r="E56" i="8"/>
  <c r="F56" i="8"/>
  <c r="G56" i="8"/>
  <c r="H56" i="8"/>
  <c r="I56" i="8"/>
  <c r="J56" i="8"/>
  <c r="K56" i="8"/>
  <c r="L56" i="8"/>
  <c r="C56" i="8"/>
  <c r="C60" i="8"/>
  <c r="D60" i="8"/>
  <c r="D62" i="8" s="1"/>
  <c r="D64" i="8" s="1"/>
  <c r="D66" i="8" s="1"/>
  <c r="E60" i="8"/>
  <c r="E62" i="8" s="1"/>
  <c r="E64" i="8" s="1"/>
  <c r="E66" i="8" s="1"/>
  <c r="F60" i="8"/>
  <c r="G60" i="8"/>
  <c r="H60" i="8"/>
  <c r="I60" i="8"/>
  <c r="I62" i="8" s="1"/>
  <c r="J60" i="8"/>
  <c r="J62" i="8" s="1"/>
  <c r="K60" i="8"/>
  <c r="K62" i="8" s="1"/>
  <c r="L60" i="8"/>
  <c r="M60" i="8"/>
  <c r="C61" i="8"/>
  <c r="D61" i="8"/>
  <c r="E61" i="8"/>
  <c r="F61" i="8"/>
  <c r="G61" i="8"/>
  <c r="H61" i="8"/>
  <c r="I61" i="8"/>
  <c r="J61" i="8"/>
  <c r="K61" i="8"/>
  <c r="L61" i="8"/>
  <c r="M61" i="8"/>
  <c r="D59" i="8"/>
  <c r="E59" i="8"/>
  <c r="F59" i="8"/>
  <c r="F62" i="8" s="1"/>
  <c r="G59" i="8"/>
  <c r="G62" i="8" s="1"/>
  <c r="H59" i="8"/>
  <c r="H62" i="8" s="1"/>
  <c r="I59" i="8"/>
  <c r="J59" i="8"/>
  <c r="K59" i="8"/>
  <c r="L59" i="8"/>
  <c r="L62" i="8" s="1"/>
  <c r="M59" i="8"/>
  <c r="M62" i="8" s="1"/>
  <c r="M64" i="8" s="1"/>
  <c r="C59" i="8"/>
  <c r="C62" i="8" s="1"/>
  <c r="C54" i="8"/>
  <c r="D54" i="8"/>
  <c r="E54" i="8"/>
  <c r="F54" i="8"/>
  <c r="G54" i="8"/>
  <c r="H54" i="8"/>
  <c r="I54" i="8"/>
  <c r="J54" i="8"/>
  <c r="K54" i="8"/>
  <c r="L54" i="8"/>
  <c r="M54" i="8"/>
  <c r="C55" i="8"/>
  <c r="D55" i="8"/>
  <c r="E55" i="8"/>
  <c r="F55" i="8"/>
  <c r="G55" i="8"/>
  <c r="H55" i="8"/>
  <c r="I55" i="8"/>
  <c r="J55" i="8"/>
  <c r="K55" i="8"/>
  <c r="L55" i="8"/>
  <c r="M55" i="8"/>
  <c r="M56" i="8"/>
  <c r="M57" i="8"/>
  <c r="D53" i="8"/>
  <c r="E53" i="8"/>
  <c r="E57" i="8" s="1"/>
  <c r="F53" i="8"/>
  <c r="F57" i="8" s="1"/>
  <c r="G53" i="8"/>
  <c r="G57" i="8" s="1"/>
  <c r="H53" i="8"/>
  <c r="H57" i="8" s="1"/>
  <c r="I53" i="8"/>
  <c r="I57" i="8" s="1"/>
  <c r="J53" i="8"/>
  <c r="K53" i="8"/>
  <c r="K57" i="8" s="1"/>
  <c r="L53" i="8"/>
  <c r="L57" i="8" s="1"/>
  <c r="M53" i="8"/>
  <c r="C53" i="8"/>
  <c r="C57" i="8" s="1"/>
  <c r="C48" i="8"/>
  <c r="D48" i="8"/>
  <c r="E48" i="8"/>
  <c r="F48" i="8"/>
  <c r="G48" i="8"/>
  <c r="H48" i="8"/>
  <c r="I48" i="8"/>
  <c r="J48" i="8"/>
  <c r="K48" i="8"/>
  <c r="L48" i="8"/>
  <c r="M48" i="8"/>
  <c r="C49" i="8"/>
  <c r="D49" i="8"/>
  <c r="E49" i="8"/>
  <c r="F49" i="8"/>
  <c r="G49" i="8"/>
  <c r="H49" i="8"/>
  <c r="I49" i="8"/>
  <c r="J49" i="8"/>
  <c r="K49" i="8"/>
  <c r="L49" i="8"/>
  <c r="M49" i="8"/>
  <c r="C50" i="8"/>
  <c r="D50" i="8"/>
  <c r="E50" i="8"/>
  <c r="F50" i="8"/>
  <c r="G50" i="8"/>
  <c r="H50" i="8"/>
  <c r="I50" i="8"/>
  <c r="J50" i="8"/>
  <c r="K50" i="8"/>
  <c r="L50" i="8"/>
  <c r="M50" i="8"/>
  <c r="C51" i="8"/>
  <c r="D51" i="8"/>
  <c r="E51" i="8"/>
  <c r="F51" i="8"/>
  <c r="G51" i="8"/>
  <c r="H51" i="8"/>
  <c r="I51" i="8"/>
  <c r="J51" i="8"/>
  <c r="K51" i="8"/>
  <c r="L51" i="8"/>
  <c r="M51" i="8"/>
  <c r="C47" i="8"/>
  <c r="E47" i="8"/>
  <c r="F47" i="8"/>
  <c r="G47" i="8"/>
  <c r="H47" i="8"/>
  <c r="I47" i="8"/>
  <c r="J47" i="8"/>
  <c r="K47" i="8"/>
  <c r="L47" i="8"/>
  <c r="M47" i="8"/>
  <c r="D47" i="8"/>
  <c r="D36" i="8"/>
  <c r="D41" i="8" s="1"/>
  <c r="E36" i="8"/>
  <c r="E41" i="8" s="1"/>
  <c r="F36" i="8"/>
  <c r="F41" i="8" s="1"/>
  <c r="G36" i="8"/>
  <c r="G41" i="8" s="1"/>
  <c r="H36" i="8"/>
  <c r="H41" i="8" s="1"/>
  <c r="I36" i="8"/>
  <c r="I41" i="8" s="1"/>
  <c r="J36" i="8"/>
  <c r="J41" i="8" s="1"/>
  <c r="K36" i="8"/>
  <c r="K41" i="8" s="1"/>
  <c r="L36" i="8"/>
  <c r="L41" i="8" s="1"/>
  <c r="M36" i="8"/>
  <c r="M41" i="8" s="1"/>
  <c r="C36" i="8"/>
  <c r="C41" i="8" s="1"/>
  <c r="M30" i="8"/>
  <c r="D30" i="8"/>
  <c r="E30" i="8"/>
  <c r="F30" i="8"/>
  <c r="G30" i="8"/>
  <c r="H30" i="8"/>
  <c r="I30" i="8"/>
  <c r="J30" i="8"/>
  <c r="K30" i="8"/>
  <c r="L30" i="8"/>
  <c r="C30" i="8"/>
  <c r="M24" i="8"/>
  <c r="D24" i="8"/>
  <c r="E24" i="8"/>
  <c r="F24" i="8"/>
  <c r="G24" i="8"/>
  <c r="H24" i="8"/>
  <c r="I24" i="8"/>
  <c r="J24" i="8"/>
  <c r="K24" i="8"/>
  <c r="L24" i="8"/>
  <c r="C24" i="8"/>
  <c r="M21" i="8"/>
  <c r="D21" i="8"/>
  <c r="E21" i="8"/>
  <c r="F21" i="8"/>
  <c r="G21" i="8"/>
  <c r="H21" i="8"/>
  <c r="I21" i="8"/>
  <c r="J21" i="8"/>
  <c r="K21" i="8"/>
  <c r="L21" i="8"/>
  <c r="C21" i="8"/>
  <c r="M18" i="8"/>
  <c r="D15" i="8"/>
  <c r="E15" i="8"/>
  <c r="F15" i="8"/>
  <c r="G15" i="8"/>
  <c r="H15" i="8"/>
  <c r="I15" i="8"/>
  <c r="J15" i="8"/>
  <c r="K15" i="8"/>
  <c r="L15" i="8"/>
  <c r="L16" i="8" s="1"/>
  <c r="C15" i="8"/>
  <c r="M9" i="8"/>
  <c r="D9" i="8"/>
  <c r="E9" i="8"/>
  <c r="F9" i="8"/>
  <c r="G9" i="8"/>
  <c r="H9" i="8"/>
  <c r="I9" i="8"/>
  <c r="J9" i="8"/>
  <c r="K9" i="8"/>
  <c r="L9" i="8"/>
  <c r="C9" i="8"/>
  <c r="M6" i="8"/>
  <c r="M16" i="8" s="1"/>
  <c r="D6" i="8"/>
  <c r="E6" i="8"/>
  <c r="F6" i="8"/>
  <c r="G6" i="8"/>
  <c r="H6" i="8"/>
  <c r="H7" i="8" s="1"/>
  <c r="I6" i="8"/>
  <c r="J6" i="8"/>
  <c r="K6" i="8"/>
  <c r="L6" i="8"/>
  <c r="C6" i="8"/>
  <c r="D3" i="8"/>
  <c r="E3" i="8"/>
  <c r="F3" i="8"/>
  <c r="G3" i="8"/>
  <c r="H3" i="8"/>
  <c r="I3" i="8"/>
  <c r="J3" i="8"/>
  <c r="K3" i="8"/>
  <c r="L3" i="8"/>
  <c r="C3" i="8"/>
  <c r="B2" i="8"/>
  <c r="C6" i="3"/>
  <c r="D6" i="3"/>
  <c r="E6" i="3"/>
  <c r="F6" i="3"/>
  <c r="G6" i="3"/>
  <c r="H6" i="3"/>
  <c r="H14" i="3" s="1"/>
  <c r="I6" i="3"/>
  <c r="J6" i="3"/>
  <c r="K6" i="3"/>
  <c r="B6" i="3"/>
  <c r="C5" i="1"/>
  <c r="C6" i="1" s="1"/>
  <c r="C19" i="1" s="1"/>
  <c r="D5" i="1"/>
  <c r="E5" i="1"/>
  <c r="F5" i="1"/>
  <c r="G5" i="1"/>
  <c r="H5" i="1"/>
  <c r="I5" i="1"/>
  <c r="J5" i="1"/>
  <c r="J6" i="1" s="1"/>
  <c r="J19" i="1" s="1"/>
  <c r="K5" i="1"/>
  <c r="B5" i="1"/>
  <c r="D13" i="1" s="1"/>
  <c r="E13" i="1" s="1"/>
  <c r="C13" i="1"/>
  <c r="C14" i="1" s="1"/>
  <c r="F13" i="1"/>
  <c r="F14" i="1" s="1"/>
  <c r="G13" i="1"/>
  <c r="B6" i="6"/>
  <c r="C17" i="2"/>
  <c r="D17" i="2"/>
  <c r="E17" i="2"/>
  <c r="F17" i="2"/>
  <c r="G17" i="2"/>
  <c r="H17" i="2"/>
  <c r="I17" i="2"/>
  <c r="J17" i="2"/>
  <c r="J20" i="2" s="1"/>
  <c r="K17" i="2"/>
  <c r="C18" i="2"/>
  <c r="D18" i="2"/>
  <c r="E18" i="2"/>
  <c r="F18" i="2"/>
  <c r="G18" i="2"/>
  <c r="H18" i="2"/>
  <c r="I18" i="2"/>
  <c r="J18" i="2"/>
  <c r="K18" i="2"/>
  <c r="B17" i="2"/>
  <c r="C4" i="2"/>
  <c r="C23" i="2" s="1"/>
  <c r="D4" i="2"/>
  <c r="E24" i="2" s="1"/>
  <c r="E4" i="2"/>
  <c r="F24" i="2" s="1"/>
  <c r="E5" i="2"/>
  <c r="F4" i="2"/>
  <c r="G4" i="2"/>
  <c r="H24" i="2" s="1"/>
  <c r="H4" i="2"/>
  <c r="I4" i="2"/>
  <c r="I23" i="2" s="1"/>
  <c r="I5" i="2"/>
  <c r="J4" i="2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K16" i="2" s="1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C16" i="2" s="1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E14" i="3" s="1"/>
  <c r="F4" i="3"/>
  <c r="F14" i="3" s="1"/>
  <c r="G4" i="3"/>
  <c r="H4" i="3"/>
  <c r="I4" i="3"/>
  <c r="J4" i="3"/>
  <c r="K4" i="3"/>
  <c r="K14" i="3" s="1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L10" i="1" s="1"/>
  <c r="I10" i="3"/>
  <c r="J10" i="3"/>
  <c r="K10" i="3"/>
  <c r="C11" i="3"/>
  <c r="D11" i="3"/>
  <c r="E11" i="3"/>
  <c r="F11" i="3"/>
  <c r="G11" i="3"/>
  <c r="H11" i="3"/>
  <c r="I11" i="3"/>
  <c r="J11" i="3"/>
  <c r="L11" i="1" s="1"/>
  <c r="K11" i="3"/>
  <c r="C12" i="3"/>
  <c r="D12" i="3"/>
  <c r="E12" i="3"/>
  <c r="F12" i="3"/>
  <c r="G12" i="3"/>
  <c r="H12" i="3"/>
  <c r="L12" i="1" s="1"/>
  <c r="L13" i="1" s="1"/>
  <c r="L14" i="1" s="1"/>
  <c r="L25" i="1" s="1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D20" i="2" s="1"/>
  <c r="E4" i="1"/>
  <c r="E20" i="2" s="1"/>
  <c r="F4" i="1"/>
  <c r="F20" i="2" s="1"/>
  <c r="G4" i="1"/>
  <c r="G6" i="1" s="1"/>
  <c r="G19" i="1" s="1"/>
  <c r="H4" i="1"/>
  <c r="I4" i="1"/>
  <c r="I21" i="2" s="1"/>
  <c r="J4" i="1"/>
  <c r="K4" i="1"/>
  <c r="K6" i="1" s="1"/>
  <c r="K19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E23" i="2" s="1"/>
  <c r="F12" i="1"/>
  <c r="F23" i="2" s="1"/>
  <c r="G12" i="1"/>
  <c r="H12" i="1"/>
  <c r="H13" i="1" s="1"/>
  <c r="I12" i="1"/>
  <c r="J12" i="1"/>
  <c r="J13" i="1" s="1"/>
  <c r="J14" i="1" s="1"/>
  <c r="K12" i="1"/>
  <c r="K13" i="1" s="1"/>
  <c r="K14" i="1" s="1"/>
  <c r="C15" i="1"/>
  <c r="D15" i="1"/>
  <c r="E15" i="1"/>
  <c r="F15" i="1"/>
  <c r="G15" i="1"/>
  <c r="G14" i="1" s="1"/>
  <c r="H15" i="1"/>
  <c r="I15" i="1"/>
  <c r="J15" i="1"/>
  <c r="K15" i="1"/>
  <c r="B15" i="1"/>
  <c r="I13" i="1"/>
  <c r="B7" i="1"/>
  <c r="B4" i="1"/>
  <c r="B20" i="2" s="1"/>
  <c r="A1" i="1"/>
  <c r="E1" i="6"/>
  <c r="H1" i="1" s="1"/>
  <c r="H16" i="2"/>
  <c r="D16" i="2"/>
  <c r="K23" i="2"/>
  <c r="G23" i="2"/>
  <c r="F16" i="2"/>
  <c r="B23" i="2"/>
  <c r="H23" i="2"/>
  <c r="D23" i="2"/>
  <c r="I6" i="1"/>
  <c r="I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H21" i="2"/>
  <c r="E21" i="2"/>
  <c r="D21" i="2"/>
  <c r="C21" i="2"/>
  <c r="B18" i="2"/>
  <c r="B13" i="2"/>
  <c r="B12" i="2"/>
  <c r="B11" i="2"/>
  <c r="B10" i="2"/>
  <c r="B8" i="2"/>
  <c r="B7" i="2"/>
  <c r="B6" i="2"/>
  <c r="B3" i="2"/>
  <c r="J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I14" i="3"/>
  <c r="G14" i="3"/>
  <c r="K20" i="2"/>
  <c r="C20" i="2"/>
  <c r="L4" i="1"/>
  <c r="L23" i="1" s="1"/>
  <c r="A1" i="3"/>
  <c r="A1" i="2"/>
  <c r="A1" i="4" s="1"/>
  <c r="H23" i="1"/>
  <c r="I40" i="16" l="1"/>
  <c r="I42" i="16" s="1"/>
  <c r="I61" i="16" s="1"/>
  <c r="J47" i="16"/>
  <c r="J53" i="16" s="1"/>
  <c r="J60" i="16" s="1"/>
  <c r="I47" i="16"/>
  <c r="I53" i="16" s="1"/>
  <c r="K47" i="16"/>
  <c r="K53" i="16" s="1"/>
  <c r="K54" i="16" s="1"/>
  <c r="K60" i="16" s="1"/>
  <c r="K62" i="16" s="1"/>
  <c r="J24" i="16"/>
  <c r="J40" i="16" s="1"/>
  <c r="J42" i="16" s="1"/>
  <c r="J61" i="16" s="1"/>
  <c r="J62" i="16" s="1"/>
  <c r="L62" i="16"/>
  <c r="K103" i="8"/>
  <c r="D32" i="18"/>
  <c r="D33" i="18"/>
  <c r="E92" i="8"/>
  <c r="K92" i="8"/>
  <c r="H103" i="8"/>
  <c r="E103" i="8"/>
  <c r="C92" i="8"/>
  <c r="L92" i="8"/>
  <c r="G92" i="8"/>
  <c r="D92" i="8"/>
  <c r="G103" i="8"/>
  <c r="F103" i="8"/>
  <c r="C103" i="8"/>
  <c r="I92" i="8"/>
  <c r="J92" i="8"/>
  <c r="H92" i="8"/>
  <c r="F92" i="8"/>
  <c r="I103" i="8"/>
  <c r="D103" i="8"/>
  <c r="L103" i="8"/>
  <c r="J103" i="8"/>
  <c r="N6" i="13"/>
  <c r="L15" i="13"/>
  <c r="O5" i="13"/>
  <c r="I13" i="13"/>
  <c r="J13" i="13" s="1"/>
  <c r="I10" i="13"/>
  <c r="I9" i="13"/>
  <c r="I8" i="13"/>
  <c r="I7" i="13"/>
  <c r="I6" i="13"/>
  <c r="J6" i="13" s="1"/>
  <c r="I5" i="13"/>
  <c r="G15" i="13"/>
  <c r="D8" i="13"/>
  <c r="D7" i="13"/>
  <c r="D12" i="13"/>
  <c r="D11" i="13"/>
  <c r="D6" i="13"/>
  <c r="D10" i="13"/>
  <c r="D9" i="13"/>
  <c r="E9" i="13" s="1"/>
  <c r="D5" i="13"/>
  <c r="E5" i="13" s="1"/>
  <c r="D13" i="13"/>
  <c r="E13" i="13" s="1"/>
  <c r="K37" i="12"/>
  <c r="J37" i="12"/>
  <c r="L37" i="12"/>
  <c r="F37" i="12"/>
  <c r="H37" i="12"/>
  <c r="I37" i="12"/>
  <c r="E37" i="12"/>
  <c r="D37" i="12"/>
  <c r="H24" i="12"/>
  <c r="G24" i="12"/>
  <c r="I24" i="12"/>
  <c r="D24" i="12"/>
  <c r="J78" i="8"/>
  <c r="I78" i="8"/>
  <c r="F78" i="8"/>
  <c r="C78" i="8"/>
  <c r="E78" i="8"/>
  <c r="H78" i="8"/>
  <c r="D78" i="8"/>
  <c r="L78" i="8"/>
  <c r="K78" i="8"/>
  <c r="G78" i="8"/>
  <c r="C64" i="8"/>
  <c r="C66" i="8" s="1"/>
  <c r="K64" i="8"/>
  <c r="K66" i="8" s="1"/>
  <c r="H64" i="8"/>
  <c r="H66" i="8" s="1"/>
  <c r="G64" i="8"/>
  <c r="G66" i="8" s="1"/>
  <c r="L64" i="8"/>
  <c r="L66" i="8" s="1"/>
  <c r="J64" i="8"/>
  <c r="J66" i="8" s="1"/>
  <c r="I64" i="8"/>
  <c r="I66" i="8" s="1"/>
  <c r="F64" i="8"/>
  <c r="F66" i="8" s="1"/>
  <c r="I7" i="8"/>
  <c r="G16" i="8"/>
  <c r="E10" i="8"/>
  <c r="E12" i="8"/>
  <c r="E13" i="8" s="1"/>
  <c r="K16" i="8"/>
  <c r="M27" i="8"/>
  <c r="M28" i="8" s="1"/>
  <c r="G7" i="8"/>
  <c r="C16" i="8"/>
  <c r="L12" i="8"/>
  <c r="F7" i="8"/>
  <c r="M19" i="8"/>
  <c r="K7" i="8"/>
  <c r="C10" i="8"/>
  <c r="I25" i="8"/>
  <c r="E7" i="8"/>
  <c r="F10" i="8"/>
  <c r="F16" i="8"/>
  <c r="E16" i="8"/>
  <c r="D10" i="8"/>
  <c r="L10" i="8"/>
  <c r="K10" i="8"/>
  <c r="F12" i="8"/>
  <c r="J10" i="8"/>
  <c r="D12" i="8"/>
  <c r="I22" i="8"/>
  <c r="H25" i="8"/>
  <c r="L25" i="8"/>
  <c r="K25" i="8"/>
  <c r="H10" i="8"/>
  <c r="K22" i="8"/>
  <c r="J22" i="8"/>
  <c r="M10" i="8"/>
  <c r="H22" i="8"/>
  <c r="G25" i="8"/>
  <c r="G22" i="8"/>
  <c r="F25" i="8"/>
  <c r="F22" i="8"/>
  <c r="E25" i="8"/>
  <c r="E22" i="8"/>
  <c r="D25" i="8"/>
  <c r="L22" i="8"/>
  <c r="J25" i="8"/>
  <c r="G10" i="8"/>
  <c r="K12" i="8"/>
  <c r="M7" i="8"/>
  <c r="L7" i="8"/>
  <c r="C12" i="8"/>
  <c r="J16" i="8"/>
  <c r="D22" i="8"/>
  <c r="M25" i="8"/>
  <c r="I16" i="8"/>
  <c r="J12" i="8"/>
  <c r="H16" i="8"/>
  <c r="C25" i="8"/>
  <c r="D7" i="8"/>
  <c r="I12" i="8"/>
  <c r="I10" i="8"/>
  <c r="H12" i="8"/>
  <c r="C22" i="8"/>
  <c r="G12" i="8"/>
  <c r="M22" i="8"/>
  <c r="J7" i="8"/>
  <c r="D16" i="8"/>
  <c r="M12" i="8"/>
  <c r="M13" i="8" s="1"/>
  <c r="N11" i="1"/>
  <c r="M11" i="1"/>
  <c r="L6" i="1"/>
  <c r="L19" i="1" s="1"/>
  <c r="L24" i="1" s="1"/>
  <c r="F21" i="2"/>
  <c r="E1" i="3"/>
  <c r="K24" i="2"/>
  <c r="G21" i="2"/>
  <c r="D6" i="1"/>
  <c r="D19" i="1" s="1"/>
  <c r="E6" i="1"/>
  <c r="E19" i="1" s="1"/>
  <c r="H24" i="1" s="1"/>
  <c r="E1" i="2"/>
  <c r="I14" i="1"/>
  <c r="K25" i="1" s="1"/>
  <c r="M25" i="1" s="1"/>
  <c r="M14" i="1" s="1"/>
  <c r="C24" i="2"/>
  <c r="L7" i="1"/>
  <c r="J16" i="2"/>
  <c r="I23" i="1"/>
  <c r="L8" i="1"/>
  <c r="N8" i="1" s="1"/>
  <c r="J24" i="2"/>
  <c r="G20" i="2"/>
  <c r="H14" i="1"/>
  <c r="B16" i="2"/>
  <c r="G24" i="2"/>
  <c r="I24" i="2"/>
  <c r="E14" i="1"/>
  <c r="K24" i="1"/>
  <c r="L9" i="1"/>
  <c r="E16" i="2"/>
  <c r="B6" i="1"/>
  <c r="B19" i="1" s="1"/>
  <c r="D24" i="2"/>
  <c r="J23" i="1"/>
  <c r="B21" i="2"/>
  <c r="B14" i="1"/>
  <c r="D14" i="1"/>
  <c r="J25" i="1"/>
  <c r="M24" i="1"/>
  <c r="M9" i="1"/>
  <c r="N9" i="1"/>
  <c r="M8" i="1"/>
  <c r="H25" i="1"/>
  <c r="I25" i="1"/>
  <c r="I20" i="2"/>
  <c r="H20" i="2"/>
  <c r="K23" i="1"/>
  <c r="M23" i="1" s="1"/>
  <c r="M4" i="1" s="1"/>
  <c r="H6" i="1"/>
  <c r="H19" i="1" s="1"/>
  <c r="J24" i="1" s="1"/>
  <c r="F6" i="1"/>
  <c r="F19" i="1" s="1"/>
  <c r="E1" i="4"/>
  <c r="I60" i="16" l="1"/>
  <c r="I62" i="16" s="1"/>
  <c r="I55" i="16"/>
  <c r="I56" i="16"/>
  <c r="D15" i="13"/>
  <c r="E7" i="13"/>
  <c r="E8" i="13"/>
  <c r="J7" i="13"/>
  <c r="J8" i="13"/>
  <c r="E10" i="13"/>
  <c r="E6" i="13"/>
  <c r="J10" i="13"/>
  <c r="E11" i="13"/>
  <c r="D14" i="13"/>
  <c r="E14" i="13" s="1"/>
  <c r="E12" i="13"/>
  <c r="D16" i="13"/>
  <c r="E16" i="13" s="1"/>
  <c r="D17" i="13"/>
  <c r="E17" i="13" s="1"/>
  <c r="I15" i="13"/>
  <c r="D18" i="13"/>
  <c r="E18" i="13" s="1"/>
  <c r="J11" i="13"/>
  <c r="O14" i="13"/>
  <c r="L16" i="13"/>
  <c r="O15" i="13"/>
  <c r="G16" i="13"/>
  <c r="I16" i="13" s="1"/>
  <c r="K105" i="8"/>
  <c r="K39" i="12"/>
  <c r="K40" i="12"/>
  <c r="K41" i="12"/>
  <c r="D105" i="8"/>
  <c r="D41" i="12"/>
  <c r="D40" i="12"/>
  <c r="D39" i="12"/>
  <c r="I105" i="8"/>
  <c r="I39" i="12"/>
  <c r="I40" i="12"/>
  <c r="I41" i="12"/>
  <c r="H105" i="8"/>
  <c r="H39" i="12"/>
  <c r="H41" i="12"/>
  <c r="H40" i="12"/>
  <c r="E105" i="8"/>
  <c r="E41" i="12"/>
  <c r="E40" i="12"/>
  <c r="E39" i="12"/>
  <c r="G105" i="8"/>
  <c r="G39" i="12"/>
  <c r="G41" i="12"/>
  <c r="G40" i="12"/>
  <c r="L105" i="8"/>
  <c r="L40" i="12"/>
  <c r="L39" i="12"/>
  <c r="L41" i="12"/>
  <c r="C105" i="8"/>
  <c r="C39" i="12"/>
  <c r="C40" i="12"/>
  <c r="C41" i="12"/>
  <c r="F105" i="8"/>
  <c r="F39" i="12"/>
  <c r="F41" i="12"/>
  <c r="F40" i="12"/>
  <c r="J105" i="8"/>
  <c r="J39" i="12"/>
  <c r="J40" i="12"/>
  <c r="J41" i="12"/>
  <c r="E18" i="8"/>
  <c r="M33" i="8"/>
  <c r="M31" i="8"/>
  <c r="E19" i="8"/>
  <c r="E27" i="8"/>
  <c r="G18" i="8"/>
  <c r="G13" i="8"/>
  <c r="D18" i="8"/>
  <c r="D13" i="8"/>
  <c r="K18" i="8"/>
  <c r="K13" i="8"/>
  <c r="L18" i="8"/>
  <c r="L13" i="8"/>
  <c r="C18" i="8"/>
  <c r="C13" i="8"/>
  <c r="M34" i="8"/>
  <c r="M38" i="8"/>
  <c r="I18" i="8"/>
  <c r="I13" i="8"/>
  <c r="J18" i="8"/>
  <c r="J13" i="8"/>
  <c r="H18" i="8"/>
  <c r="H13" i="8"/>
  <c r="F18" i="8"/>
  <c r="F13" i="8"/>
  <c r="N25" i="1"/>
  <c r="N14" i="1" s="1"/>
  <c r="I24" i="1"/>
  <c r="N24" i="1" s="1"/>
  <c r="N23" i="1"/>
  <c r="N4" i="1" s="1"/>
  <c r="M6" i="1"/>
  <c r="M10" i="1" s="1"/>
  <c r="M12" i="1" s="1"/>
  <c r="M13" i="1" s="1"/>
  <c r="M15" i="1" s="1"/>
  <c r="E15" i="13" l="1"/>
  <c r="L17" i="13"/>
  <c r="O16" i="13"/>
  <c r="G17" i="13"/>
  <c r="I17" i="13" s="1"/>
  <c r="J16" i="13"/>
  <c r="O41" i="12"/>
  <c r="N41" i="12"/>
  <c r="O40" i="12"/>
  <c r="N40" i="12"/>
  <c r="N39" i="12"/>
  <c r="O39" i="12"/>
  <c r="M44" i="8"/>
  <c r="M42" i="8"/>
  <c r="C19" i="8"/>
  <c r="C27" i="8"/>
  <c r="L19" i="8"/>
  <c r="L27" i="8"/>
  <c r="K19" i="8"/>
  <c r="K27" i="8"/>
  <c r="J19" i="8"/>
  <c r="J27" i="8"/>
  <c r="I19" i="8"/>
  <c r="I27" i="8"/>
  <c r="E28" i="8"/>
  <c r="E33" i="8"/>
  <c r="E31" i="8"/>
  <c r="F19" i="8"/>
  <c r="F27" i="8"/>
  <c r="H19" i="8"/>
  <c r="H27" i="8"/>
  <c r="D19" i="8"/>
  <c r="D27" i="8"/>
  <c r="G19" i="8"/>
  <c r="G27" i="8"/>
  <c r="N6" i="1"/>
  <c r="N10" i="1" s="1"/>
  <c r="N12" i="1" s="1"/>
  <c r="N13" i="1" s="1"/>
  <c r="N15" i="1" s="1"/>
  <c r="N5" i="1"/>
  <c r="M5" i="1"/>
  <c r="L18" i="13" l="1"/>
  <c r="O17" i="13"/>
  <c r="G18" i="13"/>
  <c r="I18" i="13" s="1"/>
  <c r="J17" i="13"/>
  <c r="G28" i="8"/>
  <c r="G33" i="8"/>
  <c r="G31" i="8"/>
  <c r="H28" i="8"/>
  <c r="H33" i="8"/>
  <c r="H31" i="8"/>
  <c r="L33" i="8"/>
  <c r="L28" i="8"/>
  <c r="L31" i="8"/>
  <c r="F28" i="8"/>
  <c r="F33" i="8"/>
  <c r="F31" i="8"/>
  <c r="E34" i="8"/>
  <c r="E38" i="8"/>
  <c r="I28" i="8"/>
  <c r="I33" i="8"/>
  <c r="I31" i="8"/>
  <c r="D28" i="8"/>
  <c r="D33" i="8"/>
  <c r="D31" i="8"/>
  <c r="K33" i="8"/>
  <c r="K28" i="8"/>
  <c r="K31" i="8"/>
  <c r="C28" i="8"/>
  <c r="C31" i="8"/>
  <c r="C33" i="8"/>
  <c r="J33" i="8"/>
  <c r="J28" i="8"/>
  <c r="J31" i="8"/>
  <c r="O18" i="13" l="1"/>
  <c r="J18" i="13"/>
  <c r="E42" i="8"/>
  <c r="E44" i="8" s="1"/>
  <c r="K34" i="8"/>
  <c r="K38" i="8"/>
  <c r="L34" i="8"/>
  <c r="L38" i="8"/>
  <c r="H38" i="8"/>
  <c r="H34" i="8"/>
  <c r="E39" i="8"/>
  <c r="G38" i="8"/>
  <c r="G34" i="8"/>
  <c r="F34" i="8"/>
  <c r="F38" i="8"/>
  <c r="D34" i="8"/>
  <c r="D38" i="8"/>
  <c r="I34" i="8"/>
  <c r="I38" i="8"/>
  <c r="J34" i="8"/>
  <c r="J38" i="8"/>
  <c r="C34" i="8"/>
  <c r="C38" i="8"/>
  <c r="C42" i="8" l="1"/>
  <c r="C44" i="8" s="1"/>
  <c r="H42" i="8"/>
  <c r="H44" i="8"/>
  <c r="G42" i="8"/>
  <c r="G44" i="8"/>
  <c r="J39" i="8"/>
  <c r="J44" i="8"/>
  <c r="J42" i="8"/>
  <c r="I44" i="8"/>
  <c r="I42" i="8"/>
  <c r="D42" i="8"/>
  <c r="D44" i="8" s="1"/>
  <c r="L42" i="8"/>
  <c r="L44" i="8" s="1"/>
  <c r="K44" i="8"/>
  <c r="K42" i="8"/>
  <c r="F39" i="8"/>
  <c r="F42" i="8"/>
  <c r="F44" i="8"/>
  <c r="G39" i="8"/>
  <c r="L39" i="8"/>
  <c r="M39" i="8"/>
  <c r="K39" i="8"/>
  <c r="H39" i="8"/>
  <c r="I39" i="8"/>
  <c r="D39" i="8"/>
</calcChain>
</file>

<file path=xl/sharedStrings.xml><?xml version="1.0" encoding="utf-8"?>
<sst xmlns="http://schemas.openxmlformats.org/spreadsheetml/2006/main" count="469" uniqueCount="331">
  <si>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</si>
  <si>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</si>
  <si>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</si>
  <si>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</si>
  <si>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</si>
  <si>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</si>
  <si>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</si>
  <si>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</si>
  <si>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</si>
  <si>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</si>
  <si>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</si>
  <si>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</si>
  <si>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</si>
  <si>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</si>
  <si>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</si>
  <si>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</si>
  <si>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</si>
  <si>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</si>
  <si>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</si>
  <si>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</si>
  <si>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</si>
  <si>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</si>
  <si>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</si>
  <si>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</si>
  <si>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</si>
  <si>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</si>
  <si>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</si>
  <si>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</si>
  <si>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</si>
  <si>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</si>
  <si>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</si>
  <si>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</si>
  <si>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</si>
  <si>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</si>
  <si>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</si>
  <si>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</si>
  <si>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</si>
  <si>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</si>
  <si>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</si>
  <si>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</si>
  <si>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</si>
  <si>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</si>
  <si>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</si>
  <si>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</si>
  <si>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</si>
  <si>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</si>
  <si>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</si>
  <si>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</si>
  <si>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</si>
  <si>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</si>
  <si>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</si>
  <si>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</si>
  <si>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</si>
  <si>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</si>
  <si>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</si>
  <si>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</si>
  <si>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</si>
  <si>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</si>
  <si>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</si>
  <si>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</si>
  <si>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</si>
  <si>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</si>
  <si>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</si>
  <si>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</si>
  <si>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</si>
  <si>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</si>
  <si>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</si>
  <si>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</si>
  <si>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</si>
  <si>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</si>
  <si>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</si>
  <si>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</si>
  <si>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</si>
  <si>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</si>
  <si>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</si>
  <si>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</si>
  <si>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</si>
  <si>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</si>
  <si>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</si>
  <si>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</si>
  <si>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</si>
  <si>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</si>
  <si>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</si>
  <si>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</si>
  <si>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</si>
  <si>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</si>
  <si>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</si>
  <si>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</si>
  <si>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</si>
  <si>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</si>
  <si>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</si>
  <si>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</si>
  <si>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</si>
  <si>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Years</t>
  </si>
  <si>
    <t>LTM</t>
  </si>
  <si>
    <t xml:space="preserve">Income statement </t>
  </si>
  <si>
    <t>-</t>
  </si>
  <si>
    <t>#</t>
  </si>
  <si>
    <t>COGS</t>
  </si>
  <si>
    <t>COGS % Sales</t>
  </si>
  <si>
    <t>Gross profit</t>
  </si>
  <si>
    <t xml:space="preserve">Selling &amp; Genral Expenses </t>
  </si>
  <si>
    <t>S&amp;G Exp % of Sales</t>
  </si>
  <si>
    <t xml:space="preserve">Interest </t>
  </si>
  <si>
    <t xml:space="preserve">Interest % of Sales </t>
  </si>
  <si>
    <t xml:space="preserve">Depreciation </t>
  </si>
  <si>
    <t>Depreciation % of Sales</t>
  </si>
  <si>
    <t>Gross margine % of Sales</t>
  </si>
  <si>
    <t>Earning Before Tax</t>
  </si>
  <si>
    <t>EBT % of Sales</t>
  </si>
  <si>
    <t xml:space="preserve">Effective Tax rate </t>
  </si>
  <si>
    <t>Net Profit</t>
  </si>
  <si>
    <t>Net Margines</t>
  </si>
  <si>
    <t>No of Equity Shares</t>
  </si>
  <si>
    <t>Earning Per Share</t>
  </si>
  <si>
    <t>Divident Per Share</t>
  </si>
  <si>
    <t xml:space="preserve">Eps Growth </t>
  </si>
  <si>
    <t>Divident payout ratio</t>
  </si>
  <si>
    <t>retained earnings</t>
  </si>
  <si>
    <t>Balancesheet</t>
  </si>
  <si>
    <t>Fixed Asset Net Block</t>
  </si>
  <si>
    <t xml:space="preserve">Total Laibility </t>
  </si>
  <si>
    <t xml:space="preserve">Total Non Current Assets </t>
  </si>
  <si>
    <t xml:space="preserve">Total current Assets </t>
  </si>
  <si>
    <t xml:space="preserve">Total assets </t>
  </si>
  <si>
    <t xml:space="preserve">Check 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</si>
  <si>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</si>
  <si>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</si>
  <si>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</si>
  <si>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</si>
  <si>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</si>
  <si>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</si>
  <si>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</si>
  <si>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</si>
  <si>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</si>
  <si>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</si>
  <si>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</si>
  <si>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</si>
  <si>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</si>
  <si>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</si>
  <si>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</si>
  <si>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</si>
  <si>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</si>
  <si>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</si>
  <si>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</si>
  <si>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</si>
  <si>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</si>
  <si>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</si>
  <si>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</si>
  <si>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</si>
  <si>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</si>
  <si>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</si>
  <si>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</si>
  <si>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</si>
  <si>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Cashflow statement</t>
  </si>
  <si>
    <t>Cash from Operating activities</t>
  </si>
  <si>
    <t>Operating activities</t>
  </si>
  <si>
    <t>Investing activity</t>
  </si>
  <si>
    <t xml:space="preserve">Cash from investing activity </t>
  </si>
  <si>
    <t>Financing activity</t>
  </si>
  <si>
    <t xml:space="preserve">Cash from Financing activity </t>
  </si>
  <si>
    <t>Net Cashflow</t>
  </si>
  <si>
    <t>Sales Groth</t>
  </si>
  <si>
    <t>EBITA Growth</t>
  </si>
  <si>
    <t>EBT Growth</t>
  </si>
  <si>
    <t>Net Profit Growth</t>
  </si>
  <si>
    <t xml:space="preserve">Divident Growth </t>
  </si>
  <si>
    <t xml:space="preserve">Gross Margine </t>
  </si>
  <si>
    <t>EBITDA Margine</t>
  </si>
  <si>
    <t>EBIT Margine</t>
  </si>
  <si>
    <t>EBT Margine</t>
  </si>
  <si>
    <t xml:space="preserve">Net Profit Margine </t>
  </si>
  <si>
    <t xml:space="preserve">SalesExpenses%Sales </t>
  </si>
  <si>
    <t>Depreciation%Sales</t>
  </si>
  <si>
    <t>Operatingincome%Sales</t>
  </si>
  <si>
    <t>Return On Capital Employed</t>
  </si>
  <si>
    <t>Retaiend Earnings</t>
  </si>
  <si>
    <t xml:space="preserve">Return on Equity </t>
  </si>
  <si>
    <t>Self Sustained Growth Rate</t>
  </si>
  <si>
    <t>Interest coverage ratio</t>
  </si>
  <si>
    <t>Debt turnover Ratio</t>
  </si>
  <si>
    <t>Credit Turnover Ratio</t>
  </si>
  <si>
    <t xml:space="preserve">Inventory Turnover </t>
  </si>
  <si>
    <t>Fixed Asset Turnover</t>
  </si>
  <si>
    <t>Capital Turnover Ratio</t>
  </si>
  <si>
    <t>Debtors Days</t>
  </si>
  <si>
    <t xml:space="preserve">Payable Days </t>
  </si>
  <si>
    <t xml:space="preserve">Inventory Days </t>
  </si>
  <si>
    <t>CFO/Sales</t>
  </si>
  <si>
    <t>CFO/Total Assets</t>
  </si>
  <si>
    <t>CFO/Total Debt</t>
  </si>
  <si>
    <t>EBITDA</t>
  </si>
  <si>
    <t>EBITDA % of Sales</t>
  </si>
  <si>
    <t>Cash Conversion Cycle</t>
  </si>
  <si>
    <t>(in days)</t>
  </si>
  <si>
    <t xml:space="preserve">Mean </t>
  </si>
  <si>
    <t>Median</t>
  </si>
  <si>
    <t xml:space="preserve">Year waight </t>
  </si>
  <si>
    <t>years</t>
  </si>
  <si>
    <t xml:space="preserve">Sales Growth </t>
  </si>
  <si>
    <t>EBITA</t>
  </si>
  <si>
    <t xml:space="preserve">EBITA Growth </t>
  </si>
  <si>
    <t>EPS growth</t>
  </si>
  <si>
    <t>Perticulers</t>
  </si>
  <si>
    <t xml:space="preserve">Total laiblity </t>
  </si>
  <si>
    <t xml:space="preserve">Total Assets </t>
  </si>
  <si>
    <t xml:space="preserve">Other assets </t>
  </si>
  <si>
    <t>Current assets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</si>
  <si>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</si>
  <si>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</si>
  <si>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</si>
  <si>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</si>
  <si>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</si>
  <si>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</si>
  <si>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</si>
  <si>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</si>
  <si>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</si>
  <si>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</si>
  <si>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</si>
  <si>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Total Liabilities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</si>
  <si>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</si>
  <si>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</si>
  <si>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</si>
  <si>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</si>
  <si>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</si>
  <si>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</si>
  <si>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</si>
  <si>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</si>
  <si>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</si>
  <si>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</si>
  <si>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</si>
  <si>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</si>
  <si>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</si>
  <si>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</si>
  <si>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</si>
  <si>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 -</t>
  </si>
  <si>
    <t>Receivables over 6m</t>
  </si>
  <si>
    <t>Receivables under 6m</t>
  </si>
  <si>
    <t>Prov for Doubtful</t>
  </si>
  <si>
    <t>Cash Equivalents</t>
  </si>
  <si>
    <t>Short term loans</t>
  </si>
  <si>
    <t>Other asset items</t>
  </si>
  <si>
    <t>Total Assets</t>
  </si>
  <si>
    <t xml:space="preserve">Total current assets </t>
  </si>
  <si>
    <t xml:space="preserve">Current laiblities </t>
  </si>
  <si>
    <t xml:space="preserve">Total current laiblities </t>
  </si>
  <si>
    <t xml:space="preserve">Net working capital </t>
  </si>
  <si>
    <t xml:space="preserve">Non current assets </t>
  </si>
  <si>
    <t>Net non current assets</t>
  </si>
  <si>
    <t>Investment capital</t>
  </si>
  <si>
    <t>EBIT</t>
  </si>
  <si>
    <t>ROIC</t>
  </si>
  <si>
    <t>Net capex</t>
  </si>
  <si>
    <t xml:space="preserve">Change in working capital </t>
  </si>
  <si>
    <t>Tax rate</t>
  </si>
  <si>
    <t>Net income</t>
  </si>
  <si>
    <t>Reinvestmet</t>
  </si>
  <si>
    <t>Reinvestmet rate</t>
  </si>
  <si>
    <t xml:space="preserve">Intrinsic growth </t>
  </si>
  <si>
    <t>S.No.</t>
  </si>
  <si>
    <t>Name</t>
  </si>
  <si>
    <t>CMP Rs.</t>
  </si>
  <si>
    <t xml:space="preserve">Mar Cap Rs.Cr. </t>
  </si>
  <si>
    <t>Debt Rs.Cr.</t>
  </si>
  <si>
    <t>Debt / Eq</t>
  </si>
  <si>
    <t>Maruti Suzuki</t>
  </si>
  <si>
    <t>M &amp; M</t>
  </si>
  <si>
    <t>Tata Motors</t>
  </si>
  <si>
    <t>Bajaj Auto</t>
  </si>
  <si>
    <t>Date</t>
  </si>
  <si>
    <t>Adj Close</t>
  </si>
  <si>
    <t>Gtrowth</t>
  </si>
  <si>
    <t>Nifty 50</t>
  </si>
  <si>
    <t xml:space="preserve">peer comparison of automobile comps of 2 year weekly basis </t>
  </si>
  <si>
    <t>beta</t>
  </si>
  <si>
    <t xml:space="preserve">Calculate waighted average cost of capital </t>
  </si>
  <si>
    <t xml:space="preserve">All values in INR </t>
  </si>
  <si>
    <t>SR no</t>
  </si>
  <si>
    <t xml:space="preserve">Name of comps </t>
  </si>
  <si>
    <t>peers</t>
  </si>
  <si>
    <t xml:space="preserve">Country  </t>
  </si>
  <si>
    <t>INDIA</t>
  </si>
  <si>
    <t>Market cap</t>
  </si>
  <si>
    <t>Debt</t>
  </si>
  <si>
    <t>Total debt</t>
  </si>
  <si>
    <t>Debt/</t>
  </si>
  <si>
    <t>Equity</t>
  </si>
  <si>
    <t>Capital</t>
  </si>
  <si>
    <t xml:space="preserve">Tax rate </t>
  </si>
  <si>
    <t>Levered beta</t>
  </si>
  <si>
    <t>unlevered beta</t>
  </si>
  <si>
    <t xml:space="preserve">Average </t>
  </si>
  <si>
    <t xml:space="preserve">Cost of Debt </t>
  </si>
  <si>
    <t>Pre-tax cost of debt</t>
  </si>
  <si>
    <t>Post tax cost of debt</t>
  </si>
  <si>
    <t xml:space="preserve">Cost of equity </t>
  </si>
  <si>
    <t>Risk Free rate</t>
  </si>
  <si>
    <t>Equity Risk Premium</t>
  </si>
  <si>
    <t>Leverd Beta</t>
  </si>
  <si>
    <t xml:space="preserve">Median of unlevberd beta </t>
  </si>
  <si>
    <t xml:space="preserve">Capital structure </t>
  </si>
  <si>
    <t xml:space="preserve">Debt value </t>
  </si>
  <si>
    <t>Equity value</t>
  </si>
  <si>
    <t>Current</t>
  </si>
  <si>
    <t>Targeted</t>
  </si>
  <si>
    <t xml:space="preserve">Debt/Equity </t>
  </si>
  <si>
    <t>Targeted Debt/equity</t>
  </si>
  <si>
    <t>Market return</t>
  </si>
  <si>
    <t>−51.79%</t>
  </si>
  <si>
    <t>−24.62%</t>
  </si>
  <si>
    <t>−16.18%</t>
  </si>
  <si>
    <t>−14.65%</t>
  </si>
  <si>
    <t>−4.06%</t>
  </si>
  <si>
    <r>
      <t>Table: PrimeInvestor.in</t>
    </r>
    <r>
      <rPr>
        <sz val="7"/>
        <color rgb="FF0088CC"/>
        <rFont val="Arial"/>
        <family val="2"/>
      </rPr>
      <t>Get the data</t>
    </r>
    <r>
      <rPr>
        <sz val="7"/>
        <color rgb="FF888888"/>
        <rFont val="Arial"/>
        <family val="2"/>
      </rPr>
      <t>Created with </t>
    </r>
    <r>
      <rPr>
        <sz val="7"/>
        <color rgb="FF0088CC"/>
        <rFont val="Arial"/>
        <family val="2"/>
      </rPr>
      <t>Datawrapper</t>
    </r>
  </si>
  <si>
    <t>Return</t>
  </si>
  <si>
    <t>Average return</t>
  </si>
  <si>
    <t>Divident yeld</t>
  </si>
  <si>
    <t>Total return</t>
  </si>
  <si>
    <t>WACC</t>
  </si>
  <si>
    <t>Waighted average cost of capital</t>
  </si>
  <si>
    <t xml:space="preserve">Equity waight </t>
  </si>
  <si>
    <t xml:space="preserve">debt waigjt </t>
  </si>
  <si>
    <t>Cost of debt</t>
  </si>
  <si>
    <t>Cost of Equity</t>
  </si>
  <si>
    <t>Calculation of PV of FCFF</t>
  </si>
  <si>
    <t>Tax Rate</t>
  </si>
  <si>
    <t>less: Reinvestment</t>
  </si>
  <si>
    <t xml:space="preserve">Free Cash flow to the firm </t>
  </si>
  <si>
    <t>Mid year convention</t>
  </si>
  <si>
    <t>Discounted factor</t>
  </si>
  <si>
    <t>PV oF FCFF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</si>
</sst>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\(&quot;₹&quot;\ #,##0.0\)"/>
    <numFmt numFmtId="167" formatCode="&quot;₹&quot;\ #,##0.0;\(&quot;₹&quot;\ #,##0.0\);\-"/>
    <numFmt numFmtId="168" formatCode="&quot;₹&quot;\ #,##0.00"/>
    <numFmt numFmtId="169" formatCode="0.000%"/>
    <numFmt numFmtId="170" formatCode="0.00&quot;x&quot;"/>
    <numFmt numFmtId="171" formatCode="#,##0.0"/>
    <numFmt numFmtId="172" formatCode="yyyy&quot;A&quot;"/>
    <numFmt numFmtId="173" formatCode="yyyy&quot;E&quot;"/>
    <numFmt numFmtId="174" formatCode="mmm/yy&quot;A&quot;"/>
    <numFmt numFmtId="175" formatCode="mmm/yy&quot;E&quot;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1C0ECC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rgb="FF888888"/>
      <name val="Arial"/>
      <family val="2"/>
    </font>
    <font>
      <sz val="7"/>
      <color rgb="FF0088CC"/>
      <name val="Arial"/>
      <family val="2"/>
    </font>
    <font>
      <sz val="8"/>
      <color rgb="FF18181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03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17" fontId="0" fillId="0" borderId="0" xfId="0" applyNumberFormat="1"/>
    <xf numFmtId="0" fontId="2" fillId="6" borderId="0" xfId="0" applyFont="1" applyFill="1"/>
    <xf numFmtId="17" fontId="2" fillId="6" borderId="0" xfId="0" applyNumberFormat="1" applyFont="1" applyFill="1"/>
    <xf numFmtId="17" fontId="2" fillId="6" borderId="0" xfId="0" applyNumberFormat="1" applyFont="1" applyFill="1" applyAlignment="1">
      <alignment horizontal="right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right"/>
    </xf>
    <xf numFmtId="10" fontId="10" fillId="0" borderId="0" xfId="0" applyNumberFormat="1" applyFont="1"/>
    <xf numFmtId="10" fontId="10" fillId="0" borderId="0" xfId="0" applyNumberFormat="1" applyFont="1" applyAlignment="1">
      <alignment horizontal="right"/>
    </xf>
    <xf numFmtId="168" fontId="0" fillId="0" borderId="0" xfId="0" applyNumberFormat="1"/>
    <xf numFmtId="0" fontId="11" fillId="7" borderId="0" xfId="0" applyFont="1" applyFill="1"/>
    <xf numFmtId="17" fontId="11" fillId="7" borderId="0" xfId="0" applyNumberFormat="1" applyFont="1" applyFill="1"/>
    <xf numFmtId="166" fontId="1" fillId="0" borderId="0" xfId="0" applyNumberFormat="1" applyFont="1"/>
    <xf numFmtId="0" fontId="12" fillId="0" borderId="0" xfId="0" applyFont="1"/>
    <xf numFmtId="3" fontId="0" fillId="0" borderId="0" xfId="0" applyNumberFormat="1"/>
    <xf numFmtId="0" fontId="1" fillId="0" borderId="1" xfId="0" applyFont="1" applyBorder="1"/>
    <xf numFmtId="168" fontId="1" fillId="0" borderId="1" xfId="0" applyNumberFormat="1" applyFont="1" applyBorder="1"/>
    <xf numFmtId="0" fontId="0" fillId="0" borderId="1" xfId="0" applyBorder="1"/>
    <xf numFmtId="166" fontId="1" fillId="0" borderId="1" xfId="0" applyNumberFormat="1" applyFont="1" applyBorder="1"/>
    <xf numFmtId="43" fontId="1" fillId="0" borderId="1" xfId="1" applyFont="1" applyBorder="1"/>
    <xf numFmtId="10" fontId="0" fillId="0" borderId="0" xfId="6" applyNumberFormat="1" applyFont="1"/>
    <xf numFmtId="170" fontId="0" fillId="0" borderId="0" xfId="6" applyNumberFormat="1" applyFont="1"/>
    <xf numFmtId="0" fontId="0" fillId="0" borderId="2" xfId="0" applyBorder="1"/>
    <xf numFmtId="10" fontId="0" fillId="0" borderId="2" xfId="6" applyNumberFormat="1" applyFont="1" applyBorder="1"/>
    <xf numFmtId="10" fontId="0" fillId="0" borderId="0" xfId="6" applyNumberFormat="1" applyFont="1" applyBorder="1"/>
    <xf numFmtId="0" fontId="0" fillId="0" borderId="3" xfId="0" applyBorder="1"/>
    <xf numFmtId="10" fontId="0" fillId="0" borderId="3" xfId="6" applyNumberFormat="1" applyFont="1" applyBorder="1"/>
    <xf numFmtId="169" fontId="0" fillId="0" borderId="0" xfId="6" applyNumberFormat="1" applyFont="1" applyBorder="1"/>
    <xf numFmtId="170" fontId="0" fillId="0" borderId="3" xfId="6" applyNumberFormat="1" applyFont="1" applyBorder="1"/>
    <xf numFmtId="170" fontId="0" fillId="0" borderId="2" xfId="6" applyNumberFormat="1" applyFont="1" applyBorder="1"/>
    <xf numFmtId="170" fontId="0" fillId="0" borderId="0" xfId="6" applyNumberFormat="1" applyFont="1" applyBorder="1"/>
    <xf numFmtId="0" fontId="12" fillId="0" borderId="2" xfId="0" applyFont="1" applyBorder="1"/>
    <xf numFmtId="1" fontId="0" fillId="0" borderId="0" xfId="0" applyNumberFormat="1"/>
    <xf numFmtId="1" fontId="0" fillId="0" borderId="3" xfId="0" applyNumberFormat="1" applyBorder="1"/>
    <xf numFmtId="0" fontId="0" fillId="0" borderId="0" xfId="0" applyAlignment="1">
      <alignment wrapText="1"/>
    </xf>
    <xf numFmtId="0" fontId="13" fillId="8" borderId="0" xfId="0" applyFont="1" applyFill="1"/>
    <xf numFmtId="171" fontId="13" fillId="8" borderId="0" xfId="0" applyNumberFormat="1" applyFont="1" applyFill="1"/>
    <xf numFmtId="173" fontId="0" fillId="0" borderId="0" xfId="0" applyNumberFormat="1" applyAlignment="1">
      <alignment horizontal="right"/>
    </xf>
    <xf numFmtId="0" fontId="0" fillId="0" borderId="4" xfId="0" applyBorder="1" applyAlignment="1">
      <alignment horizontal="left"/>
    </xf>
    <xf numFmtId="172" fontId="0" fillId="0" borderId="5" xfId="0" applyNumberFormat="1" applyBorder="1" applyAlignment="1">
      <alignment horizontal="right"/>
    </xf>
    <xf numFmtId="171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left"/>
    </xf>
    <xf numFmtId="172" fontId="0" fillId="0" borderId="0" xfId="0" applyNumberFormat="1" applyAlignment="1">
      <alignment horizontal="right"/>
    </xf>
    <xf numFmtId="171" fontId="0" fillId="0" borderId="0" xfId="0" applyNumberFormat="1"/>
    <xf numFmtId="10" fontId="0" fillId="0" borderId="8" xfId="0" applyNumberFormat="1" applyBorder="1"/>
    <xf numFmtId="0" fontId="0" fillId="9" borderId="7" xfId="0" applyFill="1" applyBorder="1" applyAlignment="1">
      <alignment horizontal="left"/>
    </xf>
    <xf numFmtId="173" fontId="0" fillId="9" borderId="0" xfId="0" applyNumberFormat="1" applyFill="1" applyAlignment="1">
      <alignment horizontal="right"/>
    </xf>
    <xf numFmtId="171" fontId="0" fillId="9" borderId="0" xfId="0" applyNumberFormat="1" applyFill="1"/>
    <xf numFmtId="10" fontId="0" fillId="9" borderId="8" xfId="0" applyNumberFormat="1" applyFill="1" applyBorder="1"/>
    <xf numFmtId="0" fontId="0" fillId="9" borderId="9" xfId="0" applyFill="1" applyBorder="1" applyAlignment="1">
      <alignment horizontal="left"/>
    </xf>
    <xf numFmtId="173" fontId="0" fillId="9" borderId="10" xfId="0" applyNumberFormat="1" applyFill="1" applyBorder="1" applyAlignment="1">
      <alignment horizontal="right"/>
    </xf>
    <xf numFmtId="171" fontId="0" fillId="9" borderId="10" xfId="0" applyNumberFormat="1" applyFill="1" applyBorder="1"/>
    <xf numFmtId="10" fontId="0" fillId="9" borderId="11" xfId="0" applyNumberFormat="1" applyFill="1" applyBorder="1"/>
    <xf numFmtId="0" fontId="0" fillId="9" borderId="4" xfId="0" applyFill="1" applyBorder="1" applyAlignment="1">
      <alignment horizontal="left"/>
    </xf>
    <xf numFmtId="171" fontId="0" fillId="9" borderId="5" xfId="0" applyNumberFormat="1" applyFill="1" applyBorder="1"/>
    <xf numFmtId="173" fontId="0" fillId="9" borderId="5" xfId="0" applyNumberFormat="1" applyFill="1" applyBorder="1" applyAlignment="1">
      <alignment horizontal="right"/>
    </xf>
    <xf numFmtId="10" fontId="0" fillId="9" borderId="6" xfId="0" applyNumberFormat="1" applyFill="1" applyBorder="1"/>
    <xf numFmtId="0" fontId="13" fillId="8" borderId="0" xfId="0" applyFont="1" applyFill="1" applyAlignment="1">
      <alignment horizontal="right"/>
    </xf>
    <xf numFmtId="171" fontId="13" fillId="8" borderId="0" xfId="0" applyNumberFormat="1" applyFont="1" applyFill="1" applyAlignment="1">
      <alignment horizontal="right"/>
    </xf>
    <xf numFmtId="0" fontId="0" fillId="10" borderId="0" xfId="0" applyFill="1"/>
    <xf numFmtId="0" fontId="1" fillId="0" borderId="3" xfId="0" applyFont="1" applyBorder="1"/>
    <xf numFmtId="17" fontId="1" fillId="0" borderId="3" xfId="0" applyNumberFormat="1" applyFont="1" applyBorder="1"/>
    <xf numFmtId="43" fontId="0" fillId="0" borderId="0" xfId="0" applyNumberFormat="1"/>
    <xf numFmtId="43" fontId="1" fillId="0" borderId="0" xfId="0" applyNumberFormat="1" applyFont="1"/>
    <xf numFmtId="10" fontId="1" fillId="0" borderId="0" xfId="6" applyNumberFormat="1" applyFont="1"/>
    <xf numFmtId="0" fontId="5" fillId="10" borderId="0" xfId="0" applyFont="1" applyFill="1"/>
    <xf numFmtId="17" fontId="5" fillId="10" borderId="0" xfId="0" applyNumberFormat="1" applyFont="1" applyFill="1"/>
    <xf numFmtId="0" fontId="1" fillId="0" borderId="12" xfId="0" applyFont="1" applyBorder="1"/>
    <xf numFmtId="3" fontId="1" fillId="0" borderId="12" xfId="0" applyNumberFormat="1" applyFont="1" applyBorder="1"/>
    <xf numFmtId="0" fontId="2" fillId="10" borderId="0" xfId="0" applyFont="1" applyFill="1"/>
    <xf numFmtId="17" fontId="2" fillId="10" borderId="0" xfId="0" applyNumberFormat="1" applyFont="1" applyFill="1"/>
    <xf numFmtId="0" fontId="1" fillId="0" borderId="13" xfId="0" applyFont="1" applyBorder="1"/>
    <xf numFmtId="0" fontId="0" fillId="0" borderId="13" xfId="0" applyBorder="1"/>
    <xf numFmtId="167" fontId="1" fillId="0" borderId="13" xfId="0" applyNumberFormat="1" applyFont="1" applyBorder="1"/>
    <xf numFmtId="0" fontId="0" fillId="0" borderId="14" xfId="0" applyBorder="1"/>
    <xf numFmtId="167" fontId="0" fillId="0" borderId="14" xfId="0" applyNumberFormat="1" applyBorder="1"/>
    <xf numFmtId="0" fontId="1" fillId="0" borderId="5" xfId="0" applyFont="1" applyBorder="1"/>
    <xf numFmtId="167" fontId="1" fillId="0" borderId="5" xfId="0" applyNumberFormat="1" applyFont="1" applyBorder="1"/>
    <xf numFmtId="0" fontId="0" fillId="0" borderId="5" xfId="0" applyBorder="1"/>
    <xf numFmtId="0" fontId="1" fillId="0" borderId="14" xfId="0" applyFont="1" applyBorder="1"/>
    <xf numFmtId="0" fontId="1" fillId="0" borderId="15" xfId="0" applyFont="1" applyBorder="1"/>
    <xf numFmtId="10" fontId="14" fillId="0" borderId="14" xfId="0" applyNumberFormat="1" applyFont="1" applyBorder="1"/>
    <xf numFmtId="0" fontId="0" fillId="0" borderId="16" xfId="0" applyBorder="1"/>
    <xf numFmtId="0" fontId="0" fillId="0" borderId="15" xfId="0" applyBorder="1"/>
    <xf numFmtId="9" fontId="1" fillId="0" borderId="5" xfId="6" applyFont="1" applyBorder="1"/>
    <xf numFmtId="9" fontId="1" fillId="0" borderId="14" xfId="0" applyNumberFormat="1" applyFont="1" applyBorder="1"/>
    <xf numFmtId="0" fontId="1" fillId="0" borderId="16" xfId="0" applyFont="1" applyBorder="1"/>
    <xf numFmtId="10" fontId="1" fillId="0" borderId="16" xfId="0" applyNumberFormat="1" applyFont="1" applyBorder="1"/>
    <xf numFmtId="9" fontId="1" fillId="0" borderId="13" xfId="6" applyFont="1" applyBorder="1"/>
    <xf numFmtId="10" fontId="11" fillId="0" borderId="13" xfId="0" applyNumberFormat="1" applyFont="1" applyBorder="1"/>
    <xf numFmtId="167" fontId="1" fillId="0" borderId="14" xfId="0" applyNumberFormat="1" applyFont="1" applyBorder="1"/>
    <xf numFmtId="167" fontId="0" fillId="0" borderId="15" xfId="0" applyNumberFormat="1" applyBorder="1"/>
    <xf numFmtId="167" fontId="1" fillId="0" borderId="15" xfId="0" applyNumberFormat="1" applyFont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71" fontId="0" fillId="0" borderId="0" xfId="0" applyNumberFormat="1" applyAlignment="1">
      <alignment horizontal="right"/>
    </xf>
    <xf numFmtId="0" fontId="0" fillId="12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right"/>
    </xf>
    <xf numFmtId="2" fontId="0" fillId="9" borderId="0" xfId="0" applyNumberFormat="1" applyFill="1"/>
    <xf numFmtId="0" fontId="0" fillId="11" borderId="0" xfId="0" applyFill="1"/>
    <xf numFmtId="0" fontId="1" fillId="11" borderId="0" xfId="0" applyFont="1" applyFill="1"/>
    <xf numFmtId="0" fontId="15" fillId="0" borderId="0" xfId="0" applyFont="1"/>
    <xf numFmtId="0" fontId="0" fillId="0" borderId="10" xfId="0" applyBorder="1"/>
    <xf numFmtId="9" fontId="0" fillId="0" borderId="0" xfId="0" applyNumberFormat="1"/>
    <xf numFmtId="0" fontId="0" fillId="0" borderId="4" xfId="0" applyBorder="1"/>
    <xf numFmtId="0" fontId="0" fillId="0" borderId="17" xfId="0" applyBorder="1"/>
    <xf numFmtId="10" fontId="0" fillId="0" borderId="17" xfId="0" applyNumberFormat="1" applyBorder="1"/>
    <xf numFmtId="2" fontId="0" fillId="0" borderId="17" xfId="0" applyNumberFormat="1" applyBorder="1"/>
    <xf numFmtId="10" fontId="0" fillId="0" borderId="15" xfId="0" applyNumberFormat="1" applyBorder="1"/>
    <xf numFmtId="2" fontId="0" fillId="0" borderId="15" xfId="0" applyNumberFormat="1" applyBorder="1"/>
    <xf numFmtId="0" fontId="1" fillId="0" borderId="10" xfId="0" applyFont="1" applyBorder="1"/>
    <xf numFmtId="0" fontId="0" fillId="0" borderId="18" xfId="0" applyBorder="1"/>
    <xf numFmtId="10" fontId="0" fillId="0" borderId="18" xfId="0" applyNumberFormat="1" applyBorder="1"/>
    <xf numFmtId="10" fontId="0" fillId="0" borderId="5" xfId="0" applyNumberFormat="1" applyBorder="1"/>
    <xf numFmtId="10" fontId="0" fillId="0" borderId="14" xfId="0" applyNumberFormat="1" applyBorder="1"/>
    <xf numFmtId="167" fontId="0" fillId="0" borderId="16" xfId="0" applyNumberFormat="1" applyBorder="1"/>
    <xf numFmtId="10" fontId="0" fillId="0" borderId="16" xfId="0" applyNumberFormat="1" applyBorder="1"/>
    <xf numFmtId="10" fontId="1" fillId="0" borderId="5" xfId="0" applyNumberFormat="1" applyFont="1" applyBorder="1"/>
    <xf numFmtId="2" fontId="0" fillId="0" borderId="14" xfId="0" applyNumberFormat="1" applyBorder="1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 vertical="center" wrapText="1"/>
    </xf>
    <xf numFmtId="10" fontId="16" fillId="0" borderId="0" xfId="0" applyNumberFormat="1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19" fillId="0" borderId="0" xfId="0" applyFont="1"/>
    <xf numFmtId="0" fontId="0" fillId="0" borderId="19" xfId="0" applyBorder="1"/>
    <xf numFmtId="2" fontId="0" fillId="0" borderId="16" xfId="0" applyNumberFormat="1" applyBorder="1"/>
    <xf numFmtId="2" fontId="1" fillId="0" borderId="5" xfId="0" applyNumberFormat="1" applyFont="1" applyBorder="1"/>
    <xf numFmtId="0" fontId="1" fillId="0" borderId="19" xfId="0" applyFont="1" applyBorder="1"/>
    <xf numFmtId="0" fontId="14" fillId="0" borderId="20" xfId="0" applyFont="1" applyBorder="1" applyAlignment="1">
      <alignment horizontal="left"/>
    </xf>
    <xf numFmtId="0" fontId="0" fillId="0" borderId="21" xfId="0" applyBorder="1"/>
    <xf numFmtId="0" fontId="14" fillId="0" borderId="21" xfId="0" applyFont="1" applyBorder="1"/>
    <xf numFmtId="167" fontId="0" fillId="0" borderId="21" xfId="0" applyNumberFormat="1" applyBorder="1"/>
    <xf numFmtId="10" fontId="0" fillId="0" borderId="21" xfId="0" applyNumberFormat="1" applyBorder="1"/>
    <xf numFmtId="9" fontId="14" fillId="0" borderId="21" xfId="0" applyNumberFormat="1" applyFont="1" applyBorder="1"/>
    <xf numFmtId="2" fontId="0" fillId="0" borderId="21" xfId="0" applyNumberFormat="1" applyBorder="1"/>
    <xf numFmtId="2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0" fontId="0" fillId="9" borderId="0" xfId="0" applyNumberFormat="1" applyFill="1"/>
    <xf numFmtId="0" fontId="1" fillId="9" borderId="5" xfId="0" applyFont="1" applyFill="1" applyBorder="1"/>
    <xf numFmtId="10" fontId="0" fillId="9" borderId="5" xfId="0" applyNumberFormat="1" applyFill="1" applyBorder="1"/>
    <xf numFmtId="10" fontId="1" fillId="9" borderId="5" xfId="0" applyNumberFormat="1" applyFont="1" applyFill="1" applyBorder="1"/>
    <xf numFmtId="0" fontId="14" fillId="9" borderId="20" xfId="0" applyFont="1" applyFill="1" applyBorder="1" applyAlignment="1">
      <alignment horizontal="left"/>
    </xf>
    <xf numFmtId="0" fontId="0" fillId="9" borderId="21" xfId="0" applyFill="1" applyBorder="1"/>
    <xf numFmtId="0" fontId="14" fillId="9" borderId="21" xfId="0" applyFont="1" applyFill="1" applyBorder="1"/>
    <xf numFmtId="167" fontId="0" fillId="9" borderId="21" xfId="0" applyNumberFormat="1" applyFill="1" applyBorder="1"/>
    <xf numFmtId="10" fontId="0" fillId="9" borderId="21" xfId="0" applyNumberFormat="1" applyFill="1" applyBorder="1"/>
    <xf numFmtId="9" fontId="14" fillId="9" borderId="21" xfId="0" applyNumberFormat="1" applyFont="1" applyFill="1" applyBorder="1"/>
    <xf numFmtId="2" fontId="0" fillId="9" borderId="21" xfId="0" applyNumberFormat="1" applyFill="1" applyBorder="1"/>
    <xf numFmtId="2" fontId="0" fillId="9" borderId="22" xfId="0" applyNumberFormat="1" applyFill="1" applyBorder="1"/>
    <xf numFmtId="0" fontId="0" fillId="0" borderId="8" xfId="0" applyBorder="1" applyAlignment="1">
      <alignment horizontal="left"/>
    </xf>
    <xf numFmtId="10" fontId="0" fillId="0" borderId="7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174" fontId="2" fillId="10" borderId="0" xfId="0" applyNumberFormat="1" applyFont="1" applyFill="1"/>
    <xf numFmtId="175" fontId="2" fillId="10" borderId="0" xfId="0" applyNumberFormat="1" applyFont="1" applyFill="1"/>
    <xf numFmtId="10" fontId="1" fillId="0" borderId="5" xfId="6" applyNumberFormat="1" applyFont="1" applyBorder="1"/>
    <xf numFmtId="10" fontId="14" fillId="0" borderId="0" xfId="0" applyNumberFormat="1" applyFont="1"/>
    <xf numFmtId="0" fontId="2" fillId="6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167" fontId="1" fillId="0" borderId="12" xfId="0" applyNumberFormat="1" applyFont="1" applyBorder="1"/>
    <xf numFmtId="166" fontId="1" fillId="0" borderId="12" xfId="0" applyNumberFormat="1" applyFont="1" applyBorder="1"/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1C0ECC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583514</xdr:colOff>
      <xdr:row>1</xdr:row>
      <xdr:rowOff>78399</xdr:rowOff>
    </xdr:from>
    <xdr:to>
      <xdr:col>1</xdr:col>
      <xdr:colOff>1253704</xdr:colOff>
      <xdr:row>4</xdr:row>
      <xdr:rowOff>148067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C6113-93E5-4FBF-9967-9D99138AA9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57" t="23758" r="1657" b="26515"/>
        <a:stretch/>
      </xdr:blipFill>
      <xdr:spPr>
        <a:xfrm>
          <a:off x="583514" y="261279"/>
          <a:ext cx="1256930" cy="618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583514</xdr:colOff>
      <xdr:row>1</xdr:row>
      <xdr:rowOff>78399</xdr:rowOff>
    </xdr:from>
    <xdr:to>
      <xdr:col>3</xdr:col>
      <xdr:colOff>34504</xdr:colOff>
      <xdr:row>4</xdr:row>
      <xdr:rowOff>148067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67AD5-84AB-42B5-BE1F-E8F4E70F7F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57" t="23758" r="1657" b="26515"/>
        <a:stretch/>
      </xdr:blipFill>
      <xdr:spPr>
        <a:xfrm>
          <a:off x="126314" y="261279"/>
          <a:ext cx="1256930" cy="6183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583514</xdr:colOff>
      <xdr:row>1</xdr:row>
      <xdr:rowOff>78399</xdr:rowOff>
    </xdr:from>
    <xdr:to>
      <xdr:col>2</xdr:col>
      <xdr:colOff>125944</xdr:colOff>
      <xdr:row>4</xdr:row>
      <xdr:rowOff>148067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BA1567-908C-4273-AB15-CCFF90FAF7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57" t="23758" r="1657" b="26515"/>
        <a:stretch/>
      </xdr:blipFill>
      <xdr:spPr>
        <a:xfrm>
          <a:off x="126314" y="261279"/>
          <a:ext cx="1256930" cy="6183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583514</xdr:colOff>
      <xdr:row>1</xdr:row>
      <xdr:rowOff>78399</xdr:rowOff>
    </xdr:from>
    <xdr:to>
      <xdr:col>2</xdr:col>
      <xdr:colOff>560284</xdr:colOff>
      <xdr:row>4</xdr:row>
      <xdr:rowOff>148067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76F304-3927-4EF7-B999-5B80BDFD75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57" t="23758" r="1657" b="26515"/>
        <a:stretch/>
      </xdr:blipFill>
      <xdr:spPr>
        <a:xfrm>
          <a:off x="126314" y="261279"/>
          <a:ext cx="1256930" cy="61830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583514</xdr:colOff>
      <xdr:row>1</xdr:row>
      <xdr:rowOff>78399</xdr:rowOff>
    </xdr:from>
    <xdr:to>
      <xdr:col>3</xdr:col>
      <xdr:colOff>34504</xdr:colOff>
      <xdr:row>4</xdr:row>
      <xdr:rowOff>148067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E09A51-6E54-426D-B169-834E4681E8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57" t="23758" r="1657" b="26515"/>
        <a:stretch/>
      </xdr:blipFill>
      <xdr:spPr>
        <a:xfrm>
          <a:off x="126314" y="261279"/>
          <a:ext cx="1256930" cy="61830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583514</xdr:colOff>
      <xdr:row>1</xdr:row>
      <xdr:rowOff>78399</xdr:rowOff>
    </xdr:from>
    <xdr:to>
      <xdr:col>2</xdr:col>
      <xdr:colOff>377404</xdr:colOff>
      <xdr:row>4</xdr:row>
      <xdr:rowOff>148067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AA11F8-5416-4BE3-82A6-A0410F3A10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57" t="23758" r="1657" b="26515"/>
        <a:stretch/>
      </xdr:blipFill>
      <xdr:spPr>
        <a:xfrm>
          <a:off x="126314" y="261279"/>
          <a:ext cx="1256930" cy="6183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Normal="10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/>
    </sheetView>
  </sheetViews>
  <sheetFormatPr defaultColWidth="8.77734375" defaultRowHeight="14.4" x14ac:dyDescent="0.3"/>
  <cols>
    <col min="1" max="1" width="20.6640625" customWidth="1"/>
    <col min="2" max="6" width="13.44140625" customWidth="1"/>
    <col min="7" max="7" width="14.77734375" bestFit="1" customWidth="1"/>
    <col min="8" max="11" width="13.44140625" customWidth="1"/>
    <col min="12" max="12" width="13.33203125" customWidth="1"/>
    <col min="13" max="14" width="12.109375" customWidth="1"/>
  </cols>
  <sheetData>
    <row r="1" spans="1:14" s="2" customFormat="1" x14ac:dyDescent="0.3">
      <c r="A1" s="2" t="str">
        <f>'Data Sheet'!B1</f>
        <v>TATA MOTORS LTD</v>
      </c>
      <c r="H1" t="str">
        <f>UPDATE</f>
        <v/>
      </c>
      <c r="J1" s="3"/>
      <c r="K1" s="3"/>
      <c r="M1" s="2" t="s">
        <v>1</v>
      </c>
    </row>
    <row r="3" spans="1:14" s="2" customFormat="1" x14ac:dyDescent="0.3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3">
      <c r="A4" s="2" t="s">
        <v>6</v>
      </c>
      <c r="B4" s="1">
        <f>'Data Sheet'!B17</f>
        <v>263158.98</v>
      </c>
      <c r="C4" s="1">
        <f>'Data Sheet'!C17</f>
        <v>273045.59999999998</v>
      </c>
      <c r="D4" s="1">
        <f>'Data Sheet'!D17</f>
        <v>269692.51</v>
      </c>
      <c r="E4" s="1">
        <f>'Data Sheet'!E17</f>
        <v>291550.48</v>
      </c>
      <c r="F4" s="1">
        <f>'Data Sheet'!F17</f>
        <v>301938.40000000002</v>
      </c>
      <c r="G4" s="1">
        <f>'Data Sheet'!G17</f>
        <v>261067.97</v>
      </c>
      <c r="H4" s="1">
        <f>'Data Sheet'!H17</f>
        <v>249794.75</v>
      </c>
      <c r="I4" s="1">
        <f>'Data Sheet'!I17</f>
        <v>278453.62</v>
      </c>
      <c r="J4" s="1">
        <f>'Data Sheet'!J17</f>
        <v>345966.97</v>
      </c>
      <c r="K4" s="1">
        <f>'Data Sheet'!K17</f>
        <v>437927.77</v>
      </c>
      <c r="L4" s="1">
        <f>SUM(Quarters!H4:K4)</f>
        <v>437927.77</v>
      </c>
      <c r="M4" s="1">
        <f>$K4+M23*K4</f>
        <v>554332.48941993783</v>
      </c>
      <c r="N4" s="1">
        <f>$K4+N23*L4</f>
        <v>463423.99633785209</v>
      </c>
    </row>
    <row r="5" spans="1:14" x14ac:dyDescent="0.3">
      <c r="A5" t="s">
        <v>7</v>
      </c>
      <c r="B5" s="6">
        <f>SUM('Data Sheet'!B18,'Data Sheet'!B20:B24, -1*'Data Sheet'!B19)</f>
        <v>223920.33000000002</v>
      </c>
      <c r="C5" s="6">
        <f>SUM('Data Sheet'!C18,'Data Sheet'!C20:C24, -1*'Data Sheet'!C19)</f>
        <v>234650.35</v>
      </c>
      <c r="D5" s="6">
        <f>SUM('Data Sheet'!D18,'Data Sheet'!D20:D24, -1*'Data Sheet'!D19)</f>
        <v>240103.81999999998</v>
      </c>
      <c r="E5" s="6">
        <f>SUM('Data Sheet'!E18,'Data Sheet'!E20:E24, -1*'Data Sheet'!E19)</f>
        <v>260092.80000000002</v>
      </c>
      <c r="F5" s="6">
        <f>SUM('Data Sheet'!F18,'Data Sheet'!F20:F24, -1*'Data Sheet'!F19)</f>
        <v>277274.07</v>
      </c>
      <c r="G5" s="6">
        <f>SUM('Data Sheet'!G18,'Data Sheet'!G20:G24, -1*'Data Sheet'!G19)</f>
        <v>243080.90000000005</v>
      </c>
      <c r="H5" s="6">
        <f>SUM('Data Sheet'!H18,'Data Sheet'!H20:H24, -1*'Data Sheet'!H19)</f>
        <v>217507.32</v>
      </c>
      <c r="I5" s="6">
        <f>SUM('Data Sheet'!I18,'Data Sheet'!I20:I24, -1*'Data Sheet'!I19)</f>
        <v>253733.52999999997</v>
      </c>
      <c r="J5" s="6">
        <f>SUM('Data Sheet'!J18,'Data Sheet'!J20:J24, -1*'Data Sheet'!J19)</f>
        <v>314151.17000000004</v>
      </c>
      <c r="K5" s="6">
        <f>SUM('Data Sheet'!K18,'Data Sheet'!K20:K24, -1*'Data Sheet'!K19)</f>
        <v>378389.43</v>
      </c>
      <c r="L5" s="6">
        <f>SUM(Quarters!H5:K5)</f>
        <v>378389.43</v>
      </c>
      <c r="M5" s="6">
        <f t="shared" ref="M5:N5" si="0">M4-M6</f>
        <v>478968.38033836335</v>
      </c>
      <c r="N5" s="6">
        <f t="shared" si="0"/>
        <v>415840.9062458399</v>
      </c>
    </row>
    <row r="6" spans="1:14" s="2" customFormat="1" x14ac:dyDescent="0.3">
      <c r="A6" s="2" t="s">
        <v>8</v>
      </c>
      <c r="B6" s="1">
        <f>B4-B5</f>
        <v>39238.649999999965</v>
      </c>
      <c r="C6" s="1">
        <f t="shared" ref="C6:K6" si="1">C4-C5</f>
        <v>38395.249999999971</v>
      </c>
      <c r="D6" s="1">
        <f t="shared" si="1"/>
        <v>29588.690000000031</v>
      </c>
      <c r="E6" s="1">
        <f t="shared" si="1"/>
        <v>31457.679999999964</v>
      </c>
      <c r="F6" s="1">
        <f t="shared" si="1"/>
        <v>24664.330000000016</v>
      </c>
      <c r="G6" s="1">
        <f t="shared" si="1"/>
        <v>17987.069999999949</v>
      </c>
      <c r="H6" s="1">
        <f t="shared" si="1"/>
        <v>32287.429999999993</v>
      </c>
      <c r="I6" s="1">
        <f t="shared" si="1"/>
        <v>24720.090000000026</v>
      </c>
      <c r="J6" s="1">
        <f t="shared" si="1"/>
        <v>31815.79999999993</v>
      </c>
      <c r="K6" s="1">
        <f t="shared" si="1"/>
        <v>59538.340000000026</v>
      </c>
      <c r="L6" s="1">
        <f>SUM(Quarters!H6:K6)</f>
        <v>59538.34</v>
      </c>
      <c r="M6" s="1">
        <f>M4*M24</f>
        <v>75364.109081574468</v>
      </c>
      <c r="N6" s="1">
        <f>N4*N24</f>
        <v>47583.090092012193</v>
      </c>
    </row>
    <row r="7" spans="1:14" x14ac:dyDescent="0.3">
      <c r="A7" t="s">
        <v>9</v>
      </c>
      <c r="B7" s="6">
        <f>'Data Sheet'!B25</f>
        <v>714.03</v>
      </c>
      <c r="C7" s="6">
        <f>'Data Sheet'!C25</f>
        <v>-2669.62</v>
      </c>
      <c r="D7" s="6">
        <f>'Data Sheet'!D25</f>
        <v>1869.1</v>
      </c>
      <c r="E7" s="6">
        <f>'Data Sheet'!E25</f>
        <v>5932.73</v>
      </c>
      <c r="F7" s="6">
        <f>'Data Sheet'!F25</f>
        <v>-26686.25</v>
      </c>
      <c r="G7" s="6">
        <f>'Data Sheet'!G25</f>
        <v>101.71</v>
      </c>
      <c r="H7" s="6">
        <f>'Data Sheet'!H25</f>
        <v>-11117.83</v>
      </c>
      <c r="I7" s="6">
        <f>'Data Sheet'!I25</f>
        <v>2424.0500000000002</v>
      </c>
      <c r="J7" s="6">
        <f>'Data Sheet'!J25</f>
        <v>6663.97</v>
      </c>
      <c r="K7" s="6">
        <f>'Data Sheet'!K25</f>
        <v>5672.66</v>
      </c>
      <c r="L7" s="6">
        <f>SUM(Quarters!H7:K7)</f>
        <v>5412.67</v>
      </c>
      <c r="M7" s="6">
        <v>0</v>
      </c>
      <c r="N7" s="6">
        <v>0</v>
      </c>
    </row>
    <row r="8" spans="1:14" x14ac:dyDescent="0.3">
      <c r="A8" t="s">
        <v>10</v>
      </c>
      <c r="B8" s="6">
        <f>'Data Sheet'!B26</f>
        <v>13388.63</v>
      </c>
      <c r="C8" s="6">
        <f>'Data Sheet'!C26</f>
        <v>16710.78</v>
      </c>
      <c r="D8" s="6">
        <f>'Data Sheet'!D26</f>
        <v>17904.990000000002</v>
      </c>
      <c r="E8" s="6">
        <f>'Data Sheet'!E26</f>
        <v>21553.59</v>
      </c>
      <c r="F8" s="6">
        <f>'Data Sheet'!F26</f>
        <v>23590.63</v>
      </c>
      <c r="G8" s="6">
        <f>'Data Sheet'!G26</f>
        <v>21425.43</v>
      </c>
      <c r="H8" s="6">
        <f>'Data Sheet'!H26</f>
        <v>23546.71</v>
      </c>
      <c r="I8" s="6">
        <f>'Data Sheet'!I26</f>
        <v>24835.69</v>
      </c>
      <c r="J8" s="6">
        <f>'Data Sheet'!J26</f>
        <v>24860.36</v>
      </c>
      <c r="K8" s="6">
        <f>'Data Sheet'!K26</f>
        <v>27270.13</v>
      </c>
      <c r="L8" s="6">
        <f>SUM(Quarters!H8:K8)</f>
        <v>27270.129999999997</v>
      </c>
      <c r="M8" s="6">
        <f>+$L8</f>
        <v>27270.129999999997</v>
      </c>
      <c r="N8" s="6">
        <f>+$L8</f>
        <v>27270.129999999997</v>
      </c>
    </row>
    <row r="9" spans="1:14" x14ac:dyDescent="0.3">
      <c r="A9" t="s">
        <v>11</v>
      </c>
      <c r="B9" s="6">
        <f>'Data Sheet'!B27</f>
        <v>4861.49</v>
      </c>
      <c r="C9" s="6">
        <f>'Data Sheet'!C27</f>
        <v>4889.08</v>
      </c>
      <c r="D9" s="6">
        <f>'Data Sheet'!D27</f>
        <v>4238.01</v>
      </c>
      <c r="E9" s="6">
        <f>'Data Sheet'!E27</f>
        <v>4681.79</v>
      </c>
      <c r="F9" s="6">
        <f>'Data Sheet'!F27</f>
        <v>5758.6</v>
      </c>
      <c r="G9" s="6">
        <f>'Data Sheet'!G27</f>
        <v>7243.33</v>
      </c>
      <c r="H9" s="6">
        <f>'Data Sheet'!H27</f>
        <v>8097.17</v>
      </c>
      <c r="I9" s="6">
        <f>'Data Sheet'!I27</f>
        <v>9311.86</v>
      </c>
      <c r="J9" s="6">
        <f>'Data Sheet'!J27</f>
        <v>10225.48</v>
      </c>
      <c r="K9" s="6">
        <f>'Data Sheet'!K27</f>
        <v>9985.76</v>
      </c>
      <c r="L9" s="6">
        <f>SUM(Quarters!H9:K9)</f>
        <v>9985.76</v>
      </c>
      <c r="M9" s="6">
        <f>+$L9</f>
        <v>9985.76</v>
      </c>
      <c r="N9" s="6">
        <f>+$L9</f>
        <v>9985.76</v>
      </c>
    </row>
    <row r="10" spans="1:14" x14ac:dyDescent="0.3">
      <c r="A10" t="s">
        <v>12</v>
      </c>
      <c r="B10" s="6">
        <f>'Data Sheet'!B28</f>
        <v>21702.560000000001</v>
      </c>
      <c r="C10" s="6">
        <f>'Data Sheet'!C28</f>
        <v>14125.77</v>
      </c>
      <c r="D10" s="6">
        <f>'Data Sheet'!D28</f>
        <v>9314.7900000000009</v>
      </c>
      <c r="E10" s="6">
        <f>'Data Sheet'!E28</f>
        <v>11155.03</v>
      </c>
      <c r="F10" s="6">
        <f>'Data Sheet'!F28</f>
        <v>-31371.15</v>
      </c>
      <c r="G10" s="6">
        <f>'Data Sheet'!G28</f>
        <v>-10579.98</v>
      </c>
      <c r="H10" s="6">
        <f>'Data Sheet'!H28</f>
        <v>-10474.280000000001</v>
      </c>
      <c r="I10" s="6">
        <f>'Data Sheet'!I28</f>
        <v>-7003.41</v>
      </c>
      <c r="J10" s="6">
        <f>'Data Sheet'!J28</f>
        <v>3393.93</v>
      </c>
      <c r="K10" s="6">
        <f>'Data Sheet'!K28</f>
        <v>27955.11</v>
      </c>
      <c r="L10" s="6">
        <f>SUM(Quarters!H10:K10)</f>
        <v>27695.120000000003</v>
      </c>
      <c r="M10" s="6">
        <f>M6+M7-SUM(M8:M9)</f>
        <v>38108.219081574469</v>
      </c>
      <c r="N10" s="6">
        <f>N6+N7-SUM(N8:N9)</f>
        <v>10327.200092012194</v>
      </c>
    </row>
    <row r="11" spans="1:14" x14ac:dyDescent="0.3">
      <c r="A11" t="s">
        <v>13</v>
      </c>
      <c r="B11" s="6">
        <f>'Data Sheet'!B29</f>
        <v>7642.91</v>
      </c>
      <c r="C11" s="6">
        <f>'Data Sheet'!C29</f>
        <v>3025.05</v>
      </c>
      <c r="D11" s="6">
        <f>'Data Sheet'!D29</f>
        <v>3251.23</v>
      </c>
      <c r="E11" s="6">
        <f>'Data Sheet'!E29</f>
        <v>4341.93</v>
      </c>
      <c r="F11" s="6">
        <f>'Data Sheet'!F29</f>
        <v>-2437.4499999999998</v>
      </c>
      <c r="G11" s="6">
        <f>'Data Sheet'!G29</f>
        <v>395.25</v>
      </c>
      <c r="H11" s="6">
        <f>'Data Sheet'!H29</f>
        <v>2541.86</v>
      </c>
      <c r="I11" s="6">
        <f>'Data Sheet'!I29</f>
        <v>4231.29</v>
      </c>
      <c r="J11" s="6">
        <f>'Data Sheet'!J29</f>
        <v>704.06</v>
      </c>
      <c r="K11" s="6">
        <f>'Data Sheet'!K29</f>
        <v>-3851.64</v>
      </c>
      <c r="L11" s="6">
        <f>SUM(Quarters!H11:K11)</f>
        <v>-3851.6399999999994</v>
      </c>
      <c r="M11" s="7">
        <f>IF($L10&gt;0,$L11/$L10,0)</f>
        <v>-0.13907287637677682</v>
      </c>
      <c r="N11" s="7">
        <f>IF($L10&gt;0,$L11/$L10,0)</f>
        <v>-0.13907287637677682</v>
      </c>
    </row>
    <row r="12" spans="1:14" s="2" customFormat="1" x14ac:dyDescent="0.3">
      <c r="A12" s="2" t="s">
        <v>14</v>
      </c>
      <c r="B12" s="1">
        <f>'Data Sheet'!B30</f>
        <v>13986.29</v>
      </c>
      <c r="C12" s="1">
        <f>'Data Sheet'!C30</f>
        <v>11579.31</v>
      </c>
      <c r="D12" s="1">
        <f>'Data Sheet'!D30</f>
        <v>7454.36</v>
      </c>
      <c r="E12" s="1">
        <f>'Data Sheet'!E30</f>
        <v>8988.91</v>
      </c>
      <c r="F12" s="1">
        <f>'Data Sheet'!F30</f>
        <v>-28826.23</v>
      </c>
      <c r="G12" s="1">
        <f>'Data Sheet'!G30</f>
        <v>-12070.85</v>
      </c>
      <c r="H12" s="1">
        <f>'Data Sheet'!H30</f>
        <v>-13451.39</v>
      </c>
      <c r="I12" s="1">
        <f>'Data Sheet'!I30</f>
        <v>-11441.47</v>
      </c>
      <c r="J12" s="1">
        <f>'Data Sheet'!J30</f>
        <v>2414.29</v>
      </c>
      <c r="K12" s="1">
        <f>'Data Sheet'!K30</f>
        <v>31399.09</v>
      </c>
      <c r="L12" s="1">
        <f>SUM(Quarters!H12:K12)</f>
        <v>31399.09</v>
      </c>
      <c r="M12" s="1">
        <f>M10-M11*M10</f>
        <v>43408.038722845406</v>
      </c>
      <c r="N12" s="1">
        <f>N10-N11*N10</f>
        <v>11763.433513726843</v>
      </c>
    </row>
    <row r="13" spans="1:14" x14ac:dyDescent="0.3">
      <c r="A13" t="s">
        <v>57</v>
      </c>
      <c r="B13" s="6">
        <f>IF('Data Sheet'!B93&gt;0,B12/'Data Sheet'!B93,0)</f>
        <v>48.439045508069547</v>
      </c>
      <c r="C13" s="6">
        <f>IF('Data Sheet'!C93&gt;0,C12/'Data Sheet'!C93,0)</f>
        <v>40.105673316708227</v>
      </c>
      <c r="D13" s="6">
        <f>IF('Data Sheet'!D93&gt;0,D12/'Data Sheet'!D93,0)</f>
        <v>25.817753610639695</v>
      </c>
      <c r="E13" s="6">
        <f>IF('Data Sheet'!E93&gt;0,E12/'Data Sheet'!E93,0)</f>
        <v>31.132580611644094</v>
      </c>
      <c r="F13" s="6">
        <f>IF('Data Sheet'!F93&gt;0,F12/'Data Sheet'!F93,0)</f>
        <v>-99.838014754268684</v>
      </c>
      <c r="G13" s="6">
        <f>IF('Data Sheet'!G93&gt;0,G12/'Data Sheet'!G93,0)</f>
        <v>-39.076885723535128</v>
      </c>
      <c r="H13" s="6">
        <f>IF('Data Sheet'!H93&gt;0,H12/'Data Sheet'!H93,0)</f>
        <v>-40.512574164985097</v>
      </c>
      <c r="I13" s="6">
        <f>IF('Data Sheet'!I93&gt;0,I12/'Data Sheet'!I93,0)</f>
        <v>-34.454994428885477</v>
      </c>
      <c r="J13" s="6">
        <f>IF('Data Sheet'!J93&gt;0,J12/'Data Sheet'!J93,0)</f>
        <v>7.2691114924878812</v>
      </c>
      <c r="K13" s="6">
        <f>IF('Data Sheet'!K93&gt;0,K12/'Data Sheet'!K93,0)</f>
        <v>94.470289135601888</v>
      </c>
      <c r="L13" s="6">
        <f>IF('Data Sheet'!$B6&gt;0,'Profit &amp; Loss'!L12/'Data Sheet'!$B6,0)</f>
        <v>85.625918136194031</v>
      </c>
      <c r="M13" s="6">
        <f>IF('Data Sheet'!$B6&gt;0,'Profit &amp; Loss'!M12/'Data Sheet'!$B6,0)</f>
        <v>118.37455066803213</v>
      </c>
      <c r="N13" s="6">
        <f>IF('Data Sheet'!$B6&gt;0,'Profit &amp; Loss'!N12/'Data Sheet'!$B6,0)</f>
        <v>32.079107867359717</v>
      </c>
    </row>
    <row r="14" spans="1:14" x14ac:dyDescent="0.3">
      <c r="A14" t="s">
        <v>16</v>
      </c>
      <c r="B14" s="6">
        <f>IF(B15&gt;0,B15/B13,"")</f>
        <v>11.238247869878288</v>
      </c>
      <c r="C14" s="6">
        <f t="shared" ref="C14:K14" si="2">IF(C15&gt;0,C15/C13,"")</f>
        <v>9.6395339618681959</v>
      </c>
      <c r="D14" s="6">
        <f t="shared" si="2"/>
        <v>18.043785180753279</v>
      </c>
      <c r="E14" s="6">
        <f t="shared" si="2"/>
        <v>10.4986478338308</v>
      </c>
      <c r="F14" s="6">
        <f t="shared" si="2"/>
        <v>-1.7453271725092045</v>
      </c>
      <c r="G14" s="6">
        <f t="shared" si="2"/>
        <v>-1.8182103994333454</v>
      </c>
      <c r="H14" s="6">
        <f t="shared" si="2"/>
        <v>-7.4495389695786081</v>
      </c>
      <c r="I14" s="6">
        <f t="shared" si="2"/>
        <v>-12.588886087189845</v>
      </c>
      <c r="J14" s="6">
        <f t="shared" si="2"/>
        <v>57.88878055246056</v>
      </c>
      <c r="K14" s="6">
        <f t="shared" si="2"/>
        <v>10.509124181624372</v>
      </c>
      <c r="L14" s="6">
        <f t="shared" ref="L14" si="3">IF(L13&gt;0,L15/L13,0)</f>
        <v>11.546737500991268</v>
      </c>
      <c r="M14" s="6">
        <f>M25</f>
        <v>26.648214078358734</v>
      </c>
      <c r="N14" s="6">
        <f>N25</f>
        <v>11.546737500991268</v>
      </c>
    </row>
    <row r="15" spans="1:14" s="2" customFormat="1" x14ac:dyDescent="0.3">
      <c r="A15" s="2" t="s">
        <v>58</v>
      </c>
      <c r="B15" s="1">
        <f>'Data Sheet'!B90</f>
        <v>544.37</v>
      </c>
      <c r="C15" s="1">
        <f>'Data Sheet'!C90</f>
        <v>386.6</v>
      </c>
      <c r="D15" s="1">
        <f>'Data Sheet'!D90</f>
        <v>465.85</v>
      </c>
      <c r="E15" s="1">
        <f>'Data Sheet'!E90</f>
        <v>326.85000000000002</v>
      </c>
      <c r="F15" s="1">
        <f>'Data Sheet'!F90</f>
        <v>174.25</v>
      </c>
      <c r="G15" s="1">
        <f>'Data Sheet'!G90</f>
        <v>71.05</v>
      </c>
      <c r="H15" s="1">
        <f>'Data Sheet'!H90</f>
        <v>301.8</v>
      </c>
      <c r="I15" s="1">
        <f>'Data Sheet'!I90</f>
        <v>433.75</v>
      </c>
      <c r="J15" s="1">
        <f>'Data Sheet'!J90</f>
        <v>420.8</v>
      </c>
      <c r="K15" s="1">
        <f>'Data Sheet'!K90</f>
        <v>992.8</v>
      </c>
      <c r="L15" s="1">
        <f>'Data Sheet'!B8</f>
        <v>988.7</v>
      </c>
      <c r="M15" s="8">
        <f>M13*M14</f>
        <v>3154.4703676312429</v>
      </c>
      <c r="N15" s="9">
        <f>N13*N14</f>
        <v>370.40903781038645</v>
      </c>
    </row>
    <row r="17" spans="1:14" s="2" customFormat="1" x14ac:dyDescent="0.3">
      <c r="A17" s="2" t="s">
        <v>15</v>
      </c>
    </row>
    <row r="18" spans="1:14" x14ac:dyDescent="0.3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5.8656344808110331E-3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0.31728582730326516</v>
      </c>
      <c r="K18" s="5">
        <f>IF('Data Sheet'!K30&gt;0, 'Data Sheet'!K31/'Data Sheet'!K30, 0)</f>
        <v>0.14891036651062178</v>
      </c>
    </row>
    <row r="19" spans="1:14" x14ac:dyDescent="0.3">
      <c r="A19" t="s">
        <v>18</v>
      </c>
      <c r="B19" s="5">
        <f t="shared" ref="B19:L19" si="4">IF(B6&gt;0,B6/B4,0)</f>
        <v>0.14910625508580391</v>
      </c>
      <c r="C19" s="5">
        <f t="shared" ref="C19:K19" si="5">IF(C6&gt;0,C6/C4,0)</f>
        <v>0.14061845347443788</v>
      </c>
      <c r="D19" s="5">
        <f t="shared" si="5"/>
        <v>0.10971268723777323</v>
      </c>
      <c r="E19" s="5">
        <f t="shared" si="5"/>
        <v>0.10789788444182964</v>
      </c>
      <c r="F19" s="5">
        <f t="shared" si="5"/>
        <v>8.1686628795807403E-2</v>
      </c>
      <c r="G19" s="5">
        <f t="shared" si="5"/>
        <v>6.8898034485042142E-2</v>
      </c>
      <c r="H19" s="5">
        <f t="shared" si="5"/>
        <v>0.12925583904385499</v>
      </c>
      <c r="I19" s="5">
        <f t="shared" si="5"/>
        <v>8.8776328352276501E-2</v>
      </c>
      <c r="J19" s="5">
        <f t="shared" si="5"/>
        <v>9.1961958102531965E-2</v>
      </c>
      <c r="K19" s="5">
        <f t="shared" si="5"/>
        <v>0.13595470321509875</v>
      </c>
      <c r="L19" s="5">
        <f t="shared" si="4"/>
        <v>0.13595470321509867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">
      <c r="A23"/>
      <c r="B23"/>
      <c r="C23"/>
      <c r="D23"/>
      <c r="E23"/>
      <c r="F23"/>
      <c r="G23" t="s">
        <v>22</v>
      </c>
      <c r="H23" s="5">
        <f>IF(B4=0,"",POWER($K4/B4,1/9)-1)</f>
        <v>5.822016342524261E-2</v>
      </c>
      <c r="I23" s="5">
        <f>IF(D4=0,"",POWER($K4/D4,1/7)-1)</f>
        <v>7.1707397937264439E-2</v>
      </c>
      <c r="J23" s="5">
        <f>IF(F4=0,"",POWER($K4/F4,1/5)-1)</f>
        <v>7.7201196827101359E-2</v>
      </c>
      <c r="K23" s="5">
        <f>IF(H4=0,"",POWER($K4/H4, 1/3)-1)</f>
        <v>0.20579383686046926</v>
      </c>
      <c r="L23" s="5">
        <f>IF(ISERROR(MAX(IF(J4=0,"",(K4-J4)/J4),IF(K4=0,"",(L4-K4)/K4))),"",MAX(IF(J4=0,"",(K4-J4)/J4),IF(K4=0,"",(L4-K4)/K4)))</f>
        <v>0.26580803363974326</v>
      </c>
      <c r="M23" s="16">
        <f>MAX(K23:L23)</f>
        <v>0.26580803363974326</v>
      </c>
      <c r="N23" s="16">
        <f>MIN(H23:L23)</f>
        <v>5.822016342524261E-2</v>
      </c>
    </row>
    <row r="24" spans="1:14" x14ac:dyDescent="0.3">
      <c r="G24" t="s">
        <v>18</v>
      </c>
      <c r="H24" s="5">
        <f>IF(SUM(B4:$K$4)=0,"",SUMPRODUCT(B19:$K$19,B4:$K$4)/SUM(B4:$K$4))</f>
        <v>0.11091087169046339</v>
      </c>
      <c r="I24" s="5">
        <f>IF(SUM(E4:$K$4)=0,"",SUMPRODUCT(E19:$K$19,E4:$K$4)/SUM(E4:$K$4))</f>
        <v>0.10267722532288223</v>
      </c>
      <c r="J24" s="5">
        <f>IF(SUM(G4:$K$4)=0,"",SUMPRODUCT(G19:$K$19,G4:$K$4)/SUM(G4:$K$4))</f>
        <v>0.10573834122754838</v>
      </c>
      <c r="K24" s="5">
        <f>IF(SUM(I4:$K$4)=0, "", SUMPRODUCT(I19:$K$19,I4:$K$4)/SUM(I4:$K$4))</f>
        <v>0.10926192798000836</v>
      </c>
      <c r="L24" s="5">
        <f>L19</f>
        <v>0.13595470321509867</v>
      </c>
      <c r="M24" s="16">
        <f>MAX(K24:L24)</f>
        <v>0.13595470321509867</v>
      </c>
      <c r="N24" s="16">
        <f>MIN(H24:L24)</f>
        <v>0.10267722532288223</v>
      </c>
    </row>
    <row r="25" spans="1:14" x14ac:dyDescent="0.3">
      <c r="G25" t="s">
        <v>23</v>
      </c>
      <c r="H25" s="6">
        <f>IF(ISERROR(AVERAGEIF(B14:$L14,"&gt;0")),"",AVERAGEIF(B14:$L14,"&gt;0"))</f>
        <v>18.480693868772395</v>
      </c>
      <c r="I25" s="6">
        <f>IF(ISERROR(AVERAGEIF(E14:$L14,"&gt;0")),"",AVERAGEIF(E14:$L14,"&gt;0"))</f>
        <v>22.610822517226751</v>
      </c>
      <c r="J25" s="6">
        <f>IF(ISERROR(AVERAGEIF(G14:$L14,"&gt;0")),"",AVERAGEIF(G14:$L14,"&gt;0"))</f>
        <v>26.648214078358734</v>
      </c>
      <c r="K25" s="6">
        <f>IF(ISERROR(AVERAGEIF(I14:$L14,"&gt;0")),"",AVERAGEIF(I14:$L14,"&gt;0"))</f>
        <v>26.648214078358734</v>
      </c>
      <c r="L25" s="6">
        <f>L14</f>
        <v>11.546737500991268</v>
      </c>
      <c r="M25" s="1">
        <f>MAX(K25:L25)</f>
        <v>26.648214078358734</v>
      </c>
      <c r="N25" s="1">
        <f>MIN(H25:L25)</f>
        <v>11.546737500991268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20" zoomScaleNormal="12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0.6640625" customWidth="1"/>
    <col min="2" max="11" width="13.44140625" bestFit="1" customWidth="1"/>
  </cols>
  <sheetData>
    <row r="1" spans="1:11" s="2" customFormat="1" x14ac:dyDescent="0.3">
      <c r="A1" s="2" t="str">
        <f>'Profit &amp; Loss'!A1</f>
        <v>TATA MOTORS LTD</v>
      </c>
      <c r="E1" t="str">
        <f>UPDATE</f>
        <v/>
      </c>
      <c r="J1" s="2" t="s">
        <v>1</v>
      </c>
    </row>
    <row r="3" spans="1:11" s="2" customFormat="1" x14ac:dyDescent="0.3">
      <c r="A3" s="11" t="s">
        <v>2</v>
      </c>
      <c r="B3" s="12">
        <f>'Data Sheet'!B41</f>
        <v>44561</v>
      </c>
      <c r="C3" s="12">
        <f>'Data Sheet'!C41</f>
        <v>44651</v>
      </c>
      <c r="D3" s="12">
        <f>'Data Sheet'!D41</f>
        <v>44742</v>
      </c>
      <c r="E3" s="12">
        <f>'Data Sheet'!E41</f>
        <v>44834</v>
      </c>
      <c r="F3" s="12">
        <f>'Data Sheet'!F41</f>
        <v>44926</v>
      </c>
      <c r="G3" s="12">
        <f>'Data Sheet'!G41</f>
        <v>45016</v>
      </c>
      <c r="H3" s="12">
        <f>'Data Sheet'!H41</f>
        <v>45107</v>
      </c>
      <c r="I3" s="12">
        <f>'Data Sheet'!I41</f>
        <v>45199</v>
      </c>
      <c r="J3" s="12">
        <f>'Data Sheet'!J41</f>
        <v>45291</v>
      </c>
      <c r="K3" s="12">
        <f>'Data Sheet'!K41</f>
        <v>45382</v>
      </c>
    </row>
    <row r="4" spans="1:11" s="2" customFormat="1" x14ac:dyDescent="0.3">
      <c r="A4" s="2" t="s">
        <v>6</v>
      </c>
      <c r="B4" s="1">
        <f>'Data Sheet'!B42</f>
        <v>72229.289999999994</v>
      </c>
      <c r="C4" s="1">
        <f>'Data Sheet'!C42</f>
        <v>78439.06</v>
      </c>
      <c r="D4" s="1">
        <f>'Data Sheet'!D42</f>
        <v>71934.66</v>
      </c>
      <c r="E4" s="1">
        <f>'Data Sheet'!E42</f>
        <v>79611.37</v>
      </c>
      <c r="F4" s="1">
        <f>'Data Sheet'!F42</f>
        <v>88488.59</v>
      </c>
      <c r="G4" s="1">
        <f>'Data Sheet'!G42</f>
        <v>105932.35</v>
      </c>
      <c r="H4" s="1">
        <f>'Data Sheet'!H42</f>
        <v>102236.08</v>
      </c>
      <c r="I4" s="1">
        <f>'Data Sheet'!I42</f>
        <v>105128.24</v>
      </c>
      <c r="J4" s="1">
        <f>'Data Sheet'!J42</f>
        <v>110577.14</v>
      </c>
      <c r="K4" s="1">
        <f>'Data Sheet'!K42</f>
        <v>119986.31</v>
      </c>
    </row>
    <row r="5" spans="1:11" x14ac:dyDescent="0.3">
      <c r="A5" t="s">
        <v>7</v>
      </c>
      <c r="B5" s="6">
        <f>'Data Sheet'!B43</f>
        <v>65151.27</v>
      </c>
      <c r="C5" s="6">
        <f>'Data Sheet'!C43</f>
        <v>70156.27</v>
      </c>
      <c r="D5" s="6">
        <f>'Data Sheet'!D43</f>
        <v>69521.929999999993</v>
      </c>
      <c r="E5" s="6">
        <f>'Data Sheet'!E43</f>
        <v>74039.06</v>
      </c>
      <c r="F5" s="6">
        <f>'Data Sheet'!F43</f>
        <v>77668.350000000006</v>
      </c>
      <c r="G5" s="6">
        <f>'Data Sheet'!G43</f>
        <v>92817.95</v>
      </c>
      <c r="H5" s="6">
        <f>'Data Sheet'!H43</f>
        <v>89018.36</v>
      </c>
      <c r="I5" s="6">
        <f>'Data Sheet'!I43</f>
        <v>91361.3</v>
      </c>
      <c r="J5" s="6">
        <f>'Data Sheet'!J43</f>
        <v>95158.77</v>
      </c>
      <c r="K5" s="6">
        <f>'Data Sheet'!K43</f>
        <v>102851</v>
      </c>
    </row>
    <row r="6" spans="1:11" s="2" customFormat="1" x14ac:dyDescent="0.3">
      <c r="A6" s="2" t="s">
        <v>8</v>
      </c>
      <c r="B6" s="1">
        <f>'Data Sheet'!B50</f>
        <v>7078.02</v>
      </c>
      <c r="C6" s="1">
        <f>'Data Sheet'!C50</f>
        <v>8282.7900000000009</v>
      </c>
      <c r="D6" s="1">
        <f>'Data Sheet'!D50</f>
        <v>2412.73</v>
      </c>
      <c r="E6" s="1">
        <f>'Data Sheet'!E50</f>
        <v>5572.31</v>
      </c>
      <c r="F6" s="1">
        <f>'Data Sheet'!F50</f>
        <v>10820.24</v>
      </c>
      <c r="G6" s="1">
        <f>'Data Sheet'!G50</f>
        <v>13114.4</v>
      </c>
      <c r="H6" s="1">
        <f>'Data Sheet'!H50</f>
        <v>13217.72</v>
      </c>
      <c r="I6" s="1">
        <f>'Data Sheet'!I50</f>
        <v>13766.94</v>
      </c>
      <c r="J6" s="1">
        <f>'Data Sheet'!J50</f>
        <v>15418.37</v>
      </c>
      <c r="K6" s="1">
        <f>'Data Sheet'!K50</f>
        <v>17135.310000000001</v>
      </c>
    </row>
    <row r="7" spans="1:11" x14ac:dyDescent="0.3">
      <c r="A7" t="s">
        <v>9</v>
      </c>
      <c r="B7" s="6">
        <f>'Data Sheet'!B44</f>
        <v>788.73</v>
      </c>
      <c r="C7" s="6">
        <f>'Data Sheet'!C44</f>
        <v>188.74</v>
      </c>
      <c r="D7" s="6">
        <f>'Data Sheet'!D44</f>
        <v>2380.98</v>
      </c>
      <c r="E7" s="6">
        <f>'Data Sheet'!E44</f>
        <v>1351.14</v>
      </c>
      <c r="F7" s="6">
        <f>'Data Sheet'!F44</f>
        <v>1129.98</v>
      </c>
      <c r="G7" s="6">
        <f>'Data Sheet'!G44</f>
        <v>1452.86</v>
      </c>
      <c r="H7" s="6">
        <f>'Data Sheet'!H44</f>
        <v>683.56</v>
      </c>
      <c r="I7" s="6">
        <f>'Data Sheet'!I44</f>
        <v>1507.05</v>
      </c>
      <c r="J7" s="6">
        <f>'Data Sheet'!J44</f>
        <v>1603.76</v>
      </c>
      <c r="K7" s="6">
        <f>'Data Sheet'!K44</f>
        <v>1618.3</v>
      </c>
    </row>
    <row r="8" spans="1:11" x14ac:dyDescent="0.3">
      <c r="A8" t="s">
        <v>10</v>
      </c>
      <c r="B8" s="6">
        <f>'Data Sheet'!B45</f>
        <v>6078.13</v>
      </c>
      <c r="C8" s="6">
        <f>'Data Sheet'!C45</f>
        <v>6432.11</v>
      </c>
      <c r="D8" s="6">
        <f>'Data Sheet'!D45</f>
        <v>5841.04</v>
      </c>
      <c r="E8" s="6">
        <f>'Data Sheet'!E45</f>
        <v>5897.34</v>
      </c>
      <c r="F8" s="6">
        <f>'Data Sheet'!F45</f>
        <v>6071.78</v>
      </c>
      <c r="G8" s="6">
        <f>'Data Sheet'!G45</f>
        <v>7050.2</v>
      </c>
      <c r="H8" s="6">
        <f>'Data Sheet'!H45</f>
        <v>6633.18</v>
      </c>
      <c r="I8" s="6">
        <f>'Data Sheet'!I45</f>
        <v>6636.42</v>
      </c>
      <c r="J8" s="6">
        <f>'Data Sheet'!J45</f>
        <v>6850</v>
      </c>
      <c r="K8" s="6">
        <f>'Data Sheet'!K45</f>
        <v>7150.53</v>
      </c>
    </row>
    <row r="9" spans="1:11" x14ac:dyDescent="0.3">
      <c r="A9" t="s">
        <v>11</v>
      </c>
      <c r="B9" s="6">
        <f>'Data Sheet'!B46</f>
        <v>2400.7399999999998</v>
      </c>
      <c r="C9" s="6">
        <f>'Data Sheet'!C46</f>
        <v>2380.52</v>
      </c>
      <c r="D9" s="6">
        <f>'Data Sheet'!D46</f>
        <v>2420.7199999999998</v>
      </c>
      <c r="E9" s="6">
        <f>'Data Sheet'!E46</f>
        <v>2487.2600000000002</v>
      </c>
      <c r="F9" s="6">
        <f>'Data Sheet'!F46</f>
        <v>2675.83</v>
      </c>
      <c r="G9" s="6">
        <f>'Data Sheet'!G46</f>
        <v>2641.67</v>
      </c>
      <c r="H9" s="6">
        <f>'Data Sheet'!H46</f>
        <v>2615.39</v>
      </c>
      <c r="I9" s="6">
        <f>'Data Sheet'!I46</f>
        <v>2651.69</v>
      </c>
      <c r="J9" s="6">
        <f>'Data Sheet'!J46</f>
        <v>2484.91</v>
      </c>
      <c r="K9" s="6">
        <f>'Data Sheet'!K46</f>
        <v>2233.77</v>
      </c>
    </row>
    <row r="10" spans="1:11" x14ac:dyDescent="0.3">
      <c r="A10" t="s">
        <v>12</v>
      </c>
      <c r="B10" s="6">
        <f>'Data Sheet'!B47</f>
        <v>-612.12</v>
      </c>
      <c r="C10" s="6">
        <f>'Data Sheet'!C47</f>
        <v>-341.1</v>
      </c>
      <c r="D10" s="6">
        <f>'Data Sheet'!D47</f>
        <v>-3468.05</v>
      </c>
      <c r="E10" s="6">
        <f>'Data Sheet'!E47</f>
        <v>-1461.15</v>
      </c>
      <c r="F10" s="6">
        <f>'Data Sheet'!F47</f>
        <v>3202.61</v>
      </c>
      <c r="G10" s="6">
        <f>'Data Sheet'!G47</f>
        <v>4875.3900000000003</v>
      </c>
      <c r="H10" s="6">
        <f>'Data Sheet'!H47</f>
        <v>4652.71</v>
      </c>
      <c r="I10" s="6">
        <f>'Data Sheet'!I47</f>
        <v>5985.88</v>
      </c>
      <c r="J10" s="6">
        <f>'Data Sheet'!J47</f>
        <v>7687.22</v>
      </c>
      <c r="K10" s="6">
        <f>'Data Sheet'!K47</f>
        <v>9369.31</v>
      </c>
    </row>
    <row r="11" spans="1:11" x14ac:dyDescent="0.3">
      <c r="A11" t="s">
        <v>13</v>
      </c>
      <c r="B11" s="6">
        <f>'Data Sheet'!B48</f>
        <v>726.05</v>
      </c>
      <c r="C11" s="6">
        <f>'Data Sheet'!C48</f>
        <v>758.22</v>
      </c>
      <c r="D11" s="6">
        <f>'Data Sheet'!D48</f>
        <v>1518.96</v>
      </c>
      <c r="E11" s="6">
        <f>'Data Sheet'!E48</f>
        <v>-457.08</v>
      </c>
      <c r="F11" s="6">
        <f>'Data Sheet'!F48</f>
        <v>262.83</v>
      </c>
      <c r="G11" s="6">
        <f>'Data Sheet'!G48</f>
        <v>-620.65</v>
      </c>
      <c r="H11" s="6">
        <f>'Data Sheet'!H48</f>
        <v>1563.01</v>
      </c>
      <c r="I11" s="6">
        <f>'Data Sheet'!I48</f>
        <v>2202.84</v>
      </c>
      <c r="J11" s="6">
        <f>'Data Sheet'!J48</f>
        <v>541.79</v>
      </c>
      <c r="K11" s="6">
        <f>'Data Sheet'!K48</f>
        <v>-8159.28</v>
      </c>
    </row>
    <row r="12" spans="1:11" s="2" customFormat="1" x14ac:dyDescent="0.3">
      <c r="A12" s="2" t="s">
        <v>14</v>
      </c>
      <c r="B12" s="1">
        <f>'Data Sheet'!B49</f>
        <v>-1516.14</v>
      </c>
      <c r="C12" s="1">
        <f>'Data Sheet'!C49</f>
        <v>-1032.8399999999999</v>
      </c>
      <c r="D12" s="1">
        <f>'Data Sheet'!D49</f>
        <v>-5006.6000000000004</v>
      </c>
      <c r="E12" s="1">
        <f>'Data Sheet'!E49</f>
        <v>-944.61</v>
      </c>
      <c r="F12" s="1">
        <f>'Data Sheet'!F49</f>
        <v>2957.71</v>
      </c>
      <c r="G12" s="1">
        <f>'Data Sheet'!G49</f>
        <v>5407.79</v>
      </c>
      <c r="H12" s="1">
        <f>'Data Sheet'!H49</f>
        <v>3202.8</v>
      </c>
      <c r="I12" s="1">
        <f>'Data Sheet'!I49</f>
        <v>3764</v>
      </c>
      <c r="J12" s="1">
        <f>'Data Sheet'!J49</f>
        <v>7025.11</v>
      </c>
      <c r="K12" s="1">
        <f>'Data Sheet'!K49</f>
        <v>17407.18</v>
      </c>
    </row>
    <row r="14" spans="1:11" s="2" customFormat="1" x14ac:dyDescent="0.3">
      <c r="A14" s="2" t="s">
        <v>18</v>
      </c>
      <c r="B14" s="10">
        <f>IF(B4&gt;0,B6/B4,"")</f>
        <v>9.7993764025646676E-2</v>
      </c>
      <c r="C14" s="10">
        <f t="shared" ref="C14:K14" si="0">IF(C4&gt;0,C6/C4,"")</f>
        <v>0.10559522258425842</v>
      </c>
      <c r="D14" s="10">
        <f t="shared" si="0"/>
        <v>3.3540576962482339E-2</v>
      </c>
      <c r="E14" s="10">
        <f t="shared" si="0"/>
        <v>6.9993896600447914E-2</v>
      </c>
      <c r="F14" s="10">
        <f t="shared" si="0"/>
        <v>0.12227836379808968</v>
      </c>
      <c r="G14" s="10">
        <f t="shared" si="0"/>
        <v>0.1237997646611257</v>
      </c>
      <c r="H14" s="10">
        <f t="shared" si="0"/>
        <v>0.12928625588931031</v>
      </c>
      <c r="I14" s="10">
        <f t="shared" si="0"/>
        <v>0.1309537760738694</v>
      </c>
      <c r="J14" s="10">
        <f t="shared" si="0"/>
        <v>0.13943542037712317</v>
      </c>
      <c r="K14" s="10">
        <f t="shared" si="0"/>
        <v>0.14281054230270104</v>
      </c>
    </row>
    <row r="22" s="23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4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Normal="100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bestFit="1" customWidth="1"/>
    <col min="2" max="2" width="13.44140625" customWidth="1"/>
    <col min="3" max="11" width="15.44140625" customWidth="1"/>
  </cols>
  <sheetData>
    <row r="1" spans="1:11" s="2" customFormat="1" x14ac:dyDescent="0.3">
      <c r="A1" s="2" t="str">
        <f>'Profit &amp; Loss'!A1</f>
        <v>TATA MOTORS LTD</v>
      </c>
      <c r="E1" t="str">
        <f>UPDATE</f>
        <v/>
      </c>
      <c r="G1"/>
      <c r="J1" s="2" t="s">
        <v>1</v>
      </c>
    </row>
    <row r="2" spans="1:11" x14ac:dyDescent="0.3">
      <c r="G2" s="2"/>
      <c r="H2" s="2"/>
    </row>
    <row r="3" spans="1:11" x14ac:dyDescent="0.3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3">
      <c r="A4" t="s">
        <v>24</v>
      </c>
      <c r="B4" s="14">
        <f>'Data Sheet'!B57</f>
        <v>643.78</v>
      </c>
      <c r="C4" s="14">
        <f>'Data Sheet'!C57</f>
        <v>679.18</v>
      </c>
      <c r="D4" s="14">
        <f>'Data Sheet'!D57</f>
        <v>679.22</v>
      </c>
      <c r="E4" s="14">
        <f>'Data Sheet'!E57</f>
        <v>679.22</v>
      </c>
      <c r="F4" s="14">
        <f>'Data Sheet'!F57</f>
        <v>679.22</v>
      </c>
      <c r="G4" s="14">
        <f>'Data Sheet'!G57</f>
        <v>719.54</v>
      </c>
      <c r="H4" s="14">
        <f>'Data Sheet'!H57</f>
        <v>765.81</v>
      </c>
      <c r="I4" s="14">
        <f>'Data Sheet'!I57</f>
        <v>765.88</v>
      </c>
      <c r="J4" s="14">
        <f>'Data Sheet'!J57</f>
        <v>766.02</v>
      </c>
      <c r="K4" s="14">
        <f>'Data Sheet'!K57</f>
        <v>766.5</v>
      </c>
    </row>
    <row r="5" spans="1:11" x14ac:dyDescent="0.3">
      <c r="A5" t="s">
        <v>25</v>
      </c>
      <c r="B5" s="14">
        <f>'Data Sheet'!B58</f>
        <v>55618.14</v>
      </c>
      <c r="C5" s="14">
        <f>'Data Sheet'!C58</f>
        <v>78273.23</v>
      </c>
      <c r="D5" s="14">
        <f>'Data Sheet'!D58</f>
        <v>57382.67</v>
      </c>
      <c r="E5" s="14">
        <f>'Data Sheet'!E58</f>
        <v>94748.69</v>
      </c>
      <c r="F5" s="14">
        <f>'Data Sheet'!F58</f>
        <v>59500.34</v>
      </c>
      <c r="G5" s="14">
        <f>'Data Sheet'!G58</f>
        <v>61491.49</v>
      </c>
      <c r="H5" s="14">
        <f>'Data Sheet'!H58</f>
        <v>54480.91</v>
      </c>
      <c r="I5" s="14">
        <f>'Data Sheet'!I58</f>
        <v>43795.360000000001</v>
      </c>
      <c r="J5" s="14">
        <f>'Data Sheet'!J58</f>
        <v>44555.77</v>
      </c>
      <c r="K5" s="14">
        <f>'Data Sheet'!K58</f>
        <v>84151.52</v>
      </c>
    </row>
    <row r="6" spans="1:11" x14ac:dyDescent="0.3">
      <c r="A6" t="s">
        <v>71</v>
      </c>
      <c r="B6" s="14">
        <f>'Data Sheet'!B59</f>
        <v>73610.39</v>
      </c>
      <c r="C6" s="14">
        <f>'Data Sheet'!C59</f>
        <v>69359.960000000006</v>
      </c>
      <c r="D6" s="14">
        <f>'Data Sheet'!D59</f>
        <v>78603.98</v>
      </c>
      <c r="E6" s="14">
        <f>'Data Sheet'!E59</f>
        <v>88950.47</v>
      </c>
      <c r="F6" s="14">
        <f>'Data Sheet'!F59</f>
        <v>106175.34</v>
      </c>
      <c r="G6" s="14">
        <f>'Data Sheet'!G59</f>
        <v>124787.64</v>
      </c>
      <c r="H6" s="14">
        <f>'Data Sheet'!H59</f>
        <v>142130.57</v>
      </c>
      <c r="I6" s="14">
        <f>'Data Sheet'!I59</f>
        <v>146449.03</v>
      </c>
      <c r="J6" s="14">
        <f>'Data Sheet'!J59</f>
        <v>134113.44</v>
      </c>
      <c r="K6" s="14">
        <f>'Data Sheet'!K59</f>
        <v>107262.5</v>
      </c>
    </row>
    <row r="7" spans="1:11" x14ac:dyDescent="0.3">
      <c r="A7" t="s">
        <v>72</v>
      </c>
      <c r="B7" s="14">
        <f>'Data Sheet'!B60</f>
        <v>107442.48</v>
      </c>
      <c r="C7" s="14">
        <f>'Data Sheet'!C60</f>
        <v>114871.75</v>
      </c>
      <c r="D7" s="14">
        <f>'Data Sheet'!D60</f>
        <v>135914.49</v>
      </c>
      <c r="E7" s="14">
        <f>'Data Sheet'!E60</f>
        <v>142813.43</v>
      </c>
      <c r="F7" s="14">
        <f>'Data Sheet'!F60</f>
        <v>139348.59</v>
      </c>
      <c r="G7" s="14">
        <f>'Data Sheet'!G60</f>
        <v>133180.72</v>
      </c>
      <c r="H7" s="14">
        <f>'Data Sheet'!H60</f>
        <v>144192.62</v>
      </c>
      <c r="I7" s="14">
        <f>'Data Sheet'!I60</f>
        <v>138051.22</v>
      </c>
      <c r="J7" s="14">
        <f>'Data Sheet'!J60</f>
        <v>155239.20000000001</v>
      </c>
      <c r="K7" s="14">
        <f>'Data Sheet'!K60</f>
        <v>177340.09</v>
      </c>
    </row>
    <row r="8" spans="1:11" s="2" customFormat="1" x14ac:dyDescent="0.3">
      <c r="A8" s="2" t="s">
        <v>26</v>
      </c>
      <c r="B8" s="15">
        <f>'Data Sheet'!B61</f>
        <v>237314.79</v>
      </c>
      <c r="C8" s="15">
        <f>'Data Sheet'!C61</f>
        <v>263184.12</v>
      </c>
      <c r="D8" s="15">
        <f>'Data Sheet'!D61</f>
        <v>272580.36</v>
      </c>
      <c r="E8" s="15">
        <f>'Data Sheet'!E61</f>
        <v>327191.81</v>
      </c>
      <c r="F8" s="15">
        <f>'Data Sheet'!F61</f>
        <v>305703.49</v>
      </c>
      <c r="G8" s="15">
        <f>'Data Sheet'!G61</f>
        <v>320179.39</v>
      </c>
      <c r="H8" s="15">
        <f>'Data Sheet'!H61</f>
        <v>341569.91</v>
      </c>
      <c r="I8" s="15">
        <f>'Data Sheet'!I61</f>
        <v>329061.49</v>
      </c>
      <c r="J8" s="15">
        <f>'Data Sheet'!J61</f>
        <v>334674.43</v>
      </c>
      <c r="K8" s="15">
        <f>'Data Sheet'!K61</f>
        <v>369520.61</v>
      </c>
    </row>
    <row r="9" spans="1:11" s="2" customForma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t="s">
        <v>27</v>
      </c>
      <c r="B10" s="14">
        <f>'Data Sheet'!B62</f>
        <v>88479.49</v>
      </c>
      <c r="C10" s="14">
        <f>'Data Sheet'!C62</f>
        <v>107231.76</v>
      </c>
      <c r="D10" s="14">
        <f>'Data Sheet'!D62</f>
        <v>95944.08</v>
      </c>
      <c r="E10" s="14">
        <f>'Data Sheet'!E62</f>
        <v>121413.86</v>
      </c>
      <c r="F10" s="14">
        <f>'Data Sheet'!F62</f>
        <v>111234.47</v>
      </c>
      <c r="G10" s="14">
        <f>'Data Sheet'!G62</f>
        <v>127107.14</v>
      </c>
      <c r="H10" s="14">
        <f>'Data Sheet'!H62</f>
        <v>138707.60999999999</v>
      </c>
      <c r="I10" s="14">
        <f>'Data Sheet'!I62</f>
        <v>138855.45000000001</v>
      </c>
      <c r="J10" s="14">
        <f>'Data Sheet'!J62</f>
        <v>132079.76</v>
      </c>
      <c r="K10" s="14">
        <f>'Data Sheet'!K62</f>
        <v>121285.46</v>
      </c>
    </row>
    <row r="11" spans="1:11" x14ac:dyDescent="0.3">
      <c r="A11" t="s">
        <v>28</v>
      </c>
      <c r="B11" s="14">
        <f>'Data Sheet'!B63</f>
        <v>28640.09</v>
      </c>
      <c r="C11" s="14">
        <f>'Data Sheet'!C63</f>
        <v>25918.94</v>
      </c>
      <c r="D11" s="14">
        <f>'Data Sheet'!D63</f>
        <v>33698.839999999997</v>
      </c>
      <c r="E11" s="14">
        <f>'Data Sheet'!E63</f>
        <v>40033.5</v>
      </c>
      <c r="F11" s="14">
        <f>'Data Sheet'!F63</f>
        <v>31883.84</v>
      </c>
      <c r="G11" s="14">
        <f>'Data Sheet'!G63</f>
        <v>35622.29</v>
      </c>
      <c r="H11" s="14">
        <f>'Data Sheet'!H63</f>
        <v>20963.93</v>
      </c>
      <c r="I11" s="14">
        <f>'Data Sheet'!I63</f>
        <v>10251.09</v>
      </c>
      <c r="J11" s="14">
        <f>'Data Sheet'!J63</f>
        <v>14274.5</v>
      </c>
      <c r="K11" s="14">
        <f>'Data Sheet'!K63</f>
        <v>35698.43</v>
      </c>
    </row>
    <row r="12" spans="1:11" x14ac:dyDescent="0.3">
      <c r="A12" t="s">
        <v>29</v>
      </c>
      <c r="B12" s="14">
        <f>'Data Sheet'!B64</f>
        <v>15336.74</v>
      </c>
      <c r="C12" s="14">
        <f>'Data Sheet'!C64</f>
        <v>23767.02</v>
      </c>
      <c r="D12" s="14">
        <f>'Data Sheet'!D64</f>
        <v>20337.919999999998</v>
      </c>
      <c r="E12" s="14">
        <f>'Data Sheet'!E64</f>
        <v>20812.75</v>
      </c>
      <c r="F12" s="14">
        <f>'Data Sheet'!F64</f>
        <v>15770.72</v>
      </c>
      <c r="G12" s="14">
        <f>'Data Sheet'!G64</f>
        <v>16308.48</v>
      </c>
      <c r="H12" s="14">
        <f>'Data Sheet'!H64</f>
        <v>24620.28</v>
      </c>
      <c r="I12" s="14">
        <f>'Data Sheet'!I64</f>
        <v>29379.53</v>
      </c>
      <c r="J12" s="14">
        <f>'Data Sheet'!J64</f>
        <v>26379.16</v>
      </c>
      <c r="K12" s="14">
        <f>'Data Sheet'!K64</f>
        <v>22971.07</v>
      </c>
    </row>
    <row r="13" spans="1:11" x14ac:dyDescent="0.3">
      <c r="A13" t="s">
        <v>73</v>
      </c>
      <c r="B13" s="14">
        <f>'Data Sheet'!B65</f>
        <v>104858.47</v>
      </c>
      <c r="C13" s="14">
        <f>'Data Sheet'!C65</f>
        <v>106266.4</v>
      </c>
      <c r="D13" s="14">
        <f>'Data Sheet'!D65</f>
        <v>122599.52</v>
      </c>
      <c r="E13" s="14">
        <f>'Data Sheet'!E65</f>
        <v>144931.70000000001</v>
      </c>
      <c r="F13" s="14">
        <f>'Data Sheet'!F65</f>
        <v>146814.46</v>
      </c>
      <c r="G13" s="14">
        <f>'Data Sheet'!G65</f>
        <v>141141.48000000001</v>
      </c>
      <c r="H13" s="14">
        <f>'Data Sheet'!H65</f>
        <v>157278.09</v>
      </c>
      <c r="I13" s="14">
        <f>'Data Sheet'!I65</f>
        <v>150575.42000000001</v>
      </c>
      <c r="J13" s="14">
        <f>'Data Sheet'!J65</f>
        <v>161941.01</v>
      </c>
      <c r="K13" s="14">
        <f>'Data Sheet'!K65</f>
        <v>189565.65</v>
      </c>
    </row>
    <row r="14" spans="1:11" s="2" customFormat="1" x14ac:dyDescent="0.3">
      <c r="A14" s="2" t="s">
        <v>26</v>
      </c>
      <c r="B14" s="14">
        <f>'Data Sheet'!B66</f>
        <v>237314.79</v>
      </c>
      <c r="C14" s="14">
        <f>'Data Sheet'!C66</f>
        <v>263184.12</v>
      </c>
      <c r="D14" s="14">
        <f>'Data Sheet'!D66</f>
        <v>272580.36</v>
      </c>
      <c r="E14" s="14">
        <f>'Data Sheet'!E66</f>
        <v>327191.81</v>
      </c>
      <c r="F14" s="14">
        <f>'Data Sheet'!F66</f>
        <v>305703.49</v>
      </c>
      <c r="G14" s="14">
        <f>'Data Sheet'!G66</f>
        <v>320179.39</v>
      </c>
      <c r="H14" s="14">
        <f>'Data Sheet'!H66</f>
        <v>341569.91</v>
      </c>
      <c r="I14" s="14">
        <f>'Data Sheet'!I66</f>
        <v>329061.49</v>
      </c>
      <c r="J14" s="14">
        <f>'Data Sheet'!J66</f>
        <v>334674.43</v>
      </c>
      <c r="K14" s="14">
        <f>'Data Sheet'!K66</f>
        <v>369520.61</v>
      </c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t="s">
        <v>30</v>
      </c>
      <c r="B16" s="4">
        <f>B13-B7</f>
        <v>-2584.0099999999948</v>
      </c>
      <c r="C16" s="4">
        <f t="shared" ref="C16:K16" si="0">C13-C7</f>
        <v>-8605.3500000000058</v>
      </c>
      <c r="D16" s="4">
        <f t="shared" si="0"/>
        <v>-13314.969999999987</v>
      </c>
      <c r="E16" s="4">
        <f t="shared" si="0"/>
        <v>2118.2700000000186</v>
      </c>
      <c r="F16" s="4">
        <f t="shared" si="0"/>
        <v>7465.8699999999953</v>
      </c>
      <c r="G16" s="4">
        <f t="shared" si="0"/>
        <v>7960.7600000000093</v>
      </c>
      <c r="H16" s="4">
        <f t="shared" si="0"/>
        <v>13085.470000000001</v>
      </c>
      <c r="I16" s="4">
        <f t="shared" si="0"/>
        <v>12524.200000000012</v>
      </c>
      <c r="J16" s="4">
        <f t="shared" si="0"/>
        <v>6701.8099999999977</v>
      </c>
      <c r="K16" s="4">
        <f t="shared" si="0"/>
        <v>12225.559999999998</v>
      </c>
    </row>
    <row r="17" spans="1:11" x14ac:dyDescent="0.3">
      <c r="A17" t="s">
        <v>44</v>
      </c>
      <c r="B17" s="4">
        <f>'Data Sheet'!B67</f>
        <v>12579.2</v>
      </c>
      <c r="C17" s="4">
        <f>'Data Sheet'!C67</f>
        <v>13570.91</v>
      </c>
      <c r="D17" s="4">
        <f>'Data Sheet'!D67</f>
        <v>14075.55</v>
      </c>
      <c r="E17" s="4">
        <f>'Data Sheet'!E67</f>
        <v>19893.3</v>
      </c>
      <c r="F17" s="4">
        <f>'Data Sheet'!F67</f>
        <v>18996.169999999998</v>
      </c>
      <c r="G17" s="4">
        <f>'Data Sheet'!G67</f>
        <v>11172.69</v>
      </c>
      <c r="H17" s="4">
        <f>'Data Sheet'!H67</f>
        <v>12679.08</v>
      </c>
      <c r="I17" s="4">
        <f>'Data Sheet'!I67</f>
        <v>12442.12</v>
      </c>
      <c r="J17" s="4">
        <f>'Data Sheet'!J67</f>
        <v>15737.97</v>
      </c>
      <c r="K17" s="4">
        <f>'Data Sheet'!K67</f>
        <v>16951.810000000001</v>
      </c>
    </row>
    <row r="18" spans="1:11" x14ac:dyDescent="0.3">
      <c r="A18" t="s">
        <v>45</v>
      </c>
      <c r="B18" s="4">
        <f>'Data Sheet'!B68</f>
        <v>29272.34</v>
      </c>
      <c r="C18" s="4">
        <f>'Data Sheet'!C68</f>
        <v>32655.73</v>
      </c>
      <c r="D18" s="4">
        <f>'Data Sheet'!D68</f>
        <v>35085.31</v>
      </c>
      <c r="E18" s="4">
        <f>'Data Sheet'!E68</f>
        <v>42137.63</v>
      </c>
      <c r="F18" s="4">
        <f>'Data Sheet'!F68</f>
        <v>39013.730000000003</v>
      </c>
      <c r="G18" s="4">
        <f>'Data Sheet'!G68</f>
        <v>37456.879999999997</v>
      </c>
      <c r="H18" s="4">
        <f>'Data Sheet'!H68</f>
        <v>36088.589999999997</v>
      </c>
      <c r="I18" s="4">
        <f>'Data Sheet'!I68</f>
        <v>35240.339999999997</v>
      </c>
      <c r="J18" s="4">
        <f>'Data Sheet'!J68</f>
        <v>40755.39</v>
      </c>
      <c r="K18" s="4">
        <f>'Data Sheet'!K68</f>
        <v>47788.29</v>
      </c>
    </row>
    <row r="20" spans="1:11" x14ac:dyDescent="0.3">
      <c r="A20" t="s">
        <v>46</v>
      </c>
      <c r="B20" s="4">
        <f>IF('Profit &amp; Loss'!B4&gt;0,'Balance Sheet'!B17/('Profit &amp; Loss'!B4/365),0)</f>
        <v>17.447278447423685</v>
      </c>
      <c r="C20" s="4">
        <f>IF('Profit &amp; Loss'!C4&gt;0,'Balance Sheet'!C17/('Profit &amp; Loss'!C4/365),0)</f>
        <v>18.141226776772818</v>
      </c>
      <c r="D20" s="4">
        <f>IF('Profit &amp; Loss'!D4&gt;0,'Balance Sheet'!D17/('Profit &amp; Loss'!D4/365),0)</f>
        <v>19.049753180019717</v>
      </c>
      <c r="E20" s="4">
        <f>IF('Profit &amp; Loss'!E4&gt;0,'Balance Sheet'!E17/('Profit &amp; Loss'!E4/365),0)</f>
        <v>24.904964999543132</v>
      </c>
      <c r="F20" s="4">
        <f>IF('Profit &amp; Loss'!F4&gt;0,'Balance Sheet'!F17/('Profit &amp; Loss'!F4/365),0)</f>
        <v>22.963631157878556</v>
      </c>
      <c r="G20" s="4">
        <f>IF('Profit &amp; Loss'!G4&gt;0,'Balance Sheet'!G17/('Profit &amp; Loss'!G4/365),0)</f>
        <v>15.62057517051977</v>
      </c>
      <c r="H20" s="4">
        <f>IF('Profit &amp; Loss'!H4&gt;0,'Balance Sheet'!H17/('Profit &amp; Loss'!H4/365),0)</f>
        <v>18.526667193766084</v>
      </c>
      <c r="I20" s="4">
        <f>IF('Profit &amp; Loss'!I4&gt;0,'Balance Sheet'!I17/('Profit &amp; Loss'!I4/365),0)</f>
        <v>16.309264717046958</v>
      </c>
      <c r="J20" s="4">
        <f>IF('Profit &amp; Loss'!J4&gt;0,'Balance Sheet'!J17/('Profit &amp; Loss'!J4/365),0)</f>
        <v>16.603778823163381</v>
      </c>
      <c r="K20" s="4">
        <f>IF('Profit &amp; Loss'!K4&gt;0,'Balance Sheet'!K17/('Profit &amp; Loss'!K4/365),0)</f>
        <v>14.128838301348189</v>
      </c>
    </row>
    <row r="21" spans="1:11" x14ac:dyDescent="0.3">
      <c r="A21" t="s">
        <v>47</v>
      </c>
      <c r="B21" s="4">
        <f>IF('Balance Sheet'!B18&gt;0,'Profit &amp; Loss'!B4/'Balance Sheet'!B18,0)</f>
        <v>8.9900219797938927</v>
      </c>
      <c r="C21" s="4">
        <f>IF('Balance Sheet'!C18&gt;0,'Profit &amp; Loss'!C4/'Balance Sheet'!C18,0)</f>
        <v>8.3613381173839922</v>
      </c>
      <c r="D21" s="4">
        <f>IF('Balance Sheet'!D18&gt;0,'Profit &amp; Loss'!D4/'Balance Sheet'!D18,0)</f>
        <v>7.6867643466738649</v>
      </c>
      <c r="E21" s="4">
        <f>IF('Balance Sheet'!E18&gt;0,'Profit &amp; Loss'!E4/'Balance Sheet'!E18,0)</f>
        <v>6.9190051742350009</v>
      </c>
      <c r="F21" s="4">
        <f>IF('Balance Sheet'!F18&gt;0,'Profit &amp; Loss'!F4/'Balance Sheet'!F18,0)</f>
        <v>7.7392856309817084</v>
      </c>
      <c r="G21" s="4">
        <f>IF('Balance Sheet'!G18&gt;0,'Profit &amp; Loss'!G4/'Balance Sheet'!G18,0)</f>
        <v>6.9698269049637886</v>
      </c>
      <c r="H21" s="4">
        <f>IF('Balance Sheet'!H18&gt;0,'Profit &amp; Loss'!H4/'Balance Sheet'!H18,0)</f>
        <v>6.9217098811563442</v>
      </c>
      <c r="I21" s="4">
        <f>IF('Balance Sheet'!I18&gt;0,'Profit &amp; Loss'!I4/'Balance Sheet'!I18,0)</f>
        <v>7.9015588385356104</v>
      </c>
      <c r="J21" s="4">
        <f>IF('Balance Sheet'!J18&gt;0,'Profit &amp; Loss'!J4/'Balance Sheet'!J18,0)</f>
        <v>8.4888641723217457</v>
      </c>
      <c r="K21" s="4">
        <f>IF('Balance Sheet'!K18&gt;0,'Profit &amp; Loss'!K4/'Balance Sheet'!K18,0)</f>
        <v>9.1639137956181322</v>
      </c>
    </row>
    <row r="23" spans="1:11" s="2" customFormat="1" x14ac:dyDescent="0.3">
      <c r="A23" s="2" t="s">
        <v>59</v>
      </c>
      <c r="B23" s="10">
        <f>IF(SUM('Balance Sheet'!B4:B5)&gt;0,'Profit &amp; Loss'!B12/SUM('Balance Sheet'!B4:B5),"")</f>
        <v>0.24859247604774243</v>
      </c>
      <c r="C23" s="10">
        <f>IF(SUM('Balance Sheet'!C4:C5)&gt;0,'Profit &amp; Loss'!C12/SUM('Balance Sheet'!C4:C5),"")</f>
        <v>0.14666189417143824</v>
      </c>
      <c r="D23" s="10">
        <f>IF(SUM('Balance Sheet'!D4:D5)&gt;0,'Profit &amp; Loss'!D12/SUM('Balance Sheet'!D4:D5),"")</f>
        <v>0.1283864510783235</v>
      </c>
      <c r="E23" s="10">
        <f>IF(SUM('Balance Sheet'!E4:E5)&gt;0,'Profit &amp; Loss'!E12/SUM('Balance Sheet'!E4:E5),"")</f>
        <v>9.4195817554843228E-2</v>
      </c>
      <c r="F23" s="10">
        <f>IF(SUM('Balance Sheet'!F4:F5)&gt;0,'Profit &amp; Loss'!F12/SUM('Balance Sheet'!F4:F5),"")</f>
        <v>-0.47900366835516911</v>
      </c>
      <c r="G23" s="10">
        <f>IF(SUM('Balance Sheet'!G4:G5)&gt;0,'Profit &amp; Loss'!G12/SUM('Balance Sheet'!G4:G5),"")</f>
        <v>-0.19403070484446247</v>
      </c>
      <c r="H23" s="10">
        <f>IF(SUM('Balance Sheet'!H4:H5)&gt;0,'Profit &amp; Loss'!H12/SUM('Balance Sheet'!H4:H5),"")</f>
        <v>-0.24347852687001145</v>
      </c>
      <c r="I23" s="10">
        <f>IF(SUM('Balance Sheet'!I4:I5)&gt;0,'Profit &amp; Loss'!I12/SUM('Balance Sheet'!I4:I5),"")</f>
        <v>-0.25675833975894746</v>
      </c>
      <c r="J23" s="10">
        <f>IF(SUM('Balance Sheet'!J4:J5)&gt;0,'Profit &amp; Loss'!J12/SUM('Balance Sheet'!J4:J5),"")</f>
        <v>5.326996131441411E-2</v>
      </c>
      <c r="K23" s="10">
        <f>IF(SUM('Balance Sheet'!K4:K5)&gt;0,'Profit &amp; Loss'!K12/SUM('Balance Sheet'!K4:K5),"")</f>
        <v>0.36975767922992081</v>
      </c>
    </row>
    <row r="24" spans="1:11" s="2" customFormat="1" x14ac:dyDescent="0.3">
      <c r="A24" s="2" t="s">
        <v>60</v>
      </c>
      <c r="B24" s="10"/>
      <c r="C24" s="10">
        <f>IF((B4+B5+B6+C4+C5+C6)&gt;0,('Profit &amp; Loss'!C10+'Profit &amp; Loss'!C9)*2/(B4+B5+B6+C4+C5+C6),"")</f>
        <v>0.1367066655144345</v>
      </c>
      <c r="D24" s="10">
        <f>IF((C4+C5+C6+D4+D5+D6)&gt;0,('Profit &amp; Loss'!D10+'Profit &amp; Loss'!D9)*2/(C4+C5+C6+D4+D5+D6),"")</f>
        <v>9.5114630506525702E-2</v>
      </c>
      <c r="E24" s="10">
        <f>IF((D4+D5+D6+E4+E5+E6)&gt;0,('Profit &amp; Loss'!E10+'Profit &amp; Loss'!E9)*2/(D4+D5+D6+E4+E5+E6),"")</f>
        <v>9.8658175625322669E-2</v>
      </c>
      <c r="F24" s="10">
        <f>IF((E4+E5+E6+F4+F5+F6)&gt;0,('Profit &amp; Loss'!F10+'Profit &amp; Loss'!F9)*2/(E4+E5+E6+F4+F5+F6),"")</f>
        <v>-0.14605143828951733</v>
      </c>
      <c r="G24" s="10">
        <f>IF((F4+F5+F6+G4+G5+G6)&gt;0,('Profit &amp; Loss'!G10+'Profit &amp; Loss'!G9)*2/(F4+F5+F6+G4+G5+G6),"")</f>
        <v>-1.888561646624937E-2</v>
      </c>
      <c r="H24" s="10">
        <f>IF((G4+G5+G6+H4+H5+H6)&gt;0,('Profit &amp; Loss'!H10+'Profit &amp; Loss'!H9)*2/(G4+G5+G6+H4+H5+H6),"")</f>
        <v>-1.2368671547513017E-2</v>
      </c>
      <c r="I24" s="10">
        <f>IF((H4+H5+H6+I4+I5+I6)&gt;0,('Profit &amp; Loss'!I10+'Profit &amp; Loss'!I9)*2/(H4+H5+H6+I4+I5+I6),"")</f>
        <v>1.1887352931695343E-2</v>
      </c>
      <c r="J24" s="10">
        <f>IF((I4+I5+I6+J4+J5+J6)&gt;0,('Profit &amp; Loss'!J10+'Profit &amp; Loss'!J9)*2/(I4+I5+I6+J4+J5+J6),"")</f>
        <v>7.3529898460097373E-2</v>
      </c>
      <c r="K24" s="10">
        <f>IF((J4+J5+J6+K4+K5+K6)&gt;0,('Profit &amp; Loss'!K10+'Profit &amp; Loss'!K9)*2/(J4+J5+J6+K4+K5+K6),"")</f>
        <v>0.20419409026662622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8"/>
  <sheetViews>
    <sheetView zoomScale="120" zoomScaleNormal="12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6.77734375" bestFit="1" customWidth="1"/>
    <col min="2" max="6" width="13.44140625" customWidth="1"/>
    <col min="7" max="11" width="13.44140625" bestFit="1" customWidth="1"/>
  </cols>
  <sheetData>
    <row r="1" spans="1:11" s="2" customFormat="1" x14ac:dyDescent="0.3">
      <c r="A1" s="2" t="str">
        <f>'Balance Sheet'!A1</f>
        <v>TATA MOTORS LTD</v>
      </c>
      <c r="E1" t="str">
        <f>UPDATE</f>
        <v/>
      </c>
      <c r="F1"/>
      <c r="J1" s="2" t="s">
        <v>1</v>
      </c>
    </row>
    <row r="3" spans="1:11" s="2" customFormat="1" x14ac:dyDescent="0.3">
      <c r="A3" s="11" t="s">
        <v>2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3">
      <c r="A4" s="2" t="s">
        <v>32</v>
      </c>
      <c r="B4" s="1">
        <f>'Data Sheet'!B82</f>
        <v>35531.26</v>
      </c>
      <c r="C4" s="1">
        <f>'Data Sheet'!C82</f>
        <v>37899.54</v>
      </c>
      <c r="D4" s="1">
        <f>'Data Sheet'!D82</f>
        <v>30199.25</v>
      </c>
      <c r="E4" s="1">
        <f>'Data Sheet'!E82</f>
        <v>23857.42</v>
      </c>
      <c r="F4" s="1">
        <f>'Data Sheet'!F82</f>
        <v>18890.75</v>
      </c>
      <c r="G4" s="1">
        <f>'Data Sheet'!G82</f>
        <v>26632.94</v>
      </c>
      <c r="H4" s="1">
        <f>'Data Sheet'!H82</f>
        <v>29000.51</v>
      </c>
      <c r="I4" s="1">
        <f>'Data Sheet'!I82</f>
        <v>14282.83</v>
      </c>
      <c r="J4" s="1">
        <f>'Data Sheet'!J82</f>
        <v>35388.01</v>
      </c>
      <c r="K4" s="1">
        <f>'Data Sheet'!K82</f>
        <v>67915.360000000001</v>
      </c>
    </row>
    <row r="5" spans="1:11" x14ac:dyDescent="0.3">
      <c r="A5" t="s">
        <v>33</v>
      </c>
      <c r="B5" s="6">
        <f>'Data Sheet'!B83</f>
        <v>-36232.35</v>
      </c>
      <c r="C5" s="6">
        <f>'Data Sheet'!C83</f>
        <v>-36693.9</v>
      </c>
      <c r="D5" s="6">
        <f>'Data Sheet'!D83</f>
        <v>-39571.4</v>
      </c>
      <c r="E5" s="6">
        <f>'Data Sheet'!E83</f>
        <v>-25139.14</v>
      </c>
      <c r="F5" s="6">
        <f>'Data Sheet'!F83</f>
        <v>-20878.07</v>
      </c>
      <c r="G5" s="6">
        <f>'Data Sheet'!G83</f>
        <v>-33114.550000000003</v>
      </c>
      <c r="H5" s="6">
        <f>'Data Sheet'!H83</f>
        <v>-25672.5</v>
      </c>
      <c r="I5" s="6">
        <f>'Data Sheet'!I83</f>
        <v>-4443.66</v>
      </c>
      <c r="J5" s="6">
        <f>'Data Sheet'!J83</f>
        <v>-15417.17</v>
      </c>
      <c r="K5" s="6">
        <f>'Data Sheet'!K83</f>
        <v>-22781.56</v>
      </c>
    </row>
    <row r="6" spans="1:11" x14ac:dyDescent="0.3">
      <c r="A6" t="s">
        <v>34</v>
      </c>
      <c r="B6" s="6">
        <f>'Data Sheet'!B84</f>
        <v>5201.4399999999996</v>
      </c>
      <c r="C6" s="6">
        <f>'Data Sheet'!C84</f>
        <v>-3795.12</v>
      </c>
      <c r="D6" s="6">
        <f>'Data Sheet'!D84</f>
        <v>6205.3</v>
      </c>
      <c r="E6" s="6">
        <f>'Data Sheet'!E84</f>
        <v>2011.71</v>
      </c>
      <c r="F6" s="6">
        <f>'Data Sheet'!F84</f>
        <v>8830.3700000000008</v>
      </c>
      <c r="G6" s="6">
        <f>'Data Sheet'!G84</f>
        <v>3389.61</v>
      </c>
      <c r="H6" s="6">
        <f>'Data Sheet'!H84</f>
        <v>9904.2000000000007</v>
      </c>
      <c r="I6" s="6">
        <f>'Data Sheet'!I84</f>
        <v>-3380.17</v>
      </c>
      <c r="J6" s="6">
        <f>'Data Sheet'!J84</f>
        <v>-26242.9</v>
      </c>
      <c r="K6" s="6">
        <f>'Data Sheet'!K84</f>
        <v>-37005.99</v>
      </c>
    </row>
    <row r="7" spans="1:11" s="2" customFormat="1" x14ac:dyDescent="0.3">
      <c r="A7" s="2" t="s">
        <v>35</v>
      </c>
      <c r="B7" s="1">
        <f>'Data Sheet'!B85</f>
        <v>4500.3500000000004</v>
      </c>
      <c r="C7" s="1">
        <f>'Data Sheet'!C85</f>
        <v>-2589.48</v>
      </c>
      <c r="D7" s="1">
        <f>'Data Sheet'!D85</f>
        <v>-3166.85</v>
      </c>
      <c r="E7" s="1">
        <f>'Data Sheet'!E85</f>
        <v>729.99</v>
      </c>
      <c r="F7" s="1">
        <f>'Data Sheet'!F85</f>
        <v>6843.05</v>
      </c>
      <c r="G7" s="1">
        <f>'Data Sheet'!G85</f>
        <v>-3092</v>
      </c>
      <c r="H7" s="1">
        <f>'Data Sheet'!H85</f>
        <v>13232.21</v>
      </c>
      <c r="I7" s="1">
        <f>'Data Sheet'!I85</f>
        <v>6459</v>
      </c>
      <c r="J7" s="1">
        <f>'Data Sheet'!J85</f>
        <v>-6272.06</v>
      </c>
      <c r="K7" s="1">
        <f>'Data Sheet'!K85</f>
        <v>8127.81</v>
      </c>
    </row>
    <row r="8" spans="1:11" x14ac:dyDescent="0.3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30" zoomScaleNormal="130" zoomScalePageLayoutView="150" workbookViewId="0">
      <selection activeCell="B16" sqref="B16"/>
    </sheetView>
  </sheetViews>
  <sheetFormatPr defaultColWidth="8.77734375" defaultRowHeight="14.4" x14ac:dyDescent="0.3"/>
  <cols>
    <col min="1" max="1" width="8.77734375" style="2"/>
    <col min="2" max="2" width="10.44140625" customWidth="1"/>
    <col min="3" max="3" width="13.33203125" style="20" customWidth="1"/>
    <col min="6" max="6" width="6.77734375" customWidth="1"/>
  </cols>
  <sheetData>
    <row r="1" spans="1:7" ht="21" x14ac:dyDescent="0.4">
      <c r="A1" s="19" t="s">
        <v>56</v>
      </c>
    </row>
    <row r="3" spans="1:7" x14ac:dyDescent="0.3">
      <c r="A3" s="2" t="s">
        <v>48</v>
      </c>
    </row>
    <row r="4" spans="1:7" x14ac:dyDescent="0.3">
      <c r="B4" t="s">
        <v>90</v>
      </c>
    </row>
    <row r="5" spans="1:7" x14ac:dyDescent="0.3">
      <c r="B5" t="s">
        <v>49</v>
      </c>
    </row>
    <row r="7" spans="1:7" x14ac:dyDescent="0.3">
      <c r="A7" s="2" t="s">
        <v>50</v>
      </c>
    </row>
    <row r="8" spans="1:7" x14ac:dyDescent="0.3">
      <c r="B8" t="s">
        <v>51</v>
      </c>
      <c r="C8" s="21" t="s">
        <v>91</v>
      </c>
    </row>
    <row r="10" spans="1:7" x14ac:dyDescent="0.3">
      <c r="A10" s="2" t="s">
        <v>52</v>
      </c>
    </row>
    <row r="11" spans="1:7" x14ac:dyDescent="0.3">
      <c r="B11" t="s">
        <v>53</v>
      </c>
    </row>
    <row r="14" spans="1:7" x14ac:dyDescent="0.3">
      <c r="A14" s="2" t="s">
        <v>54</v>
      </c>
    </row>
    <row r="15" spans="1:7" x14ac:dyDescent="0.3">
      <c r="B15" t="s">
        <v>55</v>
      </c>
    </row>
    <row r="16" spans="1:7" x14ac:dyDescent="0.3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4450-E577-4CC2-8A94-07A204C7183C}">
  <sheetPr>
    <tabColor theme="4" tint="0.59999389629810485"/>
  </sheetPr>
  <dimension ref="A2:M105"/>
  <sheetViews>
    <sheetView showGridLines="0" workbookViewId="0">
      <pane ySplit="3" topLeftCell="A103" activePane="bottomLeft" state="frozen"/>
      <selection pane="bottomLeft" activeCell="N98" sqref="N98"/>
    </sheetView>
  </sheetViews>
  <sheetFormatPr defaultRowHeight="14.4" outlineLevelRow="2" x14ac:dyDescent="0.3"/>
  <cols>
    <col min="1" max="1" width="1.88671875" customWidth="1"/>
    <col min="2" max="2" width="26.5546875" bestFit="1" customWidth="1"/>
    <col min="3" max="7" width="12" bestFit="1" customWidth="1"/>
    <col min="8" max="8" width="12.21875" bestFit="1" customWidth="1"/>
    <col min="9" max="9" width="12" bestFit="1" customWidth="1"/>
    <col min="10" max="11" width="12.21875" bestFit="1" customWidth="1"/>
    <col min="12" max="13" width="12" bestFit="1" customWidth="1"/>
  </cols>
  <sheetData>
    <row r="2" spans="1:13" x14ac:dyDescent="0.3">
      <c r="B2" s="193" t="str">
        <f>"Historical Financial Statement -"&amp;'Data Sheet'!B1</f>
        <v>Historical Financial Statement -TATA MOTORS LTD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</row>
    <row r="3" spans="1:13" x14ac:dyDescent="0.3">
      <c r="B3" s="26" t="s">
        <v>93</v>
      </c>
      <c r="C3" s="27">
        <f>'Data Sheet'!B16</f>
        <v>42094</v>
      </c>
      <c r="D3" s="27">
        <f>'Data Sheet'!C16</f>
        <v>42460</v>
      </c>
      <c r="E3" s="27">
        <f>'Data Sheet'!D16</f>
        <v>42825</v>
      </c>
      <c r="F3" s="27">
        <f>'Data Sheet'!E16</f>
        <v>43190</v>
      </c>
      <c r="G3" s="27">
        <f>'Data Sheet'!F16</f>
        <v>43555</v>
      </c>
      <c r="H3" s="27">
        <f>'Data Sheet'!G16</f>
        <v>43921</v>
      </c>
      <c r="I3" s="27">
        <f>'Data Sheet'!H16</f>
        <v>44286</v>
      </c>
      <c r="J3" s="27">
        <f>'Data Sheet'!I16</f>
        <v>44651</v>
      </c>
      <c r="K3" s="27">
        <f>'Data Sheet'!J16</f>
        <v>45016</v>
      </c>
      <c r="L3" s="27">
        <f>'Data Sheet'!K16</f>
        <v>45382</v>
      </c>
      <c r="M3" s="28" t="s">
        <v>94</v>
      </c>
    </row>
    <row r="5" spans="1:13" x14ac:dyDescent="0.3">
      <c r="A5" t="s">
        <v>97</v>
      </c>
      <c r="B5" s="36" t="s">
        <v>95</v>
      </c>
      <c r="C5" s="37"/>
      <c r="D5" s="37"/>
      <c r="E5" s="37"/>
      <c r="F5" s="37"/>
      <c r="G5" s="37"/>
      <c r="H5" s="37"/>
      <c r="I5" s="37"/>
      <c r="J5" s="37"/>
      <c r="K5" s="37"/>
      <c r="L5" s="36"/>
      <c r="M5" s="37"/>
    </row>
    <row r="6" spans="1:13" outlineLevel="1" x14ac:dyDescent="0.3">
      <c r="B6" t="s">
        <v>6</v>
      </c>
      <c r="C6" s="30">
        <f>IFERROR('Data Sheet'!B17,0)</f>
        <v>263158.98</v>
      </c>
      <c r="D6" s="30">
        <f>IFERROR('Data Sheet'!C17,0)</f>
        <v>273045.59999999998</v>
      </c>
      <c r="E6" s="30">
        <f>IFERROR('Data Sheet'!D17,0)</f>
        <v>269692.51</v>
      </c>
      <c r="F6" s="30">
        <f>IFERROR('Data Sheet'!E17,0)</f>
        <v>291550.48</v>
      </c>
      <c r="G6" s="30">
        <f>IFERROR('Data Sheet'!F17,0)</f>
        <v>301938.40000000002</v>
      </c>
      <c r="H6" s="30">
        <f>IFERROR('Data Sheet'!G17,0)</f>
        <v>261067.97</v>
      </c>
      <c r="I6" s="30">
        <f>IFERROR('Data Sheet'!H17,0)</f>
        <v>249794.75</v>
      </c>
      <c r="J6" s="30">
        <f>IFERROR('Data Sheet'!I17,0)</f>
        <v>278453.62</v>
      </c>
      <c r="K6" s="30">
        <f>IFERROR('Data Sheet'!J17,0)</f>
        <v>345966.97</v>
      </c>
      <c r="L6" s="30">
        <f>IFERROR('Data Sheet'!K17,0)</f>
        <v>437927.77</v>
      </c>
      <c r="M6" s="30">
        <f>IFERROR(SUM('Data Sheet'!H42:K42),0)</f>
        <v>437927.77</v>
      </c>
    </row>
    <row r="7" spans="1:13" outlineLevel="1" x14ac:dyDescent="0.3">
      <c r="B7" s="31" t="s">
        <v>22</v>
      </c>
      <c r="C7" s="32" t="s">
        <v>96</v>
      </c>
      <c r="D7" s="33">
        <f>D6/C6-1</f>
        <v>3.75690010654397E-2</v>
      </c>
      <c r="E7" s="33">
        <f t="shared" ref="E7:M7" si="0">E6/D6-1</f>
        <v>-1.2280329732469508E-2</v>
      </c>
      <c r="F7" s="33">
        <f t="shared" si="0"/>
        <v>8.104774581985974E-2</v>
      </c>
      <c r="G7" s="33">
        <f t="shared" si="0"/>
        <v>3.5629919045237157E-2</v>
      </c>
      <c r="H7" s="33">
        <f t="shared" si="0"/>
        <v>-0.135360159555724</v>
      </c>
      <c r="I7" s="33">
        <f t="shared" si="0"/>
        <v>-4.3181168490336042E-2</v>
      </c>
      <c r="J7" s="33">
        <f t="shared" si="0"/>
        <v>0.11472967306158344</v>
      </c>
      <c r="K7" s="33">
        <f t="shared" si="0"/>
        <v>0.24245815155859707</v>
      </c>
      <c r="L7" s="33">
        <f t="shared" si="0"/>
        <v>0.26580803363974326</v>
      </c>
      <c r="M7" s="33">
        <f t="shared" si="0"/>
        <v>0</v>
      </c>
    </row>
    <row r="8" spans="1:13" outlineLevel="1" x14ac:dyDescent="0.3"/>
    <row r="9" spans="1:13" outlineLevel="1" x14ac:dyDescent="0.3">
      <c r="B9" t="s">
        <v>98</v>
      </c>
      <c r="C9" s="30">
        <f>IFERROR(SUM('Data Sheet'!B18,'Data Sheet'!B20:B22)-1*'Data Sheet'!B19,0)</f>
        <v>202856.88</v>
      </c>
      <c r="D9" s="30">
        <f>IFERROR(SUM('Data Sheet'!C18,'Data Sheet'!C20:C22)-1*'Data Sheet'!C19,0)</f>
        <v>205509.07</v>
      </c>
      <c r="E9" s="30">
        <f>IFERROR(SUM('Data Sheet'!D18,'Data Sheet'!D20:D22)-1*'Data Sheet'!D19,0)</f>
        <v>205454.23999999996</v>
      </c>
      <c r="F9" s="30">
        <f>IFERROR(SUM('Data Sheet'!E18,'Data Sheet'!E20:E22)-1*'Data Sheet'!E19,0)</f>
        <v>228429.83</v>
      </c>
      <c r="G9" s="30">
        <f>IFERROR(SUM('Data Sheet'!F18,'Data Sheet'!F20:F22)-1*'Data Sheet'!F19,0)</f>
        <v>242845.53</v>
      </c>
      <c r="H9" s="30">
        <f>IFERROR(SUM('Data Sheet'!G18,'Data Sheet'!G20:G22)-1*'Data Sheet'!G19,0)</f>
        <v>210376.07000000004</v>
      </c>
      <c r="I9" s="30">
        <f>IFERROR(SUM('Data Sheet'!H18,'Data Sheet'!H20:H22)-1*'Data Sheet'!H19,0)</f>
        <v>195326.04</v>
      </c>
      <c r="J9" s="30">
        <f>IFERROR(SUM('Data Sheet'!I18,'Data Sheet'!I20:I22)-1*'Data Sheet'!I19,0)</f>
        <v>223300.00999999998</v>
      </c>
      <c r="K9" s="30">
        <f>IFERROR(SUM('Data Sheet'!J18,'Data Sheet'!J20:J22)-1*'Data Sheet'!J19,0)</f>
        <v>274403.64</v>
      </c>
      <c r="L9" s="30">
        <f>IFERROR(SUM('Data Sheet'!K18,'Data Sheet'!K20:K22)-1*'Data Sheet'!K19,0)</f>
        <v>334551.78999999998</v>
      </c>
      <c r="M9" s="30">
        <f>IFERROR(SUM('Data Sheet'!H43:K43),0)</f>
        <v>378389.43</v>
      </c>
    </row>
    <row r="10" spans="1:13" outlineLevel="1" x14ac:dyDescent="0.3">
      <c r="B10" s="31" t="s">
        <v>99</v>
      </c>
      <c r="C10" s="34">
        <f>C9/C6</f>
        <v>0.77085296500237244</v>
      </c>
      <c r="D10" s="34">
        <f t="shared" ref="D10:M10" si="1">D9/D6</f>
        <v>0.75265475803309057</v>
      </c>
      <c r="E10" s="34">
        <f t="shared" si="1"/>
        <v>0.76180921746770036</v>
      </c>
      <c r="F10" s="34">
        <f t="shared" si="1"/>
        <v>0.78350009919380004</v>
      </c>
      <c r="G10" s="34">
        <f t="shared" si="1"/>
        <v>0.80428832503583503</v>
      </c>
      <c r="H10" s="34">
        <f t="shared" si="1"/>
        <v>0.80582872728508226</v>
      </c>
      <c r="I10" s="34">
        <f t="shared" si="1"/>
        <v>0.7819461377791167</v>
      </c>
      <c r="J10" s="34">
        <f t="shared" si="1"/>
        <v>0.80192891728252624</v>
      </c>
      <c r="K10" s="34">
        <f t="shared" si="1"/>
        <v>0.79314982005363122</v>
      </c>
      <c r="L10" s="34">
        <f t="shared" si="1"/>
        <v>0.76394285295038489</v>
      </c>
      <c r="M10" s="34">
        <f t="shared" si="1"/>
        <v>0.86404529678490127</v>
      </c>
    </row>
    <row r="11" spans="1:13" outlineLevel="1" x14ac:dyDescent="0.3"/>
    <row r="12" spans="1:13" outlineLevel="1" x14ac:dyDescent="0.3">
      <c r="B12" s="41" t="s">
        <v>100</v>
      </c>
      <c r="C12" s="41">
        <f>C6-C9</f>
        <v>60302.099999999977</v>
      </c>
      <c r="D12" s="41">
        <f t="shared" ref="D12:M12" si="2">D6-D9</f>
        <v>67536.52999999997</v>
      </c>
      <c r="E12" s="41">
        <f t="shared" si="2"/>
        <v>64238.270000000048</v>
      </c>
      <c r="F12" s="41">
        <f t="shared" si="2"/>
        <v>63120.649999999994</v>
      </c>
      <c r="G12" s="41">
        <f t="shared" si="2"/>
        <v>59092.870000000024</v>
      </c>
      <c r="H12" s="41">
        <f t="shared" si="2"/>
        <v>50691.899999999965</v>
      </c>
      <c r="I12" s="41">
        <f t="shared" si="2"/>
        <v>54468.709999999992</v>
      </c>
      <c r="J12" s="41">
        <f t="shared" si="2"/>
        <v>55153.610000000015</v>
      </c>
      <c r="K12" s="41">
        <f t="shared" si="2"/>
        <v>71563.329999999958</v>
      </c>
      <c r="L12" s="41">
        <f t="shared" si="2"/>
        <v>103375.98000000004</v>
      </c>
      <c r="M12" s="41">
        <f t="shared" si="2"/>
        <v>59538.340000000026</v>
      </c>
    </row>
    <row r="13" spans="1:13" outlineLevel="1" x14ac:dyDescent="0.3">
      <c r="B13" s="31" t="s">
        <v>107</v>
      </c>
      <c r="C13" s="34">
        <f>C12/C6</f>
        <v>0.22914703499762759</v>
      </c>
      <c r="D13" s="34">
        <f t="shared" ref="D13:M13" si="3">D12/D6</f>
        <v>0.24734524196690946</v>
      </c>
      <c r="E13" s="34">
        <f t="shared" si="3"/>
        <v>0.23819078253229964</v>
      </c>
      <c r="F13" s="34">
        <f t="shared" si="3"/>
        <v>0.21649990080619999</v>
      </c>
      <c r="G13" s="34">
        <f t="shared" si="3"/>
        <v>0.19571167496416494</v>
      </c>
      <c r="H13" s="34">
        <f t="shared" si="3"/>
        <v>0.19417127271491774</v>
      </c>
      <c r="I13" s="34">
        <f t="shared" si="3"/>
        <v>0.2180538622208833</v>
      </c>
      <c r="J13" s="34">
        <f t="shared" si="3"/>
        <v>0.19807108271747378</v>
      </c>
      <c r="K13" s="34">
        <f t="shared" si="3"/>
        <v>0.20685017994636876</v>
      </c>
      <c r="L13" s="34">
        <f t="shared" si="3"/>
        <v>0.23605714704961514</v>
      </c>
      <c r="M13" s="34">
        <f t="shared" si="3"/>
        <v>0.13595470321509875</v>
      </c>
    </row>
    <row r="14" spans="1:13" outlineLevel="1" x14ac:dyDescent="0.3"/>
    <row r="15" spans="1:13" outlineLevel="1" x14ac:dyDescent="0.3">
      <c r="B15" t="s">
        <v>101</v>
      </c>
      <c r="C15" s="35">
        <f>IFERROR(SUM('Data Sheet'!B23:B24),0)</f>
        <v>21063.449999999997</v>
      </c>
      <c r="D15" s="35">
        <f>IFERROR(SUM('Data Sheet'!C23:C24),0)</f>
        <v>29141.280000000002</v>
      </c>
      <c r="E15" s="35">
        <f>IFERROR(SUM('Data Sheet'!D23:D24),0)</f>
        <v>34649.58</v>
      </c>
      <c r="F15" s="35">
        <f>IFERROR(SUM('Data Sheet'!E23:E24),0)</f>
        <v>31662.97</v>
      </c>
      <c r="G15" s="35">
        <f>IFERROR(SUM('Data Sheet'!F23:F24),0)</f>
        <v>34428.54</v>
      </c>
      <c r="H15" s="35">
        <f>IFERROR(SUM('Data Sheet'!G23:G24),0)</f>
        <v>32704.83</v>
      </c>
      <c r="I15" s="35">
        <f>IFERROR(SUM('Data Sheet'!H23:H24),0)</f>
        <v>22181.280000000002</v>
      </c>
      <c r="J15" s="35">
        <f>IFERROR(SUM('Data Sheet'!I23:I24),0)</f>
        <v>30433.52</v>
      </c>
      <c r="K15" s="35">
        <f>IFERROR(SUM('Data Sheet'!J23:J24),0)</f>
        <v>39747.53</v>
      </c>
      <c r="L15" s="35">
        <f>IFERROR(SUM('Data Sheet'!K23:K24),0)</f>
        <v>43837.64</v>
      </c>
    </row>
    <row r="16" spans="1:13" outlineLevel="1" x14ac:dyDescent="0.3">
      <c r="B16" s="31" t="s">
        <v>102</v>
      </c>
      <c r="C16" s="34">
        <f>C15/C6</f>
        <v>8.0040779911823637E-2</v>
      </c>
      <c r="D16" s="34">
        <f t="shared" ref="D16:M16" si="4">D15/D6</f>
        <v>0.10672678849247161</v>
      </c>
      <c r="E16" s="34">
        <f t="shared" si="4"/>
        <v>0.12847809529452636</v>
      </c>
      <c r="F16" s="34">
        <f t="shared" si="4"/>
        <v>0.10860201636437025</v>
      </c>
      <c r="G16" s="34">
        <f t="shared" si="4"/>
        <v>0.11402504616835751</v>
      </c>
      <c r="H16" s="34">
        <f t="shared" si="4"/>
        <v>0.12527323822987554</v>
      </c>
      <c r="I16" s="34">
        <f t="shared" si="4"/>
        <v>8.8798023177028354E-2</v>
      </c>
      <c r="J16" s="34">
        <f t="shared" si="4"/>
        <v>0.10929475436519734</v>
      </c>
      <c r="K16" s="34">
        <f t="shared" si="4"/>
        <v>0.11488822184383672</v>
      </c>
      <c r="L16" s="34">
        <f t="shared" si="4"/>
        <v>0.10010244383451636</v>
      </c>
      <c r="M16" s="34">
        <f t="shared" si="4"/>
        <v>0</v>
      </c>
    </row>
    <row r="17" spans="2:13" outlineLevel="1" x14ac:dyDescent="0.3"/>
    <row r="18" spans="2:13" outlineLevel="1" x14ac:dyDescent="0.3">
      <c r="B18" s="41" t="s">
        <v>191</v>
      </c>
      <c r="C18" s="42">
        <f t="shared" ref="C18:L18" si="5">C12-C15</f>
        <v>39238.64999999998</v>
      </c>
      <c r="D18" s="42">
        <f t="shared" si="5"/>
        <v>38395.249999999971</v>
      </c>
      <c r="E18" s="42">
        <f t="shared" si="5"/>
        <v>29588.690000000046</v>
      </c>
      <c r="F18" s="42">
        <f t="shared" si="5"/>
        <v>31457.679999999993</v>
      </c>
      <c r="G18" s="42">
        <f t="shared" si="5"/>
        <v>24664.330000000024</v>
      </c>
      <c r="H18" s="42">
        <f t="shared" si="5"/>
        <v>17987.069999999963</v>
      </c>
      <c r="I18" s="42">
        <f t="shared" si="5"/>
        <v>32287.429999999989</v>
      </c>
      <c r="J18" s="42">
        <f t="shared" si="5"/>
        <v>24720.090000000015</v>
      </c>
      <c r="K18" s="42">
        <f t="shared" si="5"/>
        <v>31815.799999999959</v>
      </c>
      <c r="L18" s="42">
        <f t="shared" si="5"/>
        <v>59538.34000000004</v>
      </c>
      <c r="M18" s="42">
        <f>IFERROR(SUM('Data Sheet'!H42:K42,'Data Sheet'!H44:K44)-'Data Sheet'!H43:K43,0)</f>
        <v>0</v>
      </c>
    </row>
    <row r="19" spans="2:13" outlineLevel="1" x14ac:dyDescent="0.3">
      <c r="B19" s="31" t="s">
        <v>192</v>
      </c>
      <c r="C19" s="34">
        <f>C18/C6</f>
        <v>0.14910625508580397</v>
      </c>
      <c r="D19" s="34">
        <f t="shared" ref="D19:M19" si="6">D18/D6</f>
        <v>0.14061845347443788</v>
      </c>
      <c r="E19" s="34">
        <f t="shared" si="6"/>
        <v>0.10971268723777329</v>
      </c>
      <c r="F19" s="34">
        <f t="shared" si="6"/>
        <v>0.10789788444182975</v>
      </c>
      <c r="G19" s="34">
        <f t="shared" si="6"/>
        <v>8.1686628795807431E-2</v>
      </c>
      <c r="H19" s="34">
        <f t="shared" si="6"/>
        <v>6.8898034485042198E-2</v>
      </c>
      <c r="I19" s="34">
        <f t="shared" si="6"/>
        <v>0.12925583904385496</v>
      </c>
      <c r="J19" s="34">
        <f t="shared" si="6"/>
        <v>8.877632835227646E-2</v>
      </c>
      <c r="K19" s="34">
        <f t="shared" si="6"/>
        <v>9.1961958102532049E-2</v>
      </c>
      <c r="L19" s="34">
        <f t="shared" si="6"/>
        <v>0.13595470321509878</v>
      </c>
      <c r="M19" s="34">
        <f t="shared" si="6"/>
        <v>0</v>
      </c>
    </row>
    <row r="20" spans="2:13" outlineLevel="1" x14ac:dyDescent="0.3"/>
    <row r="21" spans="2:13" outlineLevel="1" x14ac:dyDescent="0.3">
      <c r="B21" t="s">
        <v>103</v>
      </c>
      <c r="C21" s="35">
        <f>IFERROR(SUM('Data Sheet'!B27),0)</f>
        <v>4861.49</v>
      </c>
      <c r="D21" s="35">
        <f>IFERROR(SUM('Data Sheet'!C27),0)</f>
        <v>4889.08</v>
      </c>
      <c r="E21" s="35">
        <f>IFERROR(SUM('Data Sheet'!D27),0)</f>
        <v>4238.01</v>
      </c>
      <c r="F21" s="35">
        <f>IFERROR(SUM('Data Sheet'!E27),0)</f>
        <v>4681.79</v>
      </c>
      <c r="G21" s="35">
        <f>IFERROR(SUM('Data Sheet'!F27),0)</f>
        <v>5758.6</v>
      </c>
      <c r="H21" s="35">
        <f>IFERROR(SUM('Data Sheet'!G27),0)</f>
        <v>7243.33</v>
      </c>
      <c r="I21" s="35">
        <f>IFERROR(SUM('Data Sheet'!H27),0)</f>
        <v>8097.17</v>
      </c>
      <c r="J21" s="35">
        <f>IFERROR(SUM('Data Sheet'!I27),0)</f>
        <v>9311.86</v>
      </c>
      <c r="K21" s="35">
        <f>IFERROR(SUM('Data Sheet'!J27),0)</f>
        <v>10225.48</v>
      </c>
      <c r="L21" s="35">
        <f>IFERROR(SUM('Data Sheet'!K27),0)</f>
        <v>9985.76</v>
      </c>
      <c r="M21" s="35">
        <f>IFERROR(SUM('Data Sheet'!H46:K46),0)</f>
        <v>9985.76</v>
      </c>
    </row>
    <row r="22" spans="2:13" outlineLevel="1" x14ac:dyDescent="0.3">
      <c r="B22" s="31" t="s">
        <v>104</v>
      </c>
      <c r="C22" s="34">
        <f>C21/C6</f>
        <v>1.8473585814932098E-2</v>
      </c>
      <c r="D22" s="34">
        <f t="shared" ref="D22:M22" si="7">D21/D6</f>
        <v>1.7905727101993223E-2</v>
      </c>
      <c r="E22" s="34">
        <f t="shared" si="7"/>
        <v>1.5714229512714312E-2</v>
      </c>
      <c r="F22" s="34">
        <f t="shared" si="7"/>
        <v>1.605824830060304E-2</v>
      </c>
      <c r="G22" s="34">
        <f t="shared" si="7"/>
        <v>1.9072102124141878E-2</v>
      </c>
      <c r="H22" s="34">
        <f t="shared" si="7"/>
        <v>2.7744996829752802E-2</v>
      </c>
      <c r="I22" s="34">
        <f t="shared" si="7"/>
        <v>3.2415292955516477E-2</v>
      </c>
      <c r="J22" s="34">
        <f t="shared" si="7"/>
        <v>3.3441332168710897E-2</v>
      </c>
      <c r="K22" s="34">
        <f t="shared" si="7"/>
        <v>2.9556231914277829E-2</v>
      </c>
      <c r="L22" s="34">
        <f t="shared" si="7"/>
        <v>2.2802299109736749E-2</v>
      </c>
      <c r="M22" s="34">
        <f t="shared" si="7"/>
        <v>2.2802299109736749E-2</v>
      </c>
    </row>
    <row r="23" spans="2:13" outlineLevel="1" x14ac:dyDescent="0.3"/>
    <row r="24" spans="2:13" outlineLevel="1" x14ac:dyDescent="0.3">
      <c r="B24" t="s">
        <v>105</v>
      </c>
      <c r="C24" s="35">
        <f>IFERROR(SUM('Data Sheet'!B26),0)</f>
        <v>13388.63</v>
      </c>
      <c r="D24" s="35">
        <f>IFERROR(SUM('Data Sheet'!C26),0)</f>
        <v>16710.78</v>
      </c>
      <c r="E24" s="35">
        <f>IFERROR(SUM('Data Sheet'!D26),0)</f>
        <v>17904.990000000002</v>
      </c>
      <c r="F24" s="35">
        <f>IFERROR(SUM('Data Sheet'!E26),0)</f>
        <v>21553.59</v>
      </c>
      <c r="G24" s="35">
        <f>IFERROR(SUM('Data Sheet'!F26),0)</f>
        <v>23590.63</v>
      </c>
      <c r="H24" s="35">
        <f>IFERROR(SUM('Data Sheet'!G26),0)</f>
        <v>21425.43</v>
      </c>
      <c r="I24" s="35">
        <f>IFERROR(SUM('Data Sheet'!H26),0)</f>
        <v>23546.71</v>
      </c>
      <c r="J24" s="35">
        <f>IFERROR(SUM('Data Sheet'!I26),0)</f>
        <v>24835.69</v>
      </c>
      <c r="K24" s="35">
        <f>IFERROR(SUM('Data Sheet'!J26),0)</f>
        <v>24860.36</v>
      </c>
      <c r="L24" s="35">
        <f>IFERROR(SUM('Data Sheet'!K26),0)</f>
        <v>27270.13</v>
      </c>
      <c r="M24">
        <f>IFERROR(SUM('Data Sheet'!H45:K45),0)</f>
        <v>27270.129999999997</v>
      </c>
    </row>
    <row r="25" spans="2:13" outlineLevel="1" x14ac:dyDescent="0.3">
      <c r="B25" s="31" t="s">
        <v>106</v>
      </c>
      <c r="C25" s="34">
        <f>C24/C6</f>
        <v>5.0876584184966822E-2</v>
      </c>
      <c r="D25" s="34">
        <f t="shared" ref="D25:M25" si="8">D24/D6</f>
        <v>6.1201425695927715E-2</v>
      </c>
      <c r="E25" s="34">
        <f t="shared" si="8"/>
        <v>6.63903865924938E-2</v>
      </c>
      <c r="F25" s="34">
        <f t="shared" si="8"/>
        <v>7.3927472182518786E-2</v>
      </c>
      <c r="G25" s="34">
        <f t="shared" si="8"/>
        <v>7.8130605447998658E-2</v>
      </c>
      <c r="H25" s="34">
        <f t="shared" si="8"/>
        <v>8.206839774331566E-2</v>
      </c>
      <c r="I25" s="34">
        <f t="shared" si="8"/>
        <v>9.4264230933596482E-2</v>
      </c>
      <c r="J25" s="34">
        <f t="shared" si="8"/>
        <v>8.9191478279219347E-2</v>
      </c>
      <c r="K25" s="34">
        <f t="shared" si="8"/>
        <v>7.1857611147098821E-2</v>
      </c>
      <c r="L25" s="34">
        <f t="shared" si="8"/>
        <v>6.2270839777984394E-2</v>
      </c>
      <c r="M25" s="34">
        <f t="shared" si="8"/>
        <v>6.2270839777984387E-2</v>
      </c>
    </row>
    <row r="26" spans="2:13" outlineLevel="1" x14ac:dyDescent="0.3"/>
    <row r="27" spans="2:13" outlineLevel="1" x14ac:dyDescent="0.3">
      <c r="B27" s="41" t="s">
        <v>108</v>
      </c>
      <c r="C27" s="44">
        <f>IFERROR(C18-SUM(C21,C24),0)</f>
        <v>20988.529999999981</v>
      </c>
      <c r="D27" s="44">
        <f t="shared" ref="D27:M27" si="9">IFERROR(D18-SUM(D21,D24),0)</f>
        <v>16795.38999999997</v>
      </c>
      <c r="E27" s="44">
        <f t="shared" si="9"/>
        <v>7445.690000000046</v>
      </c>
      <c r="F27" s="44">
        <f t="shared" si="9"/>
        <v>5222.299999999992</v>
      </c>
      <c r="G27" s="44">
        <f t="shared" si="9"/>
        <v>-4684.8999999999796</v>
      </c>
      <c r="H27" s="44">
        <f t="shared" si="9"/>
        <v>-10681.690000000039</v>
      </c>
      <c r="I27" s="44">
        <f t="shared" si="9"/>
        <v>643.549999999992</v>
      </c>
      <c r="J27" s="44">
        <f t="shared" si="9"/>
        <v>-9427.4599999999882</v>
      </c>
      <c r="K27" s="44">
        <f t="shared" si="9"/>
        <v>-3270.0400000000373</v>
      </c>
      <c r="L27" s="44">
        <f t="shared" si="9"/>
        <v>22282.450000000041</v>
      </c>
      <c r="M27" s="44">
        <f t="shared" si="9"/>
        <v>-37255.89</v>
      </c>
    </row>
    <row r="28" spans="2:13" outlineLevel="1" x14ac:dyDescent="0.3">
      <c r="B28" s="31" t="s">
        <v>109</v>
      </c>
      <c r="C28" s="34">
        <f>C27/C6</f>
        <v>7.9756085085905037E-2</v>
      </c>
      <c r="D28" s="34">
        <f t="shared" ref="D28:M28" si="10">D27/D6</f>
        <v>6.1511300676516931E-2</v>
      </c>
      <c r="E28" s="34">
        <f t="shared" si="10"/>
        <v>2.7608071132565179E-2</v>
      </c>
      <c r="F28" s="34">
        <f t="shared" si="10"/>
        <v>1.7912163958707913E-2</v>
      </c>
      <c r="G28" s="34">
        <f t="shared" si="10"/>
        <v>-1.5516078776333117E-2</v>
      </c>
      <c r="H28" s="34">
        <f t="shared" si="10"/>
        <v>-4.0915360088026265E-2</v>
      </c>
      <c r="I28" s="34">
        <f t="shared" si="10"/>
        <v>2.5763151547420113E-3</v>
      </c>
      <c r="J28" s="34">
        <f t="shared" si="10"/>
        <v>-3.3856482095653805E-2</v>
      </c>
      <c r="K28" s="34">
        <f t="shared" si="10"/>
        <v>-9.4518849588445895E-3</v>
      </c>
      <c r="L28" s="34">
        <f t="shared" si="10"/>
        <v>5.0881564327377643E-2</v>
      </c>
      <c r="M28" s="34">
        <f t="shared" si="10"/>
        <v>-8.5073138887721139E-2</v>
      </c>
    </row>
    <row r="29" spans="2:13" outlineLevel="1" x14ac:dyDescent="0.3"/>
    <row r="30" spans="2:13" outlineLevel="1" x14ac:dyDescent="0.3">
      <c r="B30" t="s">
        <v>13</v>
      </c>
      <c r="C30" s="29">
        <f>IFERROR(SUM('Data Sheet'!B29),0)</f>
        <v>7642.91</v>
      </c>
      <c r="D30" s="29">
        <f>IFERROR(SUM('Data Sheet'!C29),0)</f>
        <v>3025.05</v>
      </c>
      <c r="E30" s="29">
        <f>IFERROR(SUM('Data Sheet'!D29),0)</f>
        <v>3251.23</v>
      </c>
      <c r="F30" s="29">
        <f>IFERROR(SUM('Data Sheet'!E29),0)</f>
        <v>4341.93</v>
      </c>
      <c r="G30" s="29">
        <f>IFERROR(SUM('Data Sheet'!F29),0)</f>
        <v>-2437.4499999999998</v>
      </c>
      <c r="H30" s="29">
        <f>IFERROR(SUM('Data Sheet'!G29),0)</f>
        <v>395.25</v>
      </c>
      <c r="I30" s="29">
        <f>IFERROR(SUM('Data Sheet'!H29),0)</f>
        <v>2541.86</v>
      </c>
      <c r="J30" s="29">
        <f>IFERROR(SUM('Data Sheet'!I29),0)</f>
        <v>4231.29</v>
      </c>
      <c r="K30" s="29">
        <f>IFERROR(SUM('Data Sheet'!J29),0)</f>
        <v>704.06</v>
      </c>
      <c r="L30" s="29">
        <f>IFERROR(SUM('Data Sheet'!K29),0)</f>
        <v>-3851.64</v>
      </c>
      <c r="M30" s="29">
        <f>IFERROR(SUM('Data Sheet'!H48:K48),0)</f>
        <v>-3851.6399999999994</v>
      </c>
    </row>
    <row r="31" spans="2:13" outlineLevel="1" x14ac:dyDescent="0.3">
      <c r="B31" s="31" t="s">
        <v>110</v>
      </c>
      <c r="C31" s="34">
        <f>C30/C27</f>
        <v>0.3641469888553418</v>
      </c>
      <c r="D31" s="34">
        <f t="shared" ref="D31:M31" si="11">D30/D27</f>
        <v>0.18011192356950362</v>
      </c>
      <c r="E31" s="34">
        <f t="shared" si="11"/>
        <v>0.43665932908836924</v>
      </c>
      <c r="F31" s="34">
        <f t="shared" si="11"/>
        <v>0.8314210213890445</v>
      </c>
      <c r="G31" s="34">
        <f t="shared" si="11"/>
        <v>0.52027791414971725</v>
      </c>
      <c r="H31" s="34">
        <f t="shared" si="11"/>
        <v>-3.7002571690434617E-2</v>
      </c>
      <c r="I31" s="34">
        <f t="shared" si="11"/>
        <v>3.9497474943672315</v>
      </c>
      <c r="J31" s="34">
        <f t="shared" si="11"/>
        <v>-0.4488260888935095</v>
      </c>
      <c r="K31" s="34">
        <f t="shared" si="11"/>
        <v>-0.21530623478611635</v>
      </c>
      <c r="L31" s="34">
        <f t="shared" si="11"/>
        <v>-0.17285531887202676</v>
      </c>
      <c r="M31" s="34">
        <f t="shared" si="11"/>
        <v>0.10338338447960845</v>
      </c>
    </row>
    <row r="32" spans="2:13" outlineLevel="1" x14ac:dyDescent="0.3"/>
    <row r="33" spans="1:13" outlineLevel="1" x14ac:dyDescent="0.3">
      <c r="B33" s="41" t="s">
        <v>111</v>
      </c>
      <c r="C33" s="44">
        <f>IFERROR(SUM(C27-C30),0)</f>
        <v>13345.619999999981</v>
      </c>
      <c r="D33" s="44">
        <f t="shared" ref="D33:M33" si="12">IFERROR(SUM(D27-D30),0)</f>
        <v>13770.339999999971</v>
      </c>
      <c r="E33" s="44">
        <f t="shared" si="12"/>
        <v>4194.4600000000464</v>
      </c>
      <c r="F33" s="44">
        <f t="shared" si="12"/>
        <v>880.36999999999171</v>
      </c>
      <c r="G33" s="44">
        <f t="shared" si="12"/>
        <v>-2247.4499999999798</v>
      </c>
      <c r="H33" s="44">
        <f t="shared" si="12"/>
        <v>-11076.940000000039</v>
      </c>
      <c r="I33" s="44">
        <f t="shared" si="12"/>
        <v>-1898.3100000000081</v>
      </c>
      <c r="J33" s="44">
        <f t="shared" si="12"/>
        <v>-13658.749999999989</v>
      </c>
      <c r="K33" s="44">
        <f t="shared" si="12"/>
        <v>-3974.1000000000372</v>
      </c>
      <c r="L33" s="44">
        <f t="shared" si="12"/>
        <v>26134.09000000004</v>
      </c>
      <c r="M33" s="44">
        <f t="shared" si="12"/>
        <v>-33404.25</v>
      </c>
    </row>
    <row r="34" spans="1:13" outlineLevel="1" x14ac:dyDescent="0.3">
      <c r="B34" s="31" t="s">
        <v>112</v>
      </c>
      <c r="C34" s="34">
        <f>C33/C6</f>
        <v>5.0713146858982282E-2</v>
      </c>
      <c r="D34" s="34">
        <f t="shared" ref="D34:M34" si="13">D33/D6</f>
        <v>5.0432381990407359E-2</v>
      </c>
      <c r="E34" s="34">
        <f t="shared" si="13"/>
        <v>1.5552749314395296E-2</v>
      </c>
      <c r="F34" s="34">
        <f t="shared" si="13"/>
        <v>3.01961430487095E-3</v>
      </c>
      <c r="G34" s="34">
        <f t="shared" si="13"/>
        <v>-7.4434056747998256E-3</v>
      </c>
      <c r="H34" s="34">
        <f t="shared" si="13"/>
        <v>-4.2429333632923408E-2</v>
      </c>
      <c r="I34" s="34">
        <f t="shared" si="13"/>
        <v>-7.5994791724005731E-3</v>
      </c>
      <c r="J34" s="34">
        <f t="shared" si="13"/>
        <v>-4.9052154538339235E-2</v>
      </c>
      <c r="K34" s="34">
        <f t="shared" si="13"/>
        <v>-1.1486934720964945E-2</v>
      </c>
      <c r="L34" s="34">
        <f t="shared" si="13"/>
        <v>5.9676713353894045E-2</v>
      </c>
      <c r="M34" s="34">
        <f t="shared" si="13"/>
        <v>-7.6277989861204737E-2</v>
      </c>
    </row>
    <row r="35" spans="1:13" outlineLevel="1" x14ac:dyDescent="0.3"/>
    <row r="36" spans="1:13" outlineLevel="1" x14ac:dyDescent="0.3">
      <c r="B36" t="s">
        <v>113</v>
      </c>
      <c r="C36">
        <f>IFERROR(SUM('Data Sheet'!B93),0)</f>
        <v>288.74</v>
      </c>
      <c r="D36">
        <f>IFERROR(SUM('Data Sheet'!C93),0)</f>
        <v>288.72000000000003</v>
      </c>
      <c r="E36">
        <f>IFERROR(SUM('Data Sheet'!D93),0)</f>
        <v>288.73</v>
      </c>
      <c r="F36">
        <f>IFERROR(SUM('Data Sheet'!E93),0)</f>
        <v>288.73</v>
      </c>
      <c r="G36">
        <f>IFERROR(SUM('Data Sheet'!F93),0)</f>
        <v>288.73</v>
      </c>
      <c r="H36">
        <f>IFERROR(SUM('Data Sheet'!G93),0)</f>
        <v>308.89999999999998</v>
      </c>
      <c r="I36">
        <f>IFERROR(SUM('Data Sheet'!H93),0)</f>
        <v>332.03</v>
      </c>
      <c r="J36">
        <f>IFERROR(SUM('Data Sheet'!I93),0)</f>
        <v>332.07</v>
      </c>
      <c r="K36">
        <f>IFERROR(SUM('Data Sheet'!J93),0)</f>
        <v>332.13</v>
      </c>
      <c r="L36">
        <f>IFERROR(SUM('Data Sheet'!K93),0)</f>
        <v>332.37</v>
      </c>
      <c r="M36">
        <f>IFERROR(SUM('Data Sheet'!L93),0)</f>
        <v>0</v>
      </c>
    </row>
    <row r="37" spans="1:13" outlineLevel="1" x14ac:dyDescent="0.3"/>
    <row r="38" spans="1:13" outlineLevel="1" x14ac:dyDescent="0.3">
      <c r="B38" t="s">
        <v>114</v>
      </c>
      <c r="C38" s="29">
        <f>IFERROR(C33/C36,0)</f>
        <v>46.220198102098706</v>
      </c>
      <c r="D38" s="29">
        <f t="shared" ref="D38:M38" si="14">IFERROR(D33/D36,0)</f>
        <v>47.694444444444336</v>
      </c>
      <c r="E38" s="29">
        <f t="shared" si="14"/>
        <v>14.527274616423808</v>
      </c>
      <c r="F38" s="29">
        <f t="shared" si="14"/>
        <v>3.049111626779315</v>
      </c>
      <c r="G38" s="29">
        <f t="shared" si="14"/>
        <v>-7.7839157690575265</v>
      </c>
      <c r="H38" s="29">
        <f t="shared" si="14"/>
        <v>-35.859307219164904</v>
      </c>
      <c r="I38" s="29">
        <f t="shared" si="14"/>
        <v>-5.7172845827184542</v>
      </c>
      <c r="J38" s="29">
        <f t="shared" si="14"/>
        <v>-41.132140813683833</v>
      </c>
      <c r="K38" s="29">
        <f t="shared" si="14"/>
        <v>-11.965495438533218</v>
      </c>
      <c r="L38" s="29">
        <f t="shared" si="14"/>
        <v>78.629509281824596</v>
      </c>
      <c r="M38" s="29">
        <f t="shared" si="14"/>
        <v>0</v>
      </c>
    </row>
    <row r="39" spans="1:13" outlineLevel="1" x14ac:dyDescent="0.3">
      <c r="B39" s="31" t="s">
        <v>116</v>
      </c>
      <c r="C39" s="34"/>
      <c r="D39" s="34">
        <f>IFERROR(D38/C38-1,0)</f>
        <v>3.189614936502605E-2</v>
      </c>
      <c r="E39" s="34">
        <f t="shared" ref="E39:M39" si="15">IFERROR(E38/D38-1,0)</f>
        <v>-0.69540950134463697</v>
      </c>
      <c r="F39" s="34">
        <f t="shared" si="15"/>
        <v>-0.79011124197155724</v>
      </c>
      <c r="G39" s="34">
        <f t="shared" si="15"/>
        <v>-3.5528470983790919</v>
      </c>
      <c r="H39" s="34">
        <f t="shared" si="15"/>
        <v>3.6068467700681115</v>
      </c>
      <c r="I39" s="34">
        <f t="shared" si="15"/>
        <v>-0.84056344011958861</v>
      </c>
      <c r="J39" s="34">
        <f t="shared" si="15"/>
        <v>6.194349033807641</v>
      </c>
      <c r="K39" s="34">
        <f t="shared" si="15"/>
        <v>-0.70909621522659627</v>
      </c>
      <c r="L39" s="34">
        <f t="shared" si="15"/>
        <v>-7.5713542482001346</v>
      </c>
      <c r="M39" s="34">
        <f t="shared" si="15"/>
        <v>-1</v>
      </c>
    </row>
    <row r="40" spans="1:13" outlineLevel="1" x14ac:dyDescent="0.3">
      <c r="B40" s="31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</row>
    <row r="41" spans="1:13" outlineLevel="1" x14ac:dyDescent="0.3">
      <c r="B41" t="s">
        <v>115</v>
      </c>
      <c r="C41" s="29">
        <f>IFERROR('Data Sheet'!B31/HistoricalFs!C36,0)</f>
        <v>0</v>
      </c>
      <c r="D41" s="29">
        <f>IFERROR('Data Sheet'!C31/HistoricalFs!D36,0)</f>
        <v>0.23524522028262676</v>
      </c>
      <c r="E41" s="29">
        <f>IFERROR('Data Sheet'!D31/HistoricalFs!E36,0)</f>
        <v>0</v>
      </c>
      <c r="F41" s="29">
        <f>IFERROR('Data Sheet'!E31/HistoricalFs!F36,0)</f>
        <v>0</v>
      </c>
      <c r="G41" s="29">
        <f>IFERROR('Data Sheet'!F31/HistoricalFs!G36,0)</f>
        <v>0</v>
      </c>
      <c r="H41" s="29">
        <f>IFERROR('Data Sheet'!G31/HistoricalFs!H36,0)</f>
        <v>0</v>
      </c>
      <c r="I41" s="29">
        <f>IFERROR('Data Sheet'!H31/HistoricalFs!I36,0)</f>
        <v>0</v>
      </c>
      <c r="J41" s="29">
        <f>IFERROR('Data Sheet'!I31/HistoricalFs!J36,0)</f>
        <v>0</v>
      </c>
      <c r="K41" s="29">
        <f>IFERROR('Data Sheet'!J31/HistoricalFs!K36,0)</f>
        <v>2.3063860536536898</v>
      </c>
      <c r="L41" s="29">
        <f>IFERROR('Data Sheet'!K31/HistoricalFs!L36,0)</f>
        <v>14.067605379546888</v>
      </c>
      <c r="M41" s="29">
        <f>IFERROR('Data Sheet'!L31/HistoricalFs!M36,0)</f>
        <v>0</v>
      </c>
    </row>
    <row r="42" spans="1:13" outlineLevel="1" x14ac:dyDescent="0.3">
      <c r="B42" s="31" t="s">
        <v>117</v>
      </c>
      <c r="C42" s="34">
        <f>IFERROR(C41/C38,0)</f>
        <v>0</v>
      </c>
      <c r="D42" s="34">
        <f t="shared" ref="D42:M42" si="16">IFERROR(D41/D38,0)</f>
        <v>4.9323400874633563E-3</v>
      </c>
      <c r="E42" s="34">
        <f t="shared" si="16"/>
        <v>0</v>
      </c>
      <c r="F42" s="34">
        <f t="shared" si="16"/>
        <v>0</v>
      </c>
      <c r="G42" s="34">
        <f t="shared" si="16"/>
        <v>0</v>
      </c>
      <c r="H42" s="34">
        <f t="shared" si="16"/>
        <v>0</v>
      </c>
      <c r="I42" s="34">
        <f t="shared" si="16"/>
        <v>0</v>
      </c>
      <c r="J42" s="34">
        <f t="shared" si="16"/>
        <v>0</v>
      </c>
      <c r="K42" s="34">
        <f t="shared" si="16"/>
        <v>-0.19275307616818721</v>
      </c>
      <c r="L42" s="34">
        <f t="shared" si="16"/>
        <v>0.17890999839672977</v>
      </c>
      <c r="M42" s="34">
        <f t="shared" si="16"/>
        <v>0</v>
      </c>
    </row>
    <row r="43" spans="1:13" outlineLevel="1" x14ac:dyDescent="0.3"/>
    <row r="44" spans="1:13" outlineLevel="1" x14ac:dyDescent="0.3">
      <c r="B44" t="s">
        <v>118</v>
      </c>
      <c r="C44" s="5">
        <f>IFERROR(IF(C38&gt;C41,1-C42,0),0)</f>
        <v>1</v>
      </c>
      <c r="D44" s="5">
        <f t="shared" ref="D44:M44" si="17">IFERROR(IF(D38&gt;D41,1-D42,0),0)</f>
        <v>0.99506765991253665</v>
      </c>
      <c r="E44" s="5">
        <f t="shared" si="17"/>
        <v>1</v>
      </c>
      <c r="F44" s="5">
        <f t="shared" si="17"/>
        <v>1</v>
      </c>
      <c r="G44" s="5">
        <f t="shared" si="17"/>
        <v>0</v>
      </c>
      <c r="H44" s="5">
        <f t="shared" si="17"/>
        <v>0</v>
      </c>
      <c r="I44" s="5">
        <f t="shared" si="17"/>
        <v>0</v>
      </c>
      <c r="J44" s="5">
        <f t="shared" si="17"/>
        <v>0</v>
      </c>
      <c r="K44" s="5">
        <f t="shared" si="17"/>
        <v>0</v>
      </c>
      <c r="L44" s="5">
        <f t="shared" si="17"/>
        <v>0.82109000160327028</v>
      </c>
      <c r="M44" s="5">
        <f t="shared" si="17"/>
        <v>0</v>
      </c>
    </row>
    <row r="46" spans="1:13" x14ac:dyDescent="0.3">
      <c r="A46" t="s">
        <v>97</v>
      </c>
      <c r="B46" s="36" t="s">
        <v>119</v>
      </c>
      <c r="C46" s="37"/>
      <c r="D46" s="37"/>
      <c r="E46" s="37"/>
      <c r="F46" s="37"/>
      <c r="G46" s="37"/>
      <c r="H46" s="37"/>
      <c r="I46" s="37"/>
      <c r="J46" s="37"/>
      <c r="K46" s="37"/>
      <c r="L46" s="36"/>
      <c r="M46" s="37"/>
    </row>
    <row r="47" spans="1:13" outlineLevel="1" x14ac:dyDescent="0.3">
      <c r="B47" s="6" t="s">
        <v>24</v>
      </c>
      <c r="C47" s="29">
        <f>IFERROR('Data Sheet'!B57,0)</f>
        <v>643.78</v>
      </c>
      <c r="D47" s="29">
        <f>IFERROR('Data Sheet'!C57,0)</f>
        <v>679.18</v>
      </c>
      <c r="E47" s="29">
        <f>IFERROR('Data Sheet'!D57,0)</f>
        <v>679.22</v>
      </c>
      <c r="F47" s="29">
        <f>IFERROR('Data Sheet'!E57,0)</f>
        <v>679.22</v>
      </c>
      <c r="G47" s="29">
        <f>IFERROR('Data Sheet'!F57,0)</f>
        <v>679.22</v>
      </c>
      <c r="H47" s="29">
        <f>IFERROR('Data Sheet'!G57,0)</f>
        <v>719.54</v>
      </c>
      <c r="I47" s="29">
        <f>IFERROR('Data Sheet'!H57,0)</f>
        <v>765.81</v>
      </c>
      <c r="J47" s="29">
        <f>IFERROR('Data Sheet'!I57,0)</f>
        <v>765.88</v>
      </c>
      <c r="K47" s="29">
        <f>IFERROR('Data Sheet'!J57,0)</f>
        <v>766.02</v>
      </c>
      <c r="L47" s="29">
        <f>IFERROR('Data Sheet'!K57,0)</f>
        <v>766.5</v>
      </c>
      <c r="M47" s="29">
        <f>IFERROR('Data Sheet'!L57,0)</f>
        <v>0</v>
      </c>
    </row>
    <row r="48" spans="1:13" outlineLevel="1" x14ac:dyDescent="0.3">
      <c r="B48" s="6" t="s">
        <v>25</v>
      </c>
      <c r="C48" s="29">
        <f>IFERROR('Data Sheet'!B58,0)</f>
        <v>55618.14</v>
      </c>
      <c r="D48" s="29">
        <f>IFERROR('Data Sheet'!C58,0)</f>
        <v>78273.23</v>
      </c>
      <c r="E48" s="29">
        <f>IFERROR('Data Sheet'!D58,0)</f>
        <v>57382.67</v>
      </c>
      <c r="F48" s="29">
        <f>IFERROR('Data Sheet'!E58,0)</f>
        <v>94748.69</v>
      </c>
      <c r="G48" s="29">
        <f>IFERROR('Data Sheet'!F58,0)</f>
        <v>59500.34</v>
      </c>
      <c r="H48" s="29">
        <f>IFERROR('Data Sheet'!G58,0)</f>
        <v>61491.49</v>
      </c>
      <c r="I48" s="29">
        <f>IFERROR('Data Sheet'!H58,0)</f>
        <v>54480.91</v>
      </c>
      <c r="J48" s="29">
        <f>IFERROR('Data Sheet'!I58,0)</f>
        <v>43795.360000000001</v>
      </c>
      <c r="K48" s="29">
        <f>IFERROR('Data Sheet'!J58,0)</f>
        <v>44555.77</v>
      </c>
      <c r="L48" s="29">
        <f>IFERROR('Data Sheet'!K58,0)</f>
        <v>84151.52</v>
      </c>
      <c r="M48" s="29">
        <f>IFERROR('Data Sheet'!L58,0)</f>
        <v>0</v>
      </c>
    </row>
    <row r="49" spans="2:13" outlineLevel="1" x14ac:dyDescent="0.3">
      <c r="B49" s="6" t="s">
        <v>71</v>
      </c>
      <c r="C49" s="29">
        <f>IFERROR('Data Sheet'!B59,0)</f>
        <v>73610.39</v>
      </c>
      <c r="D49" s="29">
        <f>IFERROR('Data Sheet'!C59,0)</f>
        <v>69359.960000000006</v>
      </c>
      <c r="E49" s="29">
        <f>IFERROR('Data Sheet'!D59,0)</f>
        <v>78603.98</v>
      </c>
      <c r="F49" s="29">
        <f>IFERROR('Data Sheet'!E59,0)</f>
        <v>88950.47</v>
      </c>
      <c r="G49" s="29">
        <f>IFERROR('Data Sheet'!F59,0)</f>
        <v>106175.34</v>
      </c>
      <c r="H49" s="29">
        <f>IFERROR('Data Sheet'!G59,0)</f>
        <v>124787.64</v>
      </c>
      <c r="I49" s="29">
        <f>IFERROR('Data Sheet'!H59,0)</f>
        <v>142130.57</v>
      </c>
      <c r="J49" s="29">
        <f>IFERROR('Data Sheet'!I59,0)</f>
        <v>146449.03</v>
      </c>
      <c r="K49" s="29">
        <f>IFERROR('Data Sheet'!J59,0)</f>
        <v>134113.44</v>
      </c>
      <c r="L49" s="29">
        <f>IFERROR('Data Sheet'!K59,0)</f>
        <v>107262.5</v>
      </c>
      <c r="M49" s="29">
        <f>IFERROR('Data Sheet'!L59,0)</f>
        <v>0</v>
      </c>
    </row>
    <row r="50" spans="2:13" outlineLevel="1" x14ac:dyDescent="0.3">
      <c r="B50" s="6" t="s">
        <v>72</v>
      </c>
      <c r="C50" s="29">
        <f>IFERROR('Data Sheet'!B60,0)</f>
        <v>107442.48</v>
      </c>
      <c r="D50" s="29">
        <f>IFERROR('Data Sheet'!C60,0)</f>
        <v>114871.75</v>
      </c>
      <c r="E50" s="29">
        <f>IFERROR('Data Sheet'!D60,0)</f>
        <v>135914.49</v>
      </c>
      <c r="F50" s="29">
        <f>IFERROR('Data Sheet'!E60,0)</f>
        <v>142813.43</v>
      </c>
      <c r="G50" s="29">
        <f>IFERROR('Data Sheet'!F60,0)</f>
        <v>139348.59</v>
      </c>
      <c r="H50" s="29">
        <f>IFERROR('Data Sheet'!G60,0)</f>
        <v>133180.72</v>
      </c>
      <c r="I50" s="29">
        <f>IFERROR('Data Sheet'!H60,0)</f>
        <v>144192.62</v>
      </c>
      <c r="J50" s="29">
        <f>IFERROR('Data Sheet'!I60,0)</f>
        <v>138051.22</v>
      </c>
      <c r="K50" s="29">
        <f>IFERROR('Data Sheet'!J60,0)</f>
        <v>155239.20000000001</v>
      </c>
      <c r="L50" s="29">
        <f>IFERROR('Data Sheet'!K60,0)</f>
        <v>177340.09</v>
      </c>
      <c r="M50" s="29">
        <f>IFERROR('Data Sheet'!L60,0)</f>
        <v>0</v>
      </c>
    </row>
    <row r="51" spans="2:13" outlineLevel="1" x14ac:dyDescent="0.3">
      <c r="B51" s="45" t="s">
        <v>121</v>
      </c>
      <c r="C51" s="44">
        <f>IFERROR('Data Sheet'!B61,0)</f>
        <v>237314.79</v>
      </c>
      <c r="D51" s="44">
        <f>IFERROR('Data Sheet'!C61,0)</f>
        <v>263184.12</v>
      </c>
      <c r="E51" s="44">
        <f>IFERROR('Data Sheet'!D61,0)</f>
        <v>272580.36</v>
      </c>
      <c r="F51" s="44">
        <f>IFERROR('Data Sheet'!E61,0)</f>
        <v>327191.81</v>
      </c>
      <c r="G51" s="44">
        <f>IFERROR('Data Sheet'!F61,0)</f>
        <v>305703.49</v>
      </c>
      <c r="H51" s="44">
        <f>IFERROR('Data Sheet'!G61,0)</f>
        <v>320179.39</v>
      </c>
      <c r="I51" s="44">
        <f>IFERROR('Data Sheet'!H61,0)</f>
        <v>341569.91</v>
      </c>
      <c r="J51" s="44">
        <f>IFERROR('Data Sheet'!I61,0)</f>
        <v>329061.49</v>
      </c>
      <c r="K51" s="44">
        <f>IFERROR('Data Sheet'!J61,0)</f>
        <v>334674.43</v>
      </c>
      <c r="L51" s="44">
        <f>IFERROR('Data Sheet'!K61,0)</f>
        <v>369520.61</v>
      </c>
      <c r="M51" s="44">
        <f>IFERROR('Data Sheet'!L61,0)</f>
        <v>0</v>
      </c>
    </row>
    <row r="52" spans="2:13" outlineLevel="1" x14ac:dyDescent="0.3">
      <c r="B52" s="1"/>
    </row>
    <row r="53" spans="2:13" outlineLevel="1" x14ac:dyDescent="0.3">
      <c r="B53" s="6" t="s">
        <v>120</v>
      </c>
      <c r="C53" s="29">
        <f>IFERROR('Data Sheet'!B62,0)</f>
        <v>88479.49</v>
      </c>
      <c r="D53" s="29">
        <f>IFERROR('Data Sheet'!C62,0)</f>
        <v>107231.76</v>
      </c>
      <c r="E53" s="29">
        <f>IFERROR('Data Sheet'!D62,0)</f>
        <v>95944.08</v>
      </c>
      <c r="F53" s="29">
        <f>IFERROR('Data Sheet'!E62,0)</f>
        <v>121413.86</v>
      </c>
      <c r="G53" s="29">
        <f>IFERROR('Data Sheet'!F62,0)</f>
        <v>111234.47</v>
      </c>
      <c r="H53" s="29">
        <f>IFERROR('Data Sheet'!G62,0)</f>
        <v>127107.14</v>
      </c>
      <c r="I53" s="29">
        <f>IFERROR('Data Sheet'!H62,0)</f>
        <v>138707.60999999999</v>
      </c>
      <c r="J53" s="29">
        <f>IFERROR('Data Sheet'!I62,0)</f>
        <v>138855.45000000001</v>
      </c>
      <c r="K53" s="29">
        <f>IFERROR('Data Sheet'!J62,0)</f>
        <v>132079.76</v>
      </c>
      <c r="L53" s="29">
        <f>IFERROR('Data Sheet'!K62,0)</f>
        <v>121285.46</v>
      </c>
      <c r="M53" s="29">
        <f>IFERROR('Data Sheet'!L62,0)</f>
        <v>0</v>
      </c>
    </row>
    <row r="54" spans="2:13" outlineLevel="1" x14ac:dyDescent="0.3">
      <c r="B54" s="6" t="s">
        <v>28</v>
      </c>
      <c r="C54" s="29">
        <f>IFERROR('Data Sheet'!B63,0)</f>
        <v>28640.09</v>
      </c>
      <c r="D54" s="29">
        <f>IFERROR('Data Sheet'!C63,0)</f>
        <v>25918.94</v>
      </c>
      <c r="E54" s="29">
        <f>IFERROR('Data Sheet'!D63,0)</f>
        <v>33698.839999999997</v>
      </c>
      <c r="F54" s="29">
        <f>IFERROR('Data Sheet'!E63,0)</f>
        <v>40033.5</v>
      </c>
      <c r="G54" s="29">
        <f>IFERROR('Data Sheet'!F63,0)</f>
        <v>31883.84</v>
      </c>
      <c r="H54" s="29">
        <f>IFERROR('Data Sheet'!G63,0)</f>
        <v>35622.29</v>
      </c>
      <c r="I54" s="29">
        <f>IFERROR('Data Sheet'!H63,0)</f>
        <v>20963.93</v>
      </c>
      <c r="J54" s="29">
        <f>IFERROR('Data Sheet'!I63,0)</f>
        <v>10251.09</v>
      </c>
      <c r="K54" s="29">
        <f>IFERROR('Data Sheet'!J63,0)</f>
        <v>14274.5</v>
      </c>
      <c r="L54" s="29">
        <f>IFERROR('Data Sheet'!K63,0)</f>
        <v>35698.43</v>
      </c>
      <c r="M54" s="29">
        <f>IFERROR('Data Sheet'!L63,0)</f>
        <v>0</v>
      </c>
    </row>
    <row r="55" spans="2:13" outlineLevel="1" x14ac:dyDescent="0.3">
      <c r="B55" s="6" t="s">
        <v>29</v>
      </c>
      <c r="C55" s="29">
        <f>IFERROR('Data Sheet'!B64,0)</f>
        <v>15336.74</v>
      </c>
      <c r="D55" s="29">
        <f>IFERROR('Data Sheet'!C64,0)</f>
        <v>23767.02</v>
      </c>
      <c r="E55" s="29">
        <f>IFERROR('Data Sheet'!D64,0)</f>
        <v>20337.919999999998</v>
      </c>
      <c r="F55" s="29">
        <f>IFERROR('Data Sheet'!E64,0)</f>
        <v>20812.75</v>
      </c>
      <c r="G55" s="29">
        <f>IFERROR('Data Sheet'!F64,0)</f>
        <v>15770.72</v>
      </c>
      <c r="H55" s="29">
        <f>IFERROR('Data Sheet'!G64,0)</f>
        <v>16308.48</v>
      </c>
      <c r="I55" s="29">
        <f>IFERROR('Data Sheet'!H64,0)</f>
        <v>24620.28</v>
      </c>
      <c r="J55" s="29">
        <f>IFERROR('Data Sheet'!I64,0)</f>
        <v>29379.53</v>
      </c>
      <c r="K55" s="29">
        <f>IFERROR('Data Sheet'!J64,0)</f>
        <v>26379.16</v>
      </c>
      <c r="L55" s="29">
        <f>IFERROR('Data Sheet'!K64,0)</f>
        <v>22971.07</v>
      </c>
      <c r="M55" s="29">
        <f>IFERROR('Data Sheet'!L64,0)</f>
        <v>0</v>
      </c>
    </row>
    <row r="56" spans="2:13" outlineLevel="1" x14ac:dyDescent="0.3">
      <c r="B56" s="6" t="s">
        <v>73</v>
      </c>
      <c r="C56" s="29">
        <f>IFERROR('Data Sheet'!B65-SUM('Data Sheet'!B67:B69),0)</f>
        <v>30891.17</v>
      </c>
      <c r="D56" s="29">
        <f>IFERROR('Data Sheet'!C65-SUM('Data Sheet'!C67:C69),0)</f>
        <v>29579.359999999986</v>
      </c>
      <c r="E56" s="29">
        <f>IFERROR('Data Sheet'!D65-SUM('Data Sheet'!D67:D69),0)</f>
        <v>37360.780000000013</v>
      </c>
      <c r="F56" s="29">
        <f>IFERROR('Data Sheet'!E65-SUM('Data Sheet'!E67:E69),0)</f>
        <v>48286.860000000015</v>
      </c>
      <c r="G56" s="29">
        <f>IFERROR('Data Sheet'!F65-SUM('Data Sheet'!F67:F69),0)</f>
        <v>56155.739999999991</v>
      </c>
      <c r="H56" s="29">
        <f>IFERROR('Data Sheet'!G65-SUM('Data Sheet'!G67:G69),0)</f>
        <v>58784.94</v>
      </c>
      <c r="I56" s="29">
        <f>IFERROR('Data Sheet'!H65-SUM('Data Sheet'!H67:H69),0)</f>
        <v>61717.959999999992</v>
      </c>
      <c r="J56" s="29">
        <f>IFERROR('Data Sheet'!I65-SUM('Data Sheet'!I67:I69),0)</f>
        <v>62223.770000000019</v>
      </c>
      <c r="K56" s="29">
        <f>IFERROR('Data Sheet'!J65-SUM('Data Sheet'!J67:J69),0)</f>
        <v>68432.090000000011</v>
      </c>
      <c r="L56" s="29">
        <f>IFERROR('Data Sheet'!K65-SUM('Data Sheet'!K67:K69),0)</f>
        <v>79018.859999999986</v>
      </c>
      <c r="M56" s="29">
        <f>IFERROR('Data Sheet'!L65,0)</f>
        <v>0</v>
      </c>
    </row>
    <row r="57" spans="2:13" outlineLevel="1" x14ac:dyDescent="0.3">
      <c r="B57" s="45" t="s">
        <v>122</v>
      </c>
      <c r="C57" s="44">
        <f>IFERROR(SUM(C53:C56),0)</f>
        <v>163347.49</v>
      </c>
      <c r="D57" s="44">
        <f t="shared" ref="D57:L57" si="18">IFERROR(SUM(D53:D56),0)</f>
        <v>186497.07999999996</v>
      </c>
      <c r="E57" s="44">
        <f t="shared" si="18"/>
        <v>187341.62</v>
      </c>
      <c r="F57" s="44">
        <f t="shared" si="18"/>
        <v>230546.97</v>
      </c>
      <c r="G57" s="44">
        <f t="shared" si="18"/>
        <v>215044.77</v>
      </c>
      <c r="H57" s="44">
        <f t="shared" si="18"/>
        <v>237822.85</v>
      </c>
      <c r="I57" s="44">
        <f t="shared" si="18"/>
        <v>246009.77999999997</v>
      </c>
      <c r="J57" s="44">
        <f t="shared" si="18"/>
        <v>240709.84000000003</v>
      </c>
      <c r="K57" s="44">
        <f t="shared" si="18"/>
        <v>241165.51</v>
      </c>
      <c r="L57" s="44">
        <f t="shared" si="18"/>
        <v>258973.82</v>
      </c>
      <c r="M57" s="44">
        <f>IFERROR('Data Sheet'!L66,0)</f>
        <v>0</v>
      </c>
    </row>
    <row r="58" spans="2:13" outlineLevel="1" x14ac:dyDescent="0.3">
      <c r="B58" s="1"/>
    </row>
    <row r="59" spans="2:13" outlineLevel="1" x14ac:dyDescent="0.3">
      <c r="B59" s="6" t="s">
        <v>78</v>
      </c>
      <c r="C59" s="29">
        <f>IFERROR('Data Sheet'!B67,0)</f>
        <v>12579.2</v>
      </c>
      <c r="D59" s="29">
        <f>IFERROR('Data Sheet'!C67,0)</f>
        <v>13570.91</v>
      </c>
      <c r="E59" s="29">
        <f>IFERROR('Data Sheet'!D67,0)</f>
        <v>14075.55</v>
      </c>
      <c r="F59" s="29">
        <f>IFERROR('Data Sheet'!E67,0)</f>
        <v>19893.3</v>
      </c>
      <c r="G59" s="29">
        <f>IFERROR('Data Sheet'!F67,0)</f>
        <v>18996.169999999998</v>
      </c>
      <c r="H59" s="29">
        <f>IFERROR('Data Sheet'!G67,0)</f>
        <v>11172.69</v>
      </c>
      <c r="I59" s="29">
        <f>IFERROR('Data Sheet'!H67,0)</f>
        <v>12679.08</v>
      </c>
      <c r="J59" s="29">
        <f>IFERROR('Data Sheet'!I67,0)</f>
        <v>12442.12</v>
      </c>
      <c r="K59" s="29">
        <f>IFERROR('Data Sheet'!J67,0)</f>
        <v>15737.97</v>
      </c>
      <c r="L59" s="29">
        <f>IFERROR('Data Sheet'!K67,0)</f>
        <v>16951.810000000001</v>
      </c>
      <c r="M59" s="29">
        <f>IFERROR('Data Sheet'!L67,0)</f>
        <v>0</v>
      </c>
    </row>
    <row r="60" spans="2:13" outlineLevel="1" x14ac:dyDescent="0.3">
      <c r="B60" s="6" t="s">
        <v>45</v>
      </c>
      <c r="C60" s="29">
        <f>IFERROR('Data Sheet'!B68,0)</f>
        <v>29272.34</v>
      </c>
      <c r="D60" s="29">
        <f>IFERROR('Data Sheet'!C68,0)</f>
        <v>32655.73</v>
      </c>
      <c r="E60" s="29">
        <f>IFERROR('Data Sheet'!D68,0)</f>
        <v>35085.31</v>
      </c>
      <c r="F60" s="29">
        <f>IFERROR('Data Sheet'!E68,0)</f>
        <v>42137.63</v>
      </c>
      <c r="G60" s="29">
        <f>IFERROR('Data Sheet'!F68,0)</f>
        <v>39013.730000000003</v>
      </c>
      <c r="H60" s="29">
        <f>IFERROR('Data Sheet'!G68,0)</f>
        <v>37456.879999999997</v>
      </c>
      <c r="I60" s="29">
        <f>IFERROR('Data Sheet'!H68,0)</f>
        <v>36088.589999999997</v>
      </c>
      <c r="J60" s="29">
        <f>IFERROR('Data Sheet'!I68,0)</f>
        <v>35240.339999999997</v>
      </c>
      <c r="K60" s="29">
        <f>IFERROR('Data Sheet'!J68,0)</f>
        <v>40755.39</v>
      </c>
      <c r="L60" s="29">
        <f>IFERROR('Data Sheet'!K68,0)</f>
        <v>47788.29</v>
      </c>
      <c r="M60" s="29">
        <f>IFERROR('Data Sheet'!L68,0)</f>
        <v>0</v>
      </c>
    </row>
    <row r="61" spans="2:13" outlineLevel="1" x14ac:dyDescent="0.3">
      <c r="B61" s="4" t="s">
        <v>87</v>
      </c>
      <c r="C61" s="29">
        <f>IFERROR('Data Sheet'!B69,0)</f>
        <v>32115.759999999998</v>
      </c>
      <c r="D61" s="29">
        <f>IFERROR('Data Sheet'!C69,0)</f>
        <v>30460.400000000001</v>
      </c>
      <c r="E61" s="29">
        <f>IFERROR('Data Sheet'!D69,0)</f>
        <v>36077.879999999997</v>
      </c>
      <c r="F61" s="29">
        <f>IFERROR('Data Sheet'!E69,0)</f>
        <v>34613.910000000003</v>
      </c>
      <c r="G61" s="29">
        <f>IFERROR('Data Sheet'!F69,0)</f>
        <v>32648.82</v>
      </c>
      <c r="H61" s="29">
        <f>IFERROR('Data Sheet'!G69,0)</f>
        <v>33726.97</v>
      </c>
      <c r="I61" s="29">
        <f>IFERROR('Data Sheet'!H69,0)</f>
        <v>46792.46</v>
      </c>
      <c r="J61" s="29">
        <f>IFERROR('Data Sheet'!I69,0)</f>
        <v>40669.19</v>
      </c>
      <c r="K61" s="29">
        <f>IFERROR('Data Sheet'!J69,0)</f>
        <v>37015.56</v>
      </c>
      <c r="L61" s="29">
        <f>IFERROR('Data Sheet'!K69,0)</f>
        <v>45806.69</v>
      </c>
      <c r="M61" s="29">
        <f>IFERROR('Data Sheet'!L69,0)</f>
        <v>0</v>
      </c>
    </row>
    <row r="62" spans="2:13" outlineLevel="1" x14ac:dyDescent="0.3">
      <c r="B62" s="45" t="s">
        <v>123</v>
      </c>
      <c r="C62" s="44">
        <f>IFERROR(SUM(C59:C61),0)</f>
        <v>73967.3</v>
      </c>
      <c r="D62" s="44">
        <f t="shared" ref="D62:M62" si="19">IFERROR(SUM(D59:D61),0)</f>
        <v>76687.040000000008</v>
      </c>
      <c r="E62" s="44">
        <f t="shared" si="19"/>
        <v>85238.739999999991</v>
      </c>
      <c r="F62" s="44">
        <f t="shared" si="19"/>
        <v>96644.84</v>
      </c>
      <c r="G62" s="44">
        <f t="shared" si="19"/>
        <v>90658.72</v>
      </c>
      <c r="H62" s="44">
        <f t="shared" si="19"/>
        <v>82356.540000000008</v>
      </c>
      <c r="I62" s="44">
        <f t="shared" si="19"/>
        <v>95560.13</v>
      </c>
      <c r="J62" s="44">
        <f t="shared" si="19"/>
        <v>88351.65</v>
      </c>
      <c r="K62" s="44">
        <f t="shared" si="19"/>
        <v>93508.92</v>
      </c>
      <c r="L62" s="44">
        <f t="shared" si="19"/>
        <v>110546.79000000001</v>
      </c>
      <c r="M62" s="44">
        <f t="shared" si="19"/>
        <v>0</v>
      </c>
    </row>
    <row r="63" spans="2:13" outlineLevel="1" x14ac:dyDescent="0.3"/>
    <row r="64" spans="2:13" outlineLevel="1" x14ac:dyDescent="0.3">
      <c r="B64" s="45" t="s">
        <v>124</v>
      </c>
      <c r="C64" s="44">
        <f>IFERROR(SUM(C62,C57),0)</f>
        <v>237314.78999999998</v>
      </c>
      <c r="D64" s="44">
        <f t="shared" ref="D64:M64" si="20">IFERROR(SUM(D62,D57),0)</f>
        <v>263184.12</v>
      </c>
      <c r="E64" s="44">
        <f t="shared" si="20"/>
        <v>272580.36</v>
      </c>
      <c r="F64" s="44">
        <f t="shared" si="20"/>
        <v>327191.81</v>
      </c>
      <c r="G64" s="44">
        <f t="shared" si="20"/>
        <v>305703.49</v>
      </c>
      <c r="H64" s="44">
        <f t="shared" si="20"/>
        <v>320179.39</v>
      </c>
      <c r="I64" s="44">
        <f t="shared" si="20"/>
        <v>341569.91</v>
      </c>
      <c r="J64" s="44">
        <f t="shared" si="20"/>
        <v>329061.49</v>
      </c>
      <c r="K64" s="44">
        <f t="shared" si="20"/>
        <v>334674.43</v>
      </c>
      <c r="L64" s="44">
        <f t="shared" si="20"/>
        <v>369520.61</v>
      </c>
      <c r="M64" s="43">
        <f t="shared" si="20"/>
        <v>0</v>
      </c>
    </row>
    <row r="65" spans="1:13" outlineLevel="1" x14ac:dyDescent="0.3"/>
    <row r="66" spans="1:13" outlineLevel="1" x14ac:dyDescent="0.3">
      <c r="B66" s="39" t="s">
        <v>125</v>
      </c>
      <c r="C66" s="39" t="b">
        <f>C64=C51</f>
        <v>1</v>
      </c>
      <c r="D66" s="39" t="b">
        <f t="shared" ref="D66:L66" si="21">D64=D51</f>
        <v>1</v>
      </c>
      <c r="E66" s="39" t="b">
        <f t="shared" si="21"/>
        <v>1</v>
      </c>
      <c r="F66" s="39" t="b">
        <f t="shared" si="21"/>
        <v>1</v>
      </c>
      <c r="G66" s="39" t="b">
        <f t="shared" si="21"/>
        <v>1</v>
      </c>
      <c r="H66" s="39" t="b">
        <f t="shared" si="21"/>
        <v>1</v>
      </c>
      <c r="I66" s="39" t="b">
        <f t="shared" si="21"/>
        <v>1</v>
      </c>
      <c r="J66" s="39" t="b">
        <f t="shared" si="21"/>
        <v>1</v>
      </c>
      <c r="K66" s="39" t="b">
        <f t="shared" si="21"/>
        <v>1</v>
      </c>
      <c r="L66" s="39" t="b">
        <f t="shared" si="21"/>
        <v>1</v>
      </c>
    </row>
    <row r="68" spans="1:13" x14ac:dyDescent="0.3">
      <c r="A68" t="s">
        <v>97</v>
      </c>
      <c r="B68" s="36" t="s">
        <v>154</v>
      </c>
      <c r="C68" s="37"/>
      <c r="D68" s="37"/>
      <c r="E68" s="37"/>
      <c r="F68" s="37"/>
      <c r="G68" s="37"/>
      <c r="H68" s="37"/>
      <c r="I68" s="37"/>
      <c r="J68" s="37"/>
      <c r="K68" s="37"/>
      <c r="L68" s="36"/>
      <c r="M68" s="37"/>
    </row>
    <row r="69" spans="1:13" outlineLevel="1" x14ac:dyDescent="0.3">
      <c r="B69" s="2" t="s">
        <v>156</v>
      </c>
    </row>
    <row r="70" spans="1:13" outlineLevel="2" x14ac:dyDescent="0.3">
      <c r="B70" s="101" t="s">
        <v>127</v>
      </c>
      <c r="C70" s="102">
        <f>IFERROR('Raw data'!E4,0)</f>
        <v>43397</v>
      </c>
      <c r="D70" s="102">
        <f>IFERROR('Raw data'!F4,0)</f>
        <v>38626</v>
      </c>
      <c r="E70" s="102">
        <f>IFERROR('Raw data'!G4,0)</f>
        <v>28840</v>
      </c>
      <c r="F70" s="102">
        <f>IFERROR('Raw data'!H4,0)</f>
        <v>33312</v>
      </c>
      <c r="G70" s="102">
        <f>IFERROR('Raw data'!I4,0)</f>
        <v>28771</v>
      </c>
      <c r="H70" s="102">
        <f>IFERROR('Raw data'!J4,0)</f>
        <v>23352</v>
      </c>
      <c r="I70" s="102">
        <f>IFERROR('Raw data'!K4,0)</f>
        <v>31198</v>
      </c>
      <c r="J70" s="102">
        <f>IFERROR('Raw data'!L4,0)</f>
        <v>26943</v>
      </c>
      <c r="K70" s="102">
        <f>IFERROR('Raw data'!M4,0)</f>
        <v>41694</v>
      </c>
      <c r="L70" s="102">
        <f>IFERROR('Raw data'!N4,0)</f>
        <v>65106</v>
      </c>
    </row>
    <row r="71" spans="1:13" outlineLevel="2" x14ac:dyDescent="0.3">
      <c r="B71" s="101" t="s">
        <v>78</v>
      </c>
      <c r="C71" s="102">
        <f>IFERROR('Raw data'!E5,0)</f>
        <v>-3179</v>
      </c>
      <c r="D71" s="102">
        <f>IFERROR('Raw data'!F5,0)</f>
        <v>-2223</v>
      </c>
      <c r="E71" s="102">
        <f>IFERROR('Raw data'!G5,0)</f>
        <v>-4152</v>
      </c>
      <c r="F71" s="102">
        <f>IFERROR('Raw data'!H5,0)</f>
        <v>-10688</v>
      </c>
      <c r="G71" s="102">
        <f>IFERROR('Raw data'!I5,0)</f>
        <v>-9109</v>
      </c>
      <c r="H71" s="102">
        <f>IFERROR('Raw data'!J5,0)</f>
        <v>9950</v>
      </c>
      <c r="I71" s="102">
        <f>IFERROR('Raw data'!K5,0)</f>
        <v>-5505</v>
      </c>
      <c r="J71" s="102">
        <f>IFERROR('Raw data'!L5,0)</f>
        <v>185</v>
      </c>
      <c r="K71" s="102">
        <f>IFERROR('Raw data'!M5,0)</f>
        <v>-2213</v>
      </c>
      <c r="L71" s="102">
        <f>IFERROR('Raw data'!N5,0)</f>
        <v>-1875</v>
      </c>
    </row>
    <row r="72" spans="1:13" outlineLevel="2" x14ac:dyDescent="0.3">
      <c r="B72" s="101" t="s">
        <v>45</v>
      </c>
      <c r="C72" s="102">
        <f>IFERROR('Raw data'!E6,0)</f>
        <v>-3692</v>
      </c>
      <c r="D72" s="102">
        <f>IFERROR('Raw data'!F6,0)</f>
        <v>-5743</v>
      </c>
      <c r="E72" s="102">
        <f>IFERROR('Raw data'!G6,0)</f>
        <v>-6621</v>
      </c>
      <c r="F72" s="102">
        <f>IFERROR('Raw data'!H6,0)</f>
        <v>-3560</v>
      </c>
      <c r="G72" s="102">
        <f>IFERROR('Raw data'!I6,0)</f>
        <v>2069</v>
      </c>
      <c r="H72" s="102">
        <f>IFERROR('Raw data'!J6,0)</f>
        <v>2326</v>
      </c>
      <c r="I72" s="102">
        <f>IFERROR('Raw data'!K6,0)</f>
        <v>3814</v>
      </c>
      <c r="J72" s="102">
        <f>IFERROR('Raw data'!L6,0)</f>
        <v>472</v>
      </c>
      <c r="K72" s="102">
        <f>IFERROR('Raw data'!M6,0)</f>
        <v>-5665</v>
      </c>
      <c r="L72" s="102">
        <f>IFERROR('Raw data'!N6,0)</f>
        <v>-7265</v>
      </c>
    </row>
    <row r="73" spans="1:13" outlineLevel="2" x14ac:dyDescent="0.3">
      <c r="B73" s="101" t="s">
        <v>128</v>
      </c>
      <c r="C73" s="102">
        <f>IFERROR('Raw data'!E7,0)</f>
        <v>3598</v>
      </c>
      <c r="D73" s="102">
        <f>IFERROR('Raw data'!F7,0)</f>
        <v>3947</v>
      </c>
      <c r="E73" s="102">
        <f>IFERROR('Raw data'!G7,0)</f>
        <v>9301</v>
      </c>
      <c r="F73" s="102">
        <f>IFERROR('Raw data'!H7,0)</f>
        <v>7320</v>
      </c>
      <c r="G73" s="102">
        <f>IFERROR('Raw data'!I7,0)</f>
        <v>-4692</v>
      </c>
      <c r="H73" s="102">
        <f>IFERROR('Raw data'!J7,0)</f>
        <v>-8085</v>
      </c>
      <c r="I73" s="102">
        <f>IFERROR('Raw data'!K7,0)</f>
        <v>5748</v>
      </c>
      <c r="J73" s="102">
        <f>IFERROR('Raw data'!L7,0)</f>
        <v>-7012</v>
      </c>
      <c r="K73" s="102">
        <f>IFERROR('Raw data'!M7,0)</f>
        <v>6945</v>
      </c>
      <c r="L73" s="102">
        <f>IFERROR('Raw data'!N7,0)</f>
        <v>13706</v>
      </c>
    </row>
    <row r="74" spans="1:13" outlineLevel="2" x14ac:dyDescent="0.3">
      <c r="B74" s="101" t="s">
        <v>129</v>
      </c>
      <c r="C74" s="102">
        <f>IFERROR('Raw data'!E8,0)</f>
        <v>0</v>
      </c>
      <c r="D74" s="102">
        <f>IFERROR('Raw data'!F8,0)</f>
        <v>-520</v>
      </c>
      <c r="E74" s="102">
        <f>IFERROR('Raw data'!G8,0)</f>
        <v>0</v>
      </c>
      <c r="F74" s="102">
        <f>IFERROR('Raw data'!H8,0)</f>
        <v>0</v>
      </c>
      <c r="G74" s="102">
        <f>IFERROR('Raw data'!I8,0)</f>
        <v>0</v>
      </c>
      <c r="H74" s="102">
        <f>IFERROR('Raw data'!J8,0)</f>
        <v>0</v>
      </c>
      <c r="I74" s="102">
        <f>IFERROR('Raw data'!K8,0)</f>
        <v>0</v>
      </c>
      <c r="J74" s="102">
        <f>IFERROR('Raw data'!L8,0)</f>
        <v>0</v>
      </c>
      <c r="K74" s="102">
        <f>IFERROR('Raw data'!M8,0)</f>
        <v>0</v>
      </c>
      <c r="L74" s="102">
        <f>IFERROR('Raw data'!N8,0)</f>
        <v>0</v>
      </c>
    </row>
    <row r="75" spans="1:13" outlineLevel="2" x14ac:dyDescent="0.3">
      <c r="B75" s="101" t="s">
        <v>130</v>
      </c>
      <c r="C75" s="102">
        <f>IFERROR('Raw data'!E9,0)</f>
        <v>-398</v>
      </c>
      <c r="D75" s="102">
        <f>IFERROR('Raw data'!F9,0)</f>
        <v>5852</v>
      </c>
      <c r="E75" s="102">
        <f>IFERROR('Raw data'!G9,0)</f>
        <v>4727</v>
      </c>
      <c r="F75" s="102">
        <f>IFERROR('Raw data'!H9,0)</f>
        <v>494</v>
      </c>
      <c r="G75" s="102">
        <f>IFERROR('Raw data'!I9,0)</f>
        <v>4512</v>
      </c>
      <c r="H75" s="102">
        <f>IFERROR('Raw data'!J9,0)</f>
        <v>875</v>
      </c>
      <c r="I75" s="102">
        <f>IFERROR('Raw data'!K9,0)</f>
        <v>-4150</v>
      </c>
      <c r="J75" s="102">
        <f>IFERROR('Raw data'!L9,0)</f>
        <v>-4396</v>
      </c>
      <c r="K75" s="102">
        <f>IFERROR('Raw data'!M9,0)</f>
        <v>-2194</v>
      </c>
      <c r="L75" s="102">
        <f>IFERROR('Raw data'!N9,0)</f>
        <v>2760</v>
      </c>
    </row>
    <row r="76" spans="1:13" outlineLevel="2" x14ac:dyDescent="0.3">
      <c r="B76" s="101" t="s">
        <v>131</v>
      </c>
      <c r="C76" s="102">
        <f>IFERROR('Raw data'!E10,0)</f>
        <v>-3672</v>
      </c>
      <c r="D76" s="102">
        <f>IFERROR('Raw data'!F10,0)</f>
        <v>1313</v>
      </c>
      <c r="E76" s="102">
        <f>IFERROR('Raw data'!G10,0)</f>
        <v>3254</v>
      </c>
      <c r="F76" s="102">
        <f>IFERROR('Raw data'!H10,0)</f>
        <v>-6434</v>
      </c>
      <c r="G76" s="102">
        <f>IFERROR('Raw data'!I10,0)</f>
        <v>-7221</v>
      </c>
      <c r="H76" s="102">
        <f>IFERROR('Raw data'!J10,0)</f>
        <v>5065</v>
      </c>
      <c r="I76" s="102">
        <f>IFERROR('Raw data'!K10,0)</f>
        <v>-93</v>
      </c>
      <c r="J76" s="102">
        <f>IFERROR('Raw data'!L10,0)</f>
        <v>-10750</v>
      </c>
      <c r="K76" s="102">
        <f>IFERROR('Raw data'!M10,0)</f>
        <v>-3127</v>
      </c>
      <c r="L76" s="102">
        <f>IFERROR('Raw data'!N10,0)</f>
        <v>7325</v>
      </c>
    </row>
    <row r="77" spans="1:13" outlineLevel="2" x14ac:dyDescent="0.3">
      <c r="B77" t="s">
        <v>132</v>
      </c>
      <c r="C77" s="30">
        <f>IFERROR('Raw data'!E11,0)</f>
        <v>-4194</v>
      </c>
      <c r="D77" s="30">
        <f>IFERROR('Raw data'!F11,0)</f>
        <v>-2040</v>
      </c>
      <c r="E77" s="30">
        <f>IFERROR('Raw data'!G11,0)</f>
        <v>-1895</v>
      </c>
      <c r="F77" s="30">
        <f>IFERROR('Raw data'!H11,0)</f>
        <v>-3021</v>
      </c>
      <c r="G77" s="30">
        <f>IFERROR('Raw data'!I11,0)</f>
        <v>-2659</v>
      </c>
      <c r="H77" s="30">
        <f>IFERROR('Raw data'!J11,0)</f>
        <v>-1785</v>
      </c>
      <c r="I77" s="30">
        <f>IFERROR('Raw data'!K11,0)</f>
        <v>-2105</v>
      </c>
      <c r="J77" s="30">
        <f>IFERROR('Raw data'!L11,0)</f>
        <v>-1910</v>
      </c>
      <c r="K77" s="30">
        <f>IFERROR('Raw data'!M11,0)</f>
        <v>-3179</v>
      </c>
      <c r="L77" s="30">
        <f>IFERROR('Raw data'!N11,0)</f>
        <v>-4516</v>
      </c>
    </row>
    <row r="78" spans="1:13" outlineLevel="1" x14ac:dyDescent="0.3">
      <c r="B78" s="94" t="s">
        <v>155</v>
      </c>
      <c r="C78" s="201">
        <f>IFERROR(SUM(C70:C77),0)</f>
        <v>31860</v>
      </c>
      <c r="D78" s="201">
        <f t="shared" ref="D78:L78" si="22">IFERROR(SUM(D70:D77),0)</f>
        <v>39212</v>
      </c>
      <c r="E78" s="201">
        <f t="shared" si="22"/>
        <v>33454</v>
      </c>
      <c r="F78" s="201">
        <f t="shared" si="22"/>
        <v>17423</v>
      </c>
      <c r="G78" s="201">
        <f t="shared" si="22"/>
        <v>11671</v>
      </c>
      <c r="H78" s="201">
        <f t="shared" si="22"/>
        <v>31698</v>
      </c>
      <c r="I78" s="201">
        <f t="shared" si="22"/>
        <v>28907</v>
      </c>
      <c r="J78" s="201">
        <f t="shared" si="22"/>
        <v>3532</v>
      </c>
      <c r="K78" s="201">
        <f t="shared" si="22"/>
        <v>32261</v>
      </c>
      <c r="L78" s="201">
        <f t="shared" si="22"/>
        <v>75241</v>
      </c>
    </row>
    <row r="79" spans="1:13" outlineLevel="1" x14ac:dyDescent="0.3">
      <c r="B79" s="2"/>
      <c r="C79" s="38"/>
      <c r="D79" s="38"/>
      <c r="E79" s="38"/>
      <c r="F79" s="38"/>
      <c r="G79" s="38"/>
      <c r="H79" s="38"/>
      <c r="I79" s="38"/>
      <c r="J79" s="38"/>
      <c r="K79" s="38"/>
      <c r="L79" s="38"/>
    </row>
    <row r="80" spans="1:13" outlineLevel="1" x14ac:dyDescent="0.3">
      <c r="B80" s="2" t="s">
        <v>157</v>
      </c>
    </row>
    <row r="81" spans="2:12" outlineLevel="2" x14ac:dyDescent="0.3">
      <c r="B81" s="101" t="s">
        <v>134</v>
      </c>
      <c r="C81" s="102">
        <f>IFERROR('Raw data'!E14,0)</f>
        <v>-31962</v>
      </c>
      <c r="D81" s="102">
        <f>IFERROR('Raw data'!F14,0)</f>
        <v>-31503</v>
      </c>
      <c r="E81" s="102">
        <f>IFERROR('Raw data'!G14,0)</f>
        <v>-16072</v>
      </c>
      <c r="F81" s="102">
        <f>IFERROR('Raw data'!H14,0)</f>
        <v>-35079</v>
      </c>
      <c r="G81" s="102">
        <f>IFERROR('Raw data'!I14,0)</f>
        <v>-35304</v>
      </c>
      <c r="H81" s="102">
        <f>IFERROR('Raw data'!J14,0)</f>
        <v>-29702</v>
      </c>
      <c r="I81" s="102">
        <f>IFERROR('Raw data'!K14,0)</f>
        <v>-20205</v>
      </c>
      <c r="J81" s="102">
        <f>IFERROR('Raw data'!L14,0)</f>
        <v>-15168</v>
      </c>
      <c r="K81" s="102">
        <f>IFERROR('Raw data'!M14,0)</f>
        <v>-19230</v>
      </c>
      <c r="L81" s="102">
        <f>IFERROR('Raw data'!N14,0)</f>
        <v>-31414</v>
      </c>
    </row>
    <row r="82" spans="2:12" outlineLevel="2" x14ac:dyDescent="0.3">
      <c r="B82" s="101" t="s">
        <v>135</v>
      </c>
      <c r="C82" s="102">
        <f>IFERROR('Raw data'!E15,0)</f>
        <v>74</v>
      </c>
      <c r="D82" s="102">
        <f>IFERROR('Raw data'!F15,0)</f>
        <v>59</v>
      </c>
      <c r="E82" s="102">
        <f>IFERROR('Raw data'!G15,0)</f>
        <v>53</v>
      </c>
      <c r="F82" s="102">
        <f>IFERROR('Raw data'!H15,0)</f>
        <v>30</v>
      </c>
      <c r="G82" s="102">
        <f>IFERROR('Raw data'!I15,0)</f>
        <v>67</v>
      </c>
      <c r="H82" s="102">
        <f>IFERROR('Raw data'!J15,0)</f>
        <v>171</v>
      </c>
      <c r="I82" s="102">
        <f>IFERROR('Raw data'!K15,0)</f>
        <v>351</v>
      </c>
      <c r="J82" s="102">
        <f>IFERROR('Raw data'!L15,0)</f>
        <v>230</v>
      </c>
      <c r="K82" s="102">
        <f>IFERROR('Raw data'!M15,0)</f>
        <v>285</v>
      </c>
      <c r="L82" s="102">
        <f>IFERROR('Raw data'!N15,0)</f>
        <v>231</v>
      </c>
    </row>
    <row r="83" spans="2:12" outlineLevel="2" x14ac:dyDescent="0.3">
      <c r="B83" s="101" t="s">
        <v>136</v>
      </c>
      <c r="C83" s="102">
        <f>IFERROR('Raw data'!E16,0)</f>
        <v>-5461</v>
      </c>
      <c r="D83" s="102">
        <f>IFERROR('Raw data'!F16,0)</f>
        <v>-4728</v>
      </c>
      <c r="E83" s="102">
        <f>IFERROR('Raw data'!G16,0)</f>
        <v>-6</v>
      </c>
      <c r="F83" s="102">
        <f>IFERROR('Raw data'!H16,0)</f>
        <v>-329</v>
      </c>
      <c r="G83" s="102">
        <f>IFERROR('Raw data'!I16,0)</f>
        <v>-130</v>
      </c>
      <c r="H83" s="102">
        <f>IFERROR('Raw data'!J16,0)</f>
        <v>-1439</v>
      </c>
      <c r="I83" s="102">
        <f>IFERROR('Raw data'!K16,0)</f>
        <v>-7530</v>
      </c>
      <c r="J83" s="102">
        <f>IFERROR('Raw data'!L16,0)</f>
        <v>-3008</v>
      </c>
      <c r="K83" s="102">
        <f>IFERROR('Raw data'!M16,0)</f>
        <v>-50</v>
      </c>
      <c r="L83" s="102">
        <f>IFERROR('Raw data'!N16,0)</f>
        <v>-74</v>
      </c>
    </row>
    <row r="84" spans="2:12" outlineLevel="2" x14ac:dyDescent="0.3">
      <c r="B84" s="101" t="s">
        <v>137</v>
      </c>
      <c r="C84" s="102">
        <f>IFERROR('Raw data'!E17,0)</f>
        <v>42</v>
      </c>
      <c r="D84" s="102">
        <f>IFERROR('Raw data'!F17,0)</f>
        <v>89</v>
      </c>
      <c r="E84" s="102">
        <f>IFERROR('Raw data'!G17,0)</f>
        <v>1965</v>
      </c>
      <c r="F84" s="102">
        <f>IFERROR('Raw data'!H17,0)</f>
        <v>2381</v>
      </c>
      <c r="G84" s="102">
        <f>IFERROR('Raw data'!I17,0)</f>
        <v>5644</v>
      </c>
      <c r="H84" s="102">
        <f>IFERROR('Raw data'!J17,0)</f>
        <v>21</v>
      </c>
      <c r="I84" s="102">
        <f>IFERROR('Raw data'!K17,0)</f>
        <v>226</v>
      </c>
      <c r="J84" s="102">
        <f>IFERROR('Raw data'!L17,0)</f>
        <v>104</v>
      </c>
      <c r="K84" s="102">
        <f>IFERROR('Raw data'!M17,0)</f>
        <v>6895</v>
      </c>
      <c r="L84" s="102">
        <f>IFERROR('Raw data'!N17,0)</f>
        <v>10820</v>
      </c>
    </row>
    <row r="85" spans="2:12" outlineLevel="2" x14ac:dyDescent="0.3">
      <c r="B85" s="101" t="s">
        <v>138</v>
      </c>
      <c r="C85" s="102">
        <f>IFERROR('Raw data'!E18,0)</f>
        <v>698</v>
      </c>
      <c r="D85" s="102">
        <f>IFERROR('Raw data'!F18,0)</f>
        <v>731</v>
      </c>
      <c r="E85" s="102">
        <f>IFERROR('Raw data'!G18,0)</f>
        <v>638</v>
      </c>
      <c r="F85" s="102">
        <f>IFERROR('Raw data'!H18,0)</f>
        <v>690</v>
      </c>
      <c r="G85" s="102">
        <f>IFERROR('Raw data'!I18,0)</f>
        <v>761</v>
      </c>
      <c r="H85" s="102">
        <f>IFERROR('Raw data'!J18,0)</f>
        <v>1104</v>
      </c>
      <c r="I85" s="102">
        <f>IFERROR('Raw data'!K18,0)</f>
        <v>428</v>
      </c>
      <c r="J85" s="102">
        <f>IFERROR('Raw data'!L18,0)</f>
        <v>653</v>
      </c>
      <c r="K85" s="102">
        <f>IFERROR('Raw data'!M18,0)</f>
        <v>973</v>
      </c>
      <c r="L85" s="102">
        <f>IFERROR('Raw data'!N18,0)</f>
        <v>2493</v>
      </c>
    </row>
    <row r="86" spans="2:12" outlineLevel="2" x14ac:dyDescent="0.3">
      <c r="B86" s="101" t="s">
        <v>139</v>
      </c>
      <c r="C86" s="102">
        <f>IFERROR('Raw data'!E19,0)</f>
        <v>80</v>
      </c>
      <c r="D86" s="102">
        <f>IFERROR('Raw data'!F19,0)</f>
        <v>58</v>
      </c>
      <c r="E86" s="102">
        <f>IFERROR('Raw data'!G19,0)</f>
        <v>620</v>
      </c>
      <c r="F86" s="102">
        <f>IFERROR('Raw data'!H19,0)</f>
        <v>1797</v>
      </c>
      <c r="G86" s="102">
        <f>IFERROR('Raw data'!I19,0)</f>
        <v>232</v>
      </c>
      <c r="H86" s="102">
        <f>IFERROR('Raw data'!J19,0)</f>
        <v>21</v>
      </c>
      <c r="I86" s="102">
        <f>IFERROR('Raw data'!K19,0)</f>
        <v>18</v>
      </c>
      <c r="J86" s="102">
        <f>IFERROR('Raw data'!L19,0)</f>
        <v>32</v>
      </c>
      <c r="K86" s="102">
        <f>IFERROR('Raw data'!M19,0)</f>
        <v>46</v>
      </c>
      <c r="L86" s="102">
        <f>IFERROR('Raw data'!N19,0)</f>
        <v>47</v>
      </c>
    </row>
    <row r="87" spans="2:12" outlineLevel="2" x14ac:dyDescent="0.3">
      <c r="B87" s="101" t="s">
        <v>140</v>
      </c>
      <c r="C87" s="102">
        <f>IFERROR('Raw data'!E20,0)</f>
        <v>-160</v>
      </c>
      <c r="D87" s="102">
        <f>IFERROR('Raw data'!F20,0)</f>
        <v>0</v>
      </c>
      <c r="E87" s="102">
        <f>IFERROR('Raw data'!G20,0)</f>
        <v>-107</v>
      </c>
      <c r="F87" s="102">
        <f>IFERROR('Raw data'!H20,0)</f>
        <v>-4</v>
      </c>
      <c r="G87" s="102">
        <f>IFERROR('Raw data'!I20,0)</f>
        <v>-9</v>
      </c>
      <c r="H87" s="102">
        <f>IFERROR('Raw data'!J20,0)</f>
        <v>-606</v>
      </c>
      <c r="I87" s="102">
        <f>IFERROR('Raw data'!K20,0)</f>
        <v>-10</v>
      </c>
      <c r="J87" s="102">
        <f>IFERROR('Raw data'!L20,0)</f>
        <v>0</v>
      </c>
      <c r="K87" s="102">
        <f>IFERROR('Raw data'!M20,0)</f>
        <v>0</v>
      </c>
      <c r="L87" s="102">
        <f>IFERROR('Raw data'!N20,0)</f>
        <v>-150</v>
      </c>
    </row>
    <row r="88" spans="2:12" outlineLevel="2" x14ac:dyDescent="0.3">
      <c r="B88" s="101" t="s">
        <v>141</v>
      </c>
      <c r="C88" s="102">
        <f>IFERROR('Raw data'!E21,0)</f>
        <v>0</v>
      </c>
      <c r="D88" s="102">
        <f>IFERROR('Raw data'!F21,0)</f>
        <v>0</v>
      </c>
      <c r="E88" s="102">
        <f>IFERROR('Raw data'!G21,0)</f>
        <v>0</v>
      </c>
      <c r="F88" s="102">
        <f>IFERROR('Raw data'!H21,0)</f>
        <v>14</v>
      </c>
      <c r="G88" s="102">
        <f>IFERROR('Raw data'!I21,0)</f>
        <v>533</v>
      </c>
      <c r="H88" s="102">
        <f>IFERROR('Raw data'!J21,0)</f>
        <v>0</v>
      </c>
      <c r="I88" s="102">
        <f>IFERROR('Raw data'!K21,0)</f>
        <v>0</v>
      </c>
      <c r="J88" s="102">
        <f>IFERROR('Raw data'!L21,0)</f>
        <v>0</v>
      </c>
      <c r="K88" s="102">
        <f>IFERROR('Raw data'!M21,0)</f>
        <v>19</v>
      </c>
      <c r="L88" s="102">
        <f>IFERROR('Raw data'!N21,0)</f>
        <v>108</v>
      </c>
    </row>
    <row r="89" spans="2:12" outlineLevel="2" x14ac:dyDescent="0.3">
      <c r="B89" s="101" t="s">
        <v>142</v>
      </c>
      <c r="C89" s="102">
        <f>IFERROR('Raw data'!E22,0)</f>
        <v>0</v>
      </c>
      <c r="D89" s="102">
        <f>IFERROR('Raw data'!F22,0)</f>
        <v>-111</v>
      </c>
      <c r="E89" s="102">
        <f>IFERROR('Raw data'!G22,0)</f>
        <v>0</v>
      </c>
      <c r="F89" s="102">
        <f>IFERROR('Raw data'!H22,0)</f>
        <v>0</v>
      </c>
      <c r="G89" s="102">
        <f>IFERROR('Raw data'!I22,0)</f>
        <v>-8</v>
      </c>
      <c r="H89" s="102">
        <f>IFERROR('Raw data'!J22,0)</f>
        <v>-27</v>
      </c>
      <c r="I89" s="102">
        <f>IFERROR('Raw data'!K22,0)</f>
        <v>0</v>
      </c>
      <c r="J89" s="102">
        <f>IFERROR('Raw data'!L22,0)</f>
        <v>-98</v>
      </c>
      <c r="K89" s="102">
        <f>IFERROR('Raw data'!M22,0)</f>
        <v>0</v>
      </c>
      <c r="L89" s="102">
        <f>IFERROR('Raw data'!N22,0)</f>
        <v>0</v>
      </c>
    </row>
    <row r="90" spans="2:12" outlineLevel="2" x14ac:dyDescent="0.3">
      <c r="B90" s="101" t="s">
        <v>143</v>
      </c>
      <c r="C90" s="102">
        <f>IFERROR('Raw data'!E23,0)</f>
        <v>0</v>
      </c>
      <c r="D90" s="102">
        <f>IFERROR('Raw data'!F23,0)</f>
        <v>0</v>
      </c>
      <c r="E90" s="102">
        <f>IFERROR('Raw data'!G23,0)</f>
        <v>0</v>
      </c>
      <c r="F90" s="102">
        <f>IFERROR('Raw data'!H23,0)</f>
        <v>0</v>
      </c>
      <c r="G90" s="102">
        <f>IFERROR('Raw data'!I23,0)</f>
        <v>0</v>
      </c>
      <c r="H90" s="102">
        <f>IFERROR('Raw data'!J23,0)</f>
        <v>0</v>
      </c>
      <c r="I90" s="102">
        <f>IFERROR('Raw data'!K23,0)</f>
        <v>0</v>
      </c>
      <c r="J90" s="102">
        <f>IFERROR('Raw data'!L23,0)</f>
        <v>0</v>
      </c>
      <c r="K90" s="102">
        <f>IFERROR('Raw data'!M23,0)</f>
        <v>0</v>
      </c>
      <c r="L90" s="102">
        <f>IFERROR('Raw data'!N23,0)</f>
        <v>-24</v>
      </c>
    </row>
    <row r="91" spans="2:12" outlineLevel="2" x14ac:dyDescent="0.3">
      <c r="B91" t="s">
        <v>144</v>
      </c>
      <c r="C91" s="30">
        <f>IFERROR('Raw data'!E24,0)</f>
        <v>456</v>
      </c>
      <c r="D91" s="30">
        <f>IFERROR('Raw data'!F24,0)</f>
        <v>-1289</v>
      </c>
      <c r="E91" s="30">
        <f>IFERROR('Raw data'!G24,0)</f>
        <v>-26663</v>
      </c>
      <c r="F91" s="30">
        <f>IFERROR('Raw data'!H24,0)</f>
        <v>5360</v>
      </c>
      <c r="G91" s="30">
        <f>IFERROR('Raw data'!I24,0)</f>
        <v>7335</v>
      </c>
      <c r="H91" s="30">
        <f>IFERROR('Raw data'!J24,0)</f>
        <v>-2659</v>
      </c>
      <c r="I91" s="30">
        <f>IFERROR('Raw data'!K24,0)</f>
        <v>1051</v>
      </c>
      <c r="J91" s="30">
        <f>IFERROR('Raw data'!L24,0)</f>
        <v>12813</v>
      </c>
      <c r="K91" s="30">
        <f>IFERROR('Raw data'!M24,0)</f>
        <v>-4357</v>
      </c>
      <c r="L91" s="30">
        <f>IFERROR('Raw data'!N24,0)</f>
        <v>-4817</v>
      </c>
    </row>
    <row r="92" spans="2:12" outlineLevel="1" x14ac:dyDescent="0.3">
      <c r="B92" s="94" t="s">
        <v>158</v>
      </c>
      <c r="C92" s="202">
        <f>IFERROR(SUM(C81:C91),0)</f>
        <v>-36233</v>
      </c>
      <c r="D92" s="202">
        <f t="shared" ref="D92:L92" si="23">IFERROR(SUM(D81:D91),0)</f>
        <v>-36694</v>
      </c>
      <c r="E92" s="202">
        <f t="shared" si="23"/>
        <v>-39572</v>
      </c>
      <c r="F92" s="202">
        <f t="shared" si="23"/>
        <v>-25140</v>
      </c>
      <c r="G92" s="202">
        <f t="shared" si="23"/>
        <v>-20879</v>
      </c>
      <c r="H92" s="202">
        <f t="shared" si="23"/>
        <v>-33116</v>
      </c>
      <c r="I92" s="202">
        <f t="shared" si="23"/>
        <v>-25671</v>
      </c>
      <c r="J92" s="202">
        <f t="shared" si="23"/>
        <v>-4442</v>
      </c>
      <c r="K92" s="202">
        <f t="shared" si="23"/>
        <v>-15419</v>
      </c>
      <c r="L92" s="202">
        <f t="shared" si="23"/>
        <v>-22780</v>
      </c>
    </row>
    <row r="93" spans="2:12" outlineLevel="1" x14ac:dyDescent="0.3"/>
    <row r="94" spans="2:12" outlineLevel="1" x14ac:dyDescent="0.3">
      <c r="B94" s="2" t="s">
        <v>159</v>
      </c>
    </row>
    <row r="95" spans="2:12" outlineLevel="2" x14ac:dyDescent="0.3">
      <c r="B95" s="101" t="s">
        <v>146</v>
      </c>
      <c r="C95" s="102">
        <f>IFERROR('Raw data'!E26,0)</f>
        <v>0</v>
      </c>
      <c r="D95" s="102">
        <f>IFERROR('Raw data'!F26,0)</f>
        <v>7433</v>
      </c>
      <c r="E95" s="102">
        <f>IFERROR('Raw data'!G26,0)</f>
        <v>5</v>
      </c>
      <c r="F95" s="102">
        <f>IFERROR('Raw data'!H26,0)</f>
        <v>0</v>
      </c>
      <c r="G95" s="102">
        <f>IFERROR('Raw data'!I26,0)</f>
        <v>0</v>
      </c>
      <c r="H95" s="102">
        <f>IFERROR('Raw data'!J26,0)</f>
        <v>3889</v>
      </c>
      <c r="I95" s="102">
        <f>IFERROR('Raw data'!K26,0)</f>
        <v>2603</v>
      </c>
      <c r="J95" s="102">
        <f>IFERROR('Raw data'!L26,0)</f>
        <v>19</v>
      </c>
      <c r="K95" s="102">
        <f>IFERROR('Raw data'!M26,0)</f>
        <v>20</v>
      </c>
      <c r="L95" s="102">
        <f>IFERROR('Raw data'!N26,0)</f>
        <v>82</v>
      </c>
    </row>
    <row r="96" spans="2:12" outlineLevel="2" x14ac:dyDescent="0.3">
      <c r="B96" s="101" t="s">
        <v>147</v>
      </c>
      <c r="C96" s="102">
        <f>IFERROR('Raw data'!E27,0)</f>
        <v>-744</v>
      </c>
      <c r="D96" s="102">
        <f>IFERROR('Raw data'!F27,0)</f>
        <v>0</v>
      </c>
      <c r="E96" s="102">
        <f>IFERROR('Raw data'!G27,0)</f>
        <v>0</v>
      </c>
      <c r="F96" s="102">
        <f>IFERROR('Raw data'!H27,0)</f>
        <v>0</v>
      </c>
      <c r="G96" s="102">
        <f>IFERROR('Raw data'!I27,0)</f>
        <v>0</v>
      </c>
      <c r="H96" s="102">
        <f>IFERROR('Raw data'!J27,0)</f>
        <v>0</v>
      </c>
      <c r="I96" s="102">
        <f>IFERROR('Raw data'!K27,0)</f>
        <v>0</v>
      </c>
      <c r="J96" s="102">
        <f>IFERROR('Raw data'!L27,0)</f>
        <v>0</v>
      </c>
      <c r="K96" s="102">
        <f>IFERROR('Raw data'!M27,0)</f>
        <v>0</v>
      </c>
      <c r="L96" s="102">
        <f>IFERROR('Raw data'!N27,0)</f>
        <v>0</v>
      </c>
    </row>
    <row r="97" spans="2:12" outlineLevel="2" x14ac:dyDescent="0.3">
      <c r="B97" s="101" t="s">
        <v>148</v>
      </c>
      <c r="C97" s="102">
        <f>IFERROR('Raw data'!E28,0)</f>
        <v>36363</v>
      </c>
      <c r="D97" s="102">
        <f>IFERROR('Raw data'!F28,0)</f>
        <v>19519</v>
      </c>
      <c r="E97" s="102">
        <f>IFERROR('Raw data'!G28,0)</f>
        <v>33390</v>
      </c>
      <c r="F97" s="102">
        <f>IFERROR('Raw data'!H28,0)</f>
        <v>37482</v>
      </c>
      <c r="G97" s="102">
        <f>IFERROR('Raw data'!I28,0)</f>
        <v>51128</v>
      </c>
      <c r="H97" s="102">
        <f>IFERROR('Raw data'!J28,0)</f>
        <v>38297</v>
      </c>
      <c r="I97" s="102">
        <f>IFERROR('Raw data'!K28,0)</f>
        <v>46641</v>
      </c>
      <c r="J97" s="102">
        <f>IFERROR('Raw data'!L28,0)</f>
        <v>46578</v>
      </c>
      <c r="K97" s="102">
        <f>IFERROR('Raw data'!M28,0)</f>
        <v>43934</v>
      </c>
      <c r="L97" s="102">
        <f>IFERROR('Raw data'!N28,0)</f>
        <v>18747</v>
      </c>
    </row>
    <row r="98" spans="2:12" outlineLevel="2" x14ac:dyDescent="0.3">
      <c r="B98" s="101" t="s">
        <v>149</v>
      </c>
      <c r="C98" s="102">
        <f>IFERROR('Raw data'!E29,0)</f>
        <v>-23332</v>
      </c>
      <c r="D98" s="102">
        <f>IFERROR('Raw data'!F29,0)</f>
        <v>-24924</v>
      </c>
      <c r="E98" s="102">
        <f>IFERROR('Raw data'!G29,0)</f>
        <v>-21732</v>
      </c>
      <c r="F98" s="102">
        <f>IFERROR('Raw data'!H29,0)</f>
        <v>-29964</v>
      </c>
      <c r="G98" s="102">
        <f>IFERROR('Raw data'!I29,0)</f>
        <v>-35198</v>
      </c>
      <c r="H98" s="102">
        <f>IFERROR('Raw data'!J29,0)</f>
        <v>-29847</v>
      </c>
      <c r="I98" s="102">
        <f>IFERROR('Raw data'!K29,0)</f>
        <v>-29709</v>
      </c>
      <c r="J98" s="102">
        <f>IFERROR('Raw data'!L29,0)</f>
        <v>-42816</v>
      </c>
      <c r="K98" s="102">
        <f>IFERROR('Raw data'!M29,0)</f>
        <v>-62557</v>
      </c>
      <c r="L98" s="102">
        <f>IFERROR('Raw data'!N29,0)</f>
        <v>-47332</v>
      </c>
    </row>
    <row r="99" spans="2:12" outlineLevel="2" x14ac:dyDescent="0.3">
      <c r="B99" s="101" t="s">
        <v>150</v>
      </c>
      <c r="C99" s="102">
        <f>IFERROR('Raw data'!E30,0)</f>
        <v>-6307</v>
      </c>
      <c r="D99" s="102">
        <f>IFERROR('Raw data'!F30,0)</f>
        <v>-5716</v>
      </c>
      <c r="E99" s="102">
        <f>IFERROR('Raw data'!G30,0)</f>
        <v>-5336</v>
      </c>
      <c r="F99" s="102">
        <f>IFERROR('Raw data'!H30,0)</f>
        <v>-5411</v>
      </c>
      <c r="G99" s="102">
        <f>IFERROR('Raw data'!I30,0)</f>
        <v>-7005</v>
      </c>
      <c r="H99" s="102">
        <f>IFERROR('Raw data'!J30,0)</f>
        <v>-7518</v>
      </c>
      <c r="I99" s="102">
        <f>IFERROR('Raw data'!K30,0)</f>
        <v>-8123</v>
      </c>
      <c r="J99" s="102">
        <f>IFERROR('Raw data'!L30,0)</f>
        <v>-9251</v>
      </c>
      <c r="K99" s="102">
        <f>IFERROR('Raw data'!M30,0)</f>
        <v>-9336</v>
      </c>
      <c r="L99" s="102">
        <f>IFERROR('Raw data'!N30,0)</f>
        <v>-9332</v>
      </c>
    </row>
    <row r="100" spans="2:12" outlineLevel="2" x14ac:dyDescent="0.3">
      <c r="B100" s="101" t="s">
        <v>151</v>
      </c>
      <c r="C100" s="102">
        <f>IFERROR('Raw data'!E31,0)</f>
        <v>-720</v>
      </c>
      <c r="D100" s="102">
        <f>IFERROR('Raw data'!F31,0)</f>
        <v>-108</v>
      </c>
      <c r="E100" s="102">
        <f>IFERROR('Raw data'!G31,0)</f>
        <v>-121</v>
      </c>
      <c r="F100" s="102">
        <f>IFERROR('Raw data'!H31,0)</f>
        <v>-96</v>
      </c>
      <c r="G100" s="102">
        <f>IFERROR('Raw data'!I31,0)</f>
        <v>-95</v>
      </c>
      <c r="H100" s="102">
        <f>IFERROR('Raw data'!J31,0)</f>
        <v>-57</v>
      </c>
      <c r="I100" s="102">
        <f>IFERROR('Raw data'!K31,0)</f>
        <v>-30</v>
      </c>
      <c r="J100" s="102">
        <f>IFERROR('Raw data'!L31,0)</f>
        <v>-100</v>
      </c>
      <c r="K100" s="102">
        <f>IFERROR('Raw data'!M31,0)</f>
        <v>-141</v>
      </c>
      <c r="L100" s="102">
        <f>IFERROR('Raw data'!N31,0)</f>
        <v>-1059</v>
      </c>
    </row>
    <row r="101" spans="2:12" outlineLevel="2" x14ac:dyDescent="0.3">
      <c r="B101" s="101" t="s">
        <v>152</v>
      </c>
      <c r="C101" s="102">
        <f>IFERROR('Raw data'!E32,0)</f>
        <v>0</v>
      </c>
      <c r="D101" s="102">
        <f>IFERROR('Raw data'!F32,0)</f>
        <v>0</v>
      </c>
      <c r="E101" s="102">
        <f>IFERROR('Raw data'!G32,0)</f>
        <v>0</v>
      </c>
      <c r="F101" s="102">
        <f>IFERROR('Raw data'!H32,0)</f>
        <v>0</v>
      </c>
      <c r="G101" s="102">
        <f>IFERROR('Raw data'!I32,0)</f>
        <v>0</v>
      </c>
      <c r="H101" s="102">
        <f>IFERROR('Raw data'!J32,0)</f>
        <v>-1346</v>
      </c>
      <c r="I101" s="102">
        <f>IFERROR('Raw data'!K32,0)</f>
        <v>-1477</v>
      </c>
      <c r="J101" s="102">
        <f>IFERROR('Raw data'!L32,0)</f>
        <v>-1559</v>
      </c>
      <c r="K101" s="102">
        <f>IFERROR('Raw data'!M32,0)</f>
        <v>-1517</v>
      </c>
      <c r="L101" s="102">
        <f>IFERROR('Raw data'!N32,0)</f>
        <v>-1924</v>
      </c>
    </row>
    <row r="102" spans="2:12" outlineLevel="2" x14ac:dyDescent="0.3">
      <c r="B102" t="s">
        <v>153</v>
      </c>
      <c r="C102" s="30">
        <f>IFERROR('Raw data'!E33,0)</f>
        <v>-57</v>
      </c>
      <c r="D102" s="30">
        <f>IFERROR('Raw data'!F33,0)</f>
        <v>0</v>
      </c>
      <c r="E102" s="30">
        <f>IFERROR('Raw data'!G33,0)</f>
        <v>0</v>
      </c>
      <c r="F102" s="30">
        <f>IFERROR('Raw data'!H33,0)</f>
        <v>0</v>
      </c>
      <c r="G102" s="30">
        <f>IFERROR('Raw data'!I33,0)</f>
        <v>0</v>
      </c>
      <c r="H102" s="30">
        <f>IFERROR('Raw data'!J33,0)</f>
        <v>-29</v>
      </c>
      <c r="I102" s="30">
        <f>IFERROR('Raw data'!K33,0)</f>
        <v>0</v>
      </c>
      <c r="J102" s="30">
        <f>IFERROR('Raw data'!L33,0)</f>
        <v>3750</v>
      </c>
      <c r="K102" s="30">
        <f>IFERROR('Raw data'!M33,0)</f>
        <v>3355</v>
      </c>
      <c r="L102" s="30">
        <f>IFERROR('Raw data'!N33,0)</f>
        <v>3812</v>
      </c>
    </row>
    <row r="103" spans="2:12" outlineLevel="1" x14ac:dyDescent="0.3">
      <c r="B103" s="94" t="s">
        <v>160</v>
      </c>
      <c r="C103" s="201">
        <f>SUM(C95:C102)</f>
        <v>5203</v>
      </c>
      <c r="D103" s="201">
        <f t="shared" ref="D103:L103" si="24">SUM(D95:D102)</f>
        <v>-3796</v>
      </c>
      <c r="E103" s="201">
        <f t="shared" si="24"/>
        <v>6206</v>
      </c>
      <c r="F103" s="201">
        <f t="shared" si="24"/>
        <v>2011</v>
      </c>
      <c r="G103" s="201">
        <f t="shared" si="24"/>
        <v>8830</v>
      </c>
      <c r="H103" s="201">
        <f t="shared" si="24"/>
        <v>3389</v>
      </c>
      <c r="I103" s="201">
        <f t="shared" si="24"/>
        <v>9905</v>
      </c>
      <c r="J103" s="201">
        <f t="shared" si="24"/>
        <v>-3379</v>
      </c>
      <c r="K103" s="201">
        <f t="shared" si="24"/>
        <v>-26242</v>
      </c>
      <c r="L103" s="201">
        <f t="shared" si="24"/>
        <v>-37006</v>
      </c>
    </row>
    <row r="104" spans="2:12" outlineLevel="1" x14ac:dyDescent="0.3"/>
    <row r="105" spans="2:12" ht="15" outlineLevel="1" thickBot="1" x14ac:dyDescent="0.35">
      <c r="B105" s="98" t="s">
        <v>161</v>
      </c>
      <c r="C105" s="100">
        <f>IFERROR(C78+C92+C103,0)</f>
        <v>830</v>
      </c>
      <c r="D105" s="100">
        <f t="shared" ref="D105:L105" si="25">IFERROR(D78+D92+D103,0)</f>
        <v>-1278</v>
      </c>
      <c r="E105" s="100">
        <f t="shared" si="25"/>
        <v>88</v>
      </c>
      <c r="F105" s="100">
        <f t="shared" si="25"/>
        <v>-5706</v>
      </c>
      <c r="G105" s="100">
        <f t="shared" si="25"/>
        <v>-378</v>
      </c>
      <c r="H105" s="100">
        <f t="shared" si="25"/>
        <v>1971</v>
      </c>
      <c r="I105" s="100">
        <f t="shared" si="25"/>
        <v>13141</v>
      </c>
      <c r="J105" s="100">
        <f t="shared" si="25"/>
        <v>-4289</v>
      </c>
      <c r="K105" s="100">
        <f t="shared" si="25"/>
        <v>-9400</v>
      </c>
      <c r="L105" s="100">
        <f t="shared" si="25"/>
        <v>15455</v>
      </c>
    </row>
  </sheetData>
  <mergeCells count="1">
    <mergeCell ref="B2:M2"/>
  </mergeCells>
  <dataValidations count="1">
    <dataValidation allowBlank="1" showInputMessage="1" showErrorMessage="1" prompt="Profit available for equity shareholder " sqref="B33" xr:uid="{0F2D9A24-8780-41D5-B8E9-250A6BD1C563}"/>
  </dataValidations>
  <pageMargins left="0.7" right="0.7" top="0.75" bottom="0.75" header="0.3" footer="0.3"/>
  <pageSetup orientation="portrait" r:id="rId1"/>
  <ignoredErrors>
    <ignoredError sqref="M6 M9 C15 M18 M21 M3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8519-1EAC-491C-B381-7D0C8339EE3D}">
  <sheetPr>
    <tabColor theme="4" tint="0.59999389629810485"/>
  </sheetPr>
  <dimension ref="B2:O41"/>
  <sheetViews>
    <sheetView showGridLines="0" workbookViewId="0">
      <pane ySplit="3" topLeftCell="A4" activePane="bottomLeft" state="frozen"/>
      <selection pane="bottomLeft" activeCell="Q11" sqref="Q11"/>
    </sheetView>
  </sheetViews>
  <sheetFormatPr defaultRowHeight="14.4" x14ac:dyDescent="0.3"/>
  <cols>
    <col min="1" max="1" width="1.88671875" customWidth="1"/>
    <col min="2" max="2" width="27.6640625" customWidth="1"/>
    <col min="3" max="3" width="12" bestFit="1" customWidth="1"/>
    <col min="9" max="10" width="9.6640625" bestFit="1" customWidth="1"/>
    <col min="13" max="13" width="17.5546875" customWidth="1"/>
    <col min="14" max="15" width="10.6640625" bestFit="1" customWidth="1"/>
  </cols>
  <sheetData>
    <row r="2" spans="2:15" x14ac:dyDescent="0.3">
      <c r="B2" s="193" t="str">
        <f>"Ratio Analysis -"&amp;'Data Sheet'!B1</f>
        <v>Ratio Analysis -TATA MOTORS LTD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</row>
    <row r="3" spans="2:15" x14ac:dyDescent="0.3">
      <c r="B3" s="26" t="s">
        <v>93</v>
      </c>
      <c r="C3" s="27">
        <f>'Data Sheet'!B16</f>
        <v>42094</v>
      </c>
      <c r="D3" s="27">
        <f>'Data Sheet'!C16</f>
        <v>42460</v>
      </c>
      <c r="E3" s="27">
        <f>'Data Sheet'!D16</f>
        <v>42825</v>
      </c>
      <c r="F3" s="27">
        <f>'Data Sheet'!E16</f>
        <v>43190</v>
      </c>
      <c r="G3" s="27">
        <f>'Data Sheet'!F16</f>
        <v>43555</v>
      </c>
      <c r="H3" s="27">
        <f>'Data Sheet'!G16</f>
        <v>43921</v>
      </c>
      <c r="I3" s="27">
        <f>'Data Sheet'!H16</f>
        <v>44286</v>
      </c>
      <c r="J3" s="27">
        <f>'Data Sheet'!I16</f>
        <v>44651</v>
      </c>
      <c r="K3" s="27">
        <f>'Data Sheet'!J16</f>
        <v>45016</v>
      </c>
      <c r="L3" s="27">
        <f>'Data Sheet'!K16</f>
        <v>45382</v>
      </c>
      <c r="M3" s="28"/>
      <c r="N3" s="28" t="s">
        <v>195</v>
      </c>
      <c r="O3" s="28" t="s">
        <v>196</v>
      </c>
    </row>
    <row r="5" spans="2:15" x14ac:dyDescent="0.3">
      <c r="B5" s="48" t="s">
        <v>162</v>
      </c>
      <c r="C5" s="48"/>
      <c r="D5" s="49">
        <f>IFERROR(HistoricalFs!D7,0)</f>
        <v>3.75690010654397E-2</v>
      </c>
      <c r="E5" s="49">
        <f>IFERROR(HistoricalFs!E7,0)</f>
        <v>-1.2280329732469508E-2</v>
      </c>
      <c r="F5" s="49">
        <f>IFERROR(HistoricalFs!F7,0)</f>
        <v>8.104774581985974E-2</v>
      </c>
      <c r="G5" s="49">
        <f>IFERROR(HistoricalFs!G7,0)</f>
        <v>3.5629919045237157E-2</v>
      </c>
      <c r="H5" s="49">
        <f>IFERROR(HistoricalFs!H7,0)</f>
        <v>-0.135360159555724</v>
      </c>
      <c r="I5" s="49">
        <f>IFERROR(HistoricalFs!I7,0)</f>
        <v>-4.3181168490336042E-2</v>
      </c>
      <c r="J5" s="49">
        <f>IFERROR(HistoricalFs!J7,0)</f>
        <v>0.11472967306158344</v>
      </c>
      <c r="K5" s="49">
        <f>IFERROR(HistoricalFs!K7,0)</f>
        <v>0.24245815155859707</v>
      </c>
      <c r="L5" s="49">
        <f>IFERROR(HistoricalFs!L7,0)</f>
        <v>0.26580803363974326</v>
      </c>
      <c r="M5" s="48"/>
      <c r="N5" s="49">
        <f>IFERROR(AVERAGE(D5:L5),0)</f>
        <v>6.5157874045770087E-2</v>
      </c>
      <c r="O5" s="49">
        <f>IFERROR(MEDIAN(C5:L5),0)</f>
        <v>3.75690010654397E-2</v>
      </c>
    </row>
    <row r="6" spans="2:15" x14ac:dyDescent="0.3">
      <c r="B6" t="s">
        <v>163</v>
      </c>
      <c r="D6" s="50">
        <f>IFERROR(HistoricalFs!D18/HistoricalFs!C18-1,0)</f>
        <v>-2.1494113584437979E-2</v>
      </c>
      <c r="E6" s="50">
        <f>IFERROR(HistoricalFs!E18/HistoricalFs!D18-1,0)</f>
        <v>-0.22936587208052905</v>
      </c>
      <c r="F6" s="50">
        <f>IFERROR(HistoricalFs!F18/HistoricalFs!E18-1,0)</f>
        <v>6.3165689322506102E-2</v>
      </c>
      <c r="G6" s="50">
        <f>IFERROR(HistoricalFs!G18/HistoricalFs!F18-1,0)</f>
        <v>-0.21595203460649259</v>
      </c>
      <c r="H6" s="50">
        <f>IFERROR(HistoricalFs!H18/HistoricalFs!G18-1,0)</f>
        <v>-0.27072537547138131</v>
      </c>
      <c r="I6" s="50">
        <f>IFERROR(HistoricalFs!I18/HistoricalFs!H18-1,0)</f>
        <v>0.79503554497758966</v>
      </c>
      <c r="J6" s="50">
        <f>IFERROR(HistoricalFs!J18/HistoricalFs!I18-1,0)</f>
        <v>-0.234374182150762</v>
      </c>
      <c r="K6" s="50">
        <f>IFERROR(HistoricalFs!K18/HistoricalFs!J18-1,0)</f>
        <v>0.28704223973294352</v>
      </c>
      <c r="L6" s="50">
        <f>IFERROR(HistoricalFs!L18/HistoricalFs!K18-1,0)</f>
        <v>0.87134505497269021</v>
      </c>
      <c r="N6" s="50">
        <f t="shared" ref="N6:N9" si="0">IFERROR(AVERAGE(D6:L6),0)</f>
        <v>0.11607521679023629</v>
      </c>
      <c r="O6" s="50">
        <f t="shared" ref="O6:O9" si="1">IFERROR(MEDIAN(C6:L6),0)</f>
        <v>-2.1494113584437979E-2</v>
      </c>
    </row>
    <row r="7" spans="2:15" x14ac:dyDescent="0.3">
      <c r="B7" t="s">
        <v>164</v>
      </c>
      <c r="D7" s="50">
        <f>IFERROR(HistoricalFs!D27/HistoricalFs!C27-1,0)</f>
        <v>-0.19978245260625749</v>
      </c>
      <c r="E7" s="50">
        <f>IFERROR(HistoricalFs!E27/HistoricalFs!D27-1,0)</f>
        <v>-0.55668251823863213</v>
      </c>
      <c r="F7" s="50">
        <f>IFERROR(HistoricalFs!F27/HistoricalFs!E27-1,0)</f>
        <v>-0.29861436616351744</v>
      </c>
      <c r="G7" s="50">
        <f>IFERROR(HistoricalFs!G27/HistoricalFs!F27-1,0)</f>
        <v>-1.897095149646705</v>
      </c>
      <c r="H7" s="50">
        <f>IFERROR(HistoricalFs!H27/HistoricalFs!G27-1,0)</f>
        <v>1.2800251873039095</v>
      </c>
      <c r="I7" s="50">
        <f>IFERROR(HistoricalFs!I27/HistoricalFs!H27-1,0)</f>
        <v>-1.0602479570180365</v>
      </c>
      <c r="J7" s="50">
        <f>IFERROR(HistoricalFs!J27/HistoricalFs!I27-1,0)</f>
        <v>-15.64914925025267</v>
      </c>
      <c r="K7" s="50">
        <f>IFERROR(HistoricalFs!K27/HistoricalFs!J27-1,0)</f>
        <v>-0.65313668793078505</v>
      </c>
      <c r="L7" s="50">
        <f>IFERROR(HistoricalFs!L27/HistoricalFs!K27-1,0)</f>
        <v>-7.8141215397976129</v>
      </c>
      <c r="N7" s="50">
        <f t="shared" si="0"/>
        <v>-2.9832005260389232</v>
      </c>
      <c r="O7" s="50">
        <f t="shared" si="1"/>
        <v>-0.65313668793078505</v>
      </c>
    </row>
    <row r="8" spans="2:15" x14ac:dyDescent="0.3">
      <c r="B8" t="s">
        <v>165</v>
      </c>
      <c r="D8" s="50">
        <f>IFERROR(HistoricalFs!D33/HistoricalFs!C33-1,0)</f>
        <v>3.1824673563310757E-2</v>
      </c>
      <c r="E8" s="50">
        <f>IFERROR(HistoricalFs!E33/HistoricalFs!D33-1,0)</f>
        <v>-0.69539895165986787</v>
      </c>
      <c r="F8" s="50">
        <f>IFERROR(HistoricalFs!F33/HistoricalFs!E33-1,0)</f>
        <v>-0.79011124197155724</v>
      </c>
      <c r="G8" s="50">
        <f>IFERROR(HistoricalFs!G33/HistoricalFs!F33-1,0)</f>
        <v>-3.5528470983790919</v>
      </c>
      <c r="H8" s="50">
        <f>IFERROR(HistoricalFs!H33/HistoricalFs!G33-1,0)</f>
        <v>3.9286702707513577</v>
      </c>
      <c r="I8" s="50">
        <f>IFERROR(HistoricalFs!I33/HistoricalFs!H33-1,0)</f>
        <v>-0.82862505348950144</v>
      </c>
      <c r="J8" s="50">
        <f>IFERROR(HistoricalFs!J33/HistoricalFs!I33-1,0)</f>
        <v>6.1952157445306248</v>
      </c>
      <c r="K8" s="50">
        <f>IFERROR(HistoricalFs!K33/HistoricalFs!J33-1,0)</f>
        <v>-0.7090436533357708</v>
      </c>
      <c r="L8" s="50">
        <f>IFERROR(HistoricalFs!L33/HistoricalFs!K33-1,0)</f>
        <v>-7.5761027654059525</v>
      </c>
      <c r="N8" s="50">
        <f t="shared" si="0"/>
        <v>-0.44404645282182759</v>
      </c>
      <c r="O8" s="50">
        <f t="shared" si="1"/>
        <v>-0.7090436533357708</v>
      </c>
    </row>
    <row r="9" spans="2:15" x14ac:dyDescent="0.3">
      <c r="B9" s="51" t="s">
        <v>166</v>
      </c>
      <c r="C9" s="51"/>
      <c r="D9" s="52">
        <f>IFERROR(HistoricalFs!D41/HistoricalFs!C41-1,0)</f>
        <v>0</v>
      </c>
      <c r="E9" s="52">
        <f>IFERROR(HistoricalFs!E41/HistoricalFs!D41-1,0)</f>
        <v>-1</v>
      </c>
      <c r="F9" s="52">
        <f>IFERROR(HistoricalFs!F41/HistoricalFs!E41-1,0)</f>
        <v>0</v>
      </c>
      <c r="G9" s="52">
        <f>IFERROR(HistoricalFs!G41/HistoricalFs!F41-1,0)</f>
        <v>0</v>
      </c>
      <c r="H9" s="52">
        <f>IFERROR(HistoricalFs!H41/HistoricalFs!G41-1,0)</f>
        <v>0</v>
      </c>
      <c r="I9" s="52">
        <f>IFERROR(HistoricalFs!I41/HistoricalFs!H41-1,0)</f>
        <v>0</v>
      </c>
      <c r="J9" s="52">
        <f>IFERROR(HistoricalFs!J41/HistoricalFs!I41-1,0)</f>
        <v>0</v>
      </c>
      <c r="K9" s="52">
        <f>IFERROR(HistoricalFs!K41/HistoricalFs!J41-1,0)</f>
        <v>0</v>
      </c>
      <c r="L9" s="52">
        <f>IFERROR(HistoricalFs!L41/HistoricalFs!K41-1,0)</f>
        <v>5.0994148647671187</v>
      </c>
      <c r="M9" s="51"/>
      <c r="N9" s="52">
        <f t="shared" si="0"/>
        <v>0.45549054052967985</v>
      </c>
      <c r="O9" s="52">
        <f t="shared" si="1"/>
        <v>0</v>
      </c>
    </row>
    <row r="10" spans="2:15" x14ac:dyDescent="0.3">
      <c r="N10" s="46"/>
    </row>
    <row r="11" spans="2:15" x14ac:dyDescent="0.3">
      <c r="B11" s="48" t="s">
        <v>167</v>
      </c>
      <c r="C11" s="49">
        <f>IFERROR(HistoricalFs!C13,0)</f>
        <v>0.22914703499762759</v>
      </c>
      <c r="D11" s="49">
        <f>IFERROR(HistoricalFs!D13,0)</f>
        <v>0.24734524196690946</v>
      </c>
      <c r="E11" s="49">
        <f>IFERROR(HistoricalFs!E13,0)</f>
        <v>0.23819078253229964</v>
      </c>
      <c r="F11" s="49">
        <f>IFERROR(HistoricalFs!F13,0)</f>
        <v>0.21649990080619999</v>
      </c>
      <c r="G11" s="49">
        <f>IFERROR(HistoricalFs!G13,0)</f>
        <v>0.19571167496416494</v>
      </c>
      <c r="H11" s="49">
        <f>IFERROR(HistoricalFs!H13,0)</f>
        <v>0.19417127271491774</v>
      </c>
      <c r="I11" s="49">
        <f>IFERROR(HistoricalFs!I13,0)</f>
        <v>0.2180538622208833</v>
      </c>
      <c r="J11" s="49">
        <f>IFERROR(HistoricalFs!J13,0)</f>
        <v>0.19807108271747378</v>
      </c>
      <c r="K11" s="49">
        <f>IFERROR(HistoricalFs!K13,0)</f>
        <v>0.20685017994636876</v>
      </c>
      <c r="L11" s="49">
        <f>IFERROR(HistoricalFs!L13,0)</f>
        <v>0.23605714704961514</v>
      </c>
      <c r="M11" s="48"/>
      <c r="N11" s="49">
        <f>IFERROR(AVERAGE(C11:L11),0)</f>
        <v>0.21800981799164604</v>
      </c>
      <c r="O11" s="49">
        <f>IFERROR(MEDIAN(C11:L11),0)</f>
        <v>0.21727688151354163</v>
      </c>
    </row>
    <row r="12" spans="2:15" x14ac:dyDescent="0.3">
      <c r="B12" t="s">
        <v>168</v>
      </c>
      <c r="C12" s="50">
        <f>IFERROR(HistoricalFs!C19,0)</f>
        <v>0.14910625508580397</v>
      </c>
      <c r="D12" s="50">
        <f>IFERROR(HistoricalFs!D19,0)</f>
        <v>0.14061845347443788</v>
      </c>
      <c r="E12" s="50">
        <f>IFERROR(HistoricalFs!E19,0)</f>
        <v>0.10971268723777329</v>
      </c>
      <c r="F12" s="50">
        <f>IFERROR(HistoricalFs!F19,0)</f>
        <v>0.10789788444182975</v>
      </c>
      <c r="G12" s="50">
        <f>IFERROR(HistoricalFs!G19,0)</f>
        <v>8.1686628795807431E-2</v>
      </c>
      <c r="H12" s="50">
        <f>IFERROR(HistoricalFs!H19,0)</f>
        <v>6.8898034485042198E-2</v>
      </c>
      <c r="I12" s="50">
        <f>IFERROR(HistoricalFs!I19,0)</f>
        <v>0.12925583904385496</v>
      </c>
      <c r="J12" s="50">
        <f>IFERROR(HistoricalFs!J19,0)</f>
        <v>8.877632835227646E-2</v>
      </c>
      <c r="K12" s="50">
        <f>IFERROR(HistoricalFs!K19,0)</f>
        <v>9.1961958102532049E-2</v>
      </c>
      <c r="L12" s="50">
        <f>IFERROR(HistoricalFs!L19,0)</f>
        <v>0.13595470321509878</v>
      </c>
      <c r="N12" s="50">
        <f t="shared" ref="N12:N15" si="2">IFERROR(AVERAGE(C12:L12),0)</f>
        <v>0.11038687722344567</v>
      </c>
      <c r="O12" s="50">
        <f t="shared" ref="O12:O19" si="3">IFERROR(MEDIAN(C12:L12),0)</f>
        <v>0.10880528583980152</v>
      </c>
    </row>
    <row r="13" spans="2:15" x14ac:dyDescent="0.3">
      <c r="B13" t="s">
        <v>169</v>
      </c>
      <c r="C13" s="53">
        <f>IFERROR((HistoricalFs!C18-HistoricalFs!C24)/HistoricalFs!C6,0)</f>
        <v>9.8229670900837146E-2</v>
      </c>
      <c r="D13" s="53">
        <f>IFERROR((HistoricalFs!D18-HistoricalFs!D24)/HistoricalFs!D6,0)</f>
        <v>7.941702777851016E-2</v>
      </c>
      <c r="E13" s="53">
        <f>IFERROR((HistoricalFs!E18-HistoricalFs!E24)/HistoricalFs!E6,0)</f>
        <v>4.3322300645279484E-2</v>
      </c>
      <c r="F13" s="53">
        <f>IFERROR((HistoricalFs!F18-HistoricalFs!F24)/HistoricalFs!F6,0)</f>
        <v>3.3970412259310953E-2</v>
      </c>
      <c r="G13" s="53">
        <f>IFERROR((HistoricalFs!G18-HistoricalFs!G24)/HistoricalFs!G6,0)</f>
        <v>3.5560233478087663E-3</v>
      </c>
      <c r="H13" s="53">
        <f>IFERROR((HistoricalFs!H18-HistoricalFs!H24)/HistoricalFs!H6,0)</f>
        <v>-1.3170363258273456E-2</v>
      </c>
      <c r="I13" s="53">
        <f>IFERROR((HistoricalFs!I18-HistoricalFs!I24)/HistoricalFs!I6,0)</f>
        <v>3.4991608110258483E-2</v>
      </c>
      <c r="J13" s="53">
        <f>IFERROR((HistoricalFs!J18-HistoricalFs!J24)/HistoricalFs!J6,0)</f>
        <v>-4.1514992694289269E-4</v>
      </c>
      <c r="K13" s="53">
        <f>IFERROR((HistoricalFs!K18-HistoricalFs!K24)/HistoricalFs!K6,0)</f>
        <v>2.0104346955433228E-2</v>
      </c>
      <c r="L13" s="53">
        <f>IFERROR((HistoricalFs!L18-HistoricalFs!L24)/HistoricalFs!L6,0)</f>
        <v>7.3683863437114389E-2</v>
      </c>
      <c r="N13" s="50">
        <f t="shared" si="2"/>
        <v>3.7368974024933624E-2</v>
      </c>
      <c r="O13" s="50">
        <f t="shared" si="3"/>
        <v>3.4481010184784722E-2</v>
      </c>
    </row>
    <row r="14" spans="2:15" x14ac:dyDescent="0.3">
      <c r="B14" t="s">
        <v>170</v>
      </c>
      <c r="C14" s="50">
        <f>IFERROR(HistoricalFs!C28,0)</f>
        <v>7.9756085085905037E-2</v>
      </c>
      <c r="D14" s="50">
        <f>IFERROR(HistoricalFs!D28,0)</f>
        <v>6.1511300676516931E-2</v>
      </c>
      <c r="E14" s="50">
        <f>IFERROR(HistoricalFs!E28,0)</f>
        <v>2.7608071132565179E-2</v>
      </c>
      <c r="F14" s="50">
        <f>IFERROR(HistoricalFs!F28,0)</f>
        <v>1.7912163958707913E-2</v>
      </c>
      <c r="G14" s="50">
        <f>IFERROR(HistoricalFs!G28,0)</f>
        <v>-1.5516078776333117E-2</v>
      </c>
      <c r="H14" s="50">
        <f>IFERROR(HistoricalFs!H28,0)</f>
        <v>-4.0915360088026265E-2</v>
      </c>
      <c r="I14" s="50">
        <f>IFERROR(HistoricalFs!I28,0)</f>
        <v>2.5763151547420113E-3</v>
      </c>
      <c r="J14" s="50">
        <f>IFERROR(HistoricalFs!J28,0)</f>
        <v>-3.3856482095653805E-2</v>
      </c>
      <c r="K14" s="50">
        <f>IFERROR(HistoricalFs!K28,0)</f>
        <v>-9.4518849588445895E-3</v>
      </c>
      <c r="L14" s="50">
        <f>IFERROR(HistoricalFs!L28,0)</f>
        <v>5.0881564327377643E-2</v>
      </c>
      <c r="N14" s="50">
        <f t="shared" si="2"/>
        <v>1.4050569441695698E-2</v>
      </c>
      <c r="O14" s="50">
        <f t="shared" si="3"/>
        <v>1.0244239556724962E-2</v>
      </c>
    </row>
    <row r="15" spans="2:15" x14ac:dyDescent="0.3">
      <c r="B15" s="51" t="s">
        <v>171</v>
      </c>
      <c r="C15" s="52">
        <f>IFERROR(HistoricalFs!C34,0)</f>
        <v>5.0713146858982282E-2</v>
      </c>
      <c r="D15" s="52">
        <f>IFERROR(HistoricalFs!D34,0)</f>
        <v>5.0432381990407359E-2</v>
      </c>
      <c r="E15" s="52">
        <f>IFERROR(HistoricalFs!E34,0)</f>
        <v>1.5552749314395296E-2</v>
      </c>
      <c r="F15" s="52">
        <f>IFERROR(HistoricalFs!F34,0)</f>
        <v>3.01961430487095E-3</v>
      </c>
      <c r="G15" s="52">
        <f>IFERROR(HistoricalFs!G34,0)</f>
        <v>-7.4434056747998256E-3</v>
      </c>
      <c r="H15" s="52">
        <f>IFERROR(HistoricalFs!H34,0)</f>
        <v>-4.2429333632923408E-2</v>
      </c>
      <c r="I15" s="52">
        <f>IFERROR(HistoricalFs!I34,0)</f>
        <v>-7.5994791724005731E-3</v>
      </c>
      <c r="J15" s="52">
        <f>IFERROR(HistoricalFs!J34,0)</f>
        <v>-4.9052154538339235E-2</v>
      </c>
      <c r="K15" s="52">
        <f>IFERROR(HistoricalFs!K34,0)</f>
        <v>-1.1486934720964945E-2</v>
      </c>
      <c r="L15" s="52">
        <f>IFERROR(HistoricalFs!L34,0)</f>
        <v>5.9676713353894045E-2</v>
      </c>
      <c r="M15" s="51"/>
      <c r="N15" s="52">
        <f t="shared" si="2"/>
        <v>6.1383298083121946E-3</v>
      </c>
      <c r="O15" s="52">
        <f t="shared" si="3"/>
        <v>-2.2118956849644378E-3</v>
      </c>
    </row>
    <row r="16" spans="2:15" x14ac:dyDescent="0.3">
      <c r="N16" s="46"/>
    </row>
    <row r="17" spans="2:15" x14ac:dyDescent="0.3">
      <c r="B17" s="48" t="s">
        <v>172</v>
      </c>
      <c r="C17" s="49">
        <f>IFERROR(HistoricalFs!C16,0)</f>
        <v>8.0040779911823637E-2</v>
      </c>
      <c r="D17" s="49">
        <f>IFERROR(HistoricalFs!D16,0)</f>
        <v>0.10672678849247161</v>
      </c>
      <c r="E17" s="49">
        <f>IFERROR(HistoricalFs!E16,0)</f>
        <v>0.12847809529452636</v>
      </c>
      <c r="F17" s="49">
        <f>IFERROR(HistoricalFs!F16,0)</f>
        <v>0.10860201636437025</v>
      </c>
      <c r="G17" s="49">
        <f>IFERROR(HistoricalFs!G16,0)</f>
        <v>0.11402504616835751</v>
      </c>
      <c r="H17" s="49">
        <f>IFERROR(HistoricalFs!H16,0)</f>
        <v>0.12527323822987554</v>
      </c>
      <c r="I17" s="49">
        <f>IFERROR(HistoricalFs!I16,0)</f>
        <v>8.8798023177028354E-2</v>
      </c>
      <c r="J17" s="49">
        <f>IFERROR(HistoricalFs!J16,0)</f>
        <v>0.10929475436519734</v>
      </c>
      <c r="K17" s="49">
        <f>IFERROR(HistoricalFs!K16,0)</f>
        <v>0.11488822184383672</v>
      </c>
      <c r="L17" s="49">
        <f>IFERROR(HistoricalFs!L16,0)</f>
        <v>0.10010244383451636</v>
      </c>
      <c r="M17" s="48"/>
      <c r="N17" s="49">
        <f>IFERROR(AVERAGE(C17:L17),0)</f>
        <v>0.10762294076820036</v>
      </c>
      <c r="O17" s="49">
        <f t="shared" si="3"/>
        <v>0.1089483853647838</v>
      </c>
    </row>
    <row r="18" spans="2:15" x14ac:dyDescent="0.3">
      <c r="B18" t="s">
        <v>173</v>
      </c>
      <c r="C18" s="50">
        <f>IFERROR(HistoricalFs!C25,0)</f>
        <v>5.0876584184966822E-2</v>
      </c>
      <c r="D18" s="50">
        <f>IFERROR(HistoricalFs!D25,0)</f>
        <v>6.1201425695927715E-2</v>
      </c>
      <c r="E18" s="50">
        <f>IFERROR(HistoricalFs!E25,0)</f>
        <v>6.63903865924938E-2</v>
      </c>
      <c r="F18" s="50">
        <f>IFERROR(HistoricalFs!F25,0)</f>
        <v>7.3927472182518786E-2</v>
      </c>
      <c r="G18" s="50">
        <f>IFERROR(HistoricalFs!G25,0)</f>
        <v>7.8130605447998658E-2</v>
      </c>
      <c r="H18" s="50">
        <f>IFERROR(HistoricalFs!H25,0)</f>
        <v>8.206839774331566E-2</v>
      </c>
      <c r="I18" s="50">
        <f>IFERROR(HistoricalFs!I25,0)</f>
        <v>9.4264230933596482E-2</v>
      </c>
      <c r="J18" s="50">
        <f>IFERROR(HistoricalFs!J25,0)</f>
        <v>8.9191478279219347E-2</v>
      </c>
      <c r="K18" s="50">
        <f>IFERROR(HistoricalFs!K25,0)</f>
        <v>7.1857611147098821E-2</v>
      </c>
      <c r="L18" s="50">
        <f>IFERROR(HistoricalFs!L25,0)</f>
        <v>6.2270839777984394E-2</v>
      </c>
      <c r="N18" s="50">
        <f t="shared" ref="N18:N31" si="4">IFERROR(AVERAGE(C18:L18),0)</f>
        <v>7.3017903198512063E-2</v>
      </c>
      <c r="O18" s="50">
        <f t="shared" si="3"/>
        <v>7.2892541664808796E-2</v>
      </c>
    </row>
    <row r="19" spans="2:15" x14ac:dyDescent="0.3">
      <c r="B19" s="51" t="s">
        <v>174</v>
      </c>
      <c r="C19" s="52">
        <f>C13</f>
        <v>9.8229670900837146E-2</v>
      </c>
      <c r="D19" s="52">
        <f t="shared" ref="D19:L19" si="5">D13</f>
        <v>7.941702777851016E-2</v>
      </c>
      <c r="E19" s="52">
        <f t="shared" si="5"/>
        <v>4.3322300645279484E-2</v>
      </c>
      <c r="F19" s="52">
        <f t="shared" si="5"/>
        <v>3.3970412259310953E-2</v>
      </c>
      <c r="G19" s="52">
        <f t="shared" si="5"/>
        <v>3.5560233478087663E-3</v>
      </c>
      <c r="H19" s="52">
        <f t="shared" si="5"/>
        <v>-1.3170363258273456E-2</v>
      </c>
      <c r="I19" s="52">
        <f t="shared" si="5"/>
        <v>3.4991608110258483E-2</v>
      </c>
      <c r="J19" s="52">
        <f t="shared" si="5"/>
        <v>-4.1514992694289269E-4</v>
      </c>
      <c r="K19" s="52">
        <f t="shared" si="5"/>
        <v>2.0104346955433228E-2</v>
      </c>
      <c r="L19" s="52">
        <f t="shared" si="5"/>
        <v>7.3683863437114389E-2</v>
      </c>
      <c r="M19" s="51"/>
      <c r="N19" s="52">
        <f t="shared" si="4"/>
        <v>3.7368974024933624E-2</v>
      </c>
      <c r="O19" s="52">
        <f t="shared" si="3"/>
        <v>3.4481010184784722E-2</v>
      </c>
    </row>
    <row r="20" spans="2:15" x14ac:dyDescent="0.3">
      <c r="N20" s="46"/>
    </row>
    <row r="21" spans="2:15" x14ac:dyDescent="0.3">
      <c r="B21" s="48" t="s">
        <v>175</v>
      </c>
      <c r="C21" s="49">
        <f>IFERROR((HistoricalFs!C18-HistoricalFs!C24)/(SUM(HistoricalFs!C47:C49)),0)</f>
        <v>0.19904181268509033</v>
      </c>
      <c r="D21" s="49">
        <f>IFERROR((HistoricalFs!D18-HistoricalFs!D24)/(SUM(HistoricalFs!D47:D49)),0)</f>
        <v>0.1462081011853561</v>
      </c>
      <c r="E21" s="49">
        <f>IFERROR((HistoricalFs!E18-HistoricalFs!E24)/(SUM(HistoricalFs!E47:E49)),0)</f>
        <v>8.5490986154773282E-2</v>
      </c>
      <c r="F21" s="49">
        <f>IFERROR((HistoricalFs!F18-HistoricalFs!F24)/(SUM(HistoricalFs!F47:F49)),0)</f>
        <v>5.3716113570365424E-2</v>
      </c>
      <c r="G21" s="49">
        <f>IFERROR((HistoricalFs!G18-HistoricalFs!G24)/(SUM(HistoricalFs!G47:G49)),0)</f>
        <v>6.4542733637543747E-3</v>
      </c>
      <c r="H21" s="49">
        <f>IFERROR((HistoricalFs!H18-HistoricalFs!H24)/(SUM(HistoricalFs!H47:H49)),0)</f>
        <v>-1.8387082646096023E-2</v>
      </c>
      <c r="I21" s="49">
        <f>IFERROR((HistoricalFs!I18-HistoricalFs!I24)/(SUM(HistoricalFs!I47:I49)),0)</f>
        <v>4.4284324706251613E-2</v>
      </c>
      <c r="J21" s="49">
        <f>IFERROR((HistoricalFs!J18-HistoricalFs!J24)/(SUM(HistoricalFs!J47:J49)),0)</f>
        <v>-6.0520306054739361E-4</v>
      </c>
      <c r="K21" s="49">
        <f>IFERROR((HistoricalFs!K18-HistoricalFs!K24)/(SUM(HistoricalFs!K47:K49)),0)</f>
        <v>3.8762956416083731E-2</v>
      </c>
      <c r="L21" s="49">
        <f>IFERROR((HistoricalFs!L18-HistoricalFs!L24)/(SUM(HistoricalFs!L47:L49)),0)</f>
        <v>0.16790572738589757</v>
      </c>
      <c r="M21" s="48"/>
      <c r="N21" s="49">
        <f t="shared" si="4"/>
        <v>7.2287200976092911E-2</v>
      </c>
      <c r="O21" s="49">
        <f t="shared" ref="O21:O25" si="6">IFERROR(MEDIAN(C21:L21),0)</f>
        <v>4.9000219138308515E-2</v>
      </c>
    </row>
    <row r="22" spans="2:15" x14ac:dyDescent="0.3">
      <c r="B22" t="s">
        <v>176</v>
      </c>
      <c r="C22" s="50">
        <f>IFERROR(HistoricalFs!C44,0)</f>
        <v>1</v>
      </c>
      <c r="D22" s="50">
        <f>IFERROR(HistoricalFs!D44,0)</f>
        <v>0.99506765991253665</v>
      </c>
      <c r="E22" s="50">
        <f>IFERROR(HistoricalFs!E44,0)</f>
        <v>1</v>
      </c>
      <c r="F22" s="50">
        <f>IFERROR(HistoricalFs!F44,0)</f>
        <v>1</v>
      </c>
      <c r="G22" s="50">
        <f>IFERROR(HistoricalFs!G44,0)</f>
        <v>0</v>
      </c>
      <c r="H22" s="50">
        <f>IFERROR(HistoricalFs!H44,0)</f>
        <v>0</v>
      </c>
      <c r="I22" s="50">
        <f>IFERROR(HistoricalFs!I44,0)</f>
        <v>0</v>
      </c>
      <c r="J22" s="50">
        <f>IFERROR(HistoricalFs!J44,0)</f>
        <v>0</v>
      </c>
      <c r="K22" s="50">
        <f>IFERROR(HistoricalFs!K44,0)</f>
        <v>0</v>
      </c>
      <c r="L22" s="50">
        <f>IFERROR(HistoricalFs!L44,0)</f>
        <v>0.82109000160327028</v>
      </c>
      <c r="N22" s="50">
        <f t="shared" si="4"/>
        <v>0.48161576615158069</v>
      </c>
      <c r="O22" s="50">
        <f t="shared" si="6"/>
        <v>0.41054500080163514</v>
      </c>
    </row>
    <row r="23" spans="2:15" x14ac:dyDescent="0.3">
      <c r="B23" t="s">
        <v>177</v>
      </c>
      <c r="C23" s="50">
        <f>IFERROR(HistoricalFs!C33/SUM(HistoricalFs!C47:C48),0)</f>
        <v>0.2372052002491202</v>
      </c>
      <c r="D23" s="50">
        <f>IFERROR(HistoricalFs!D33/SUM(HistoricalFs!D47:D48),0)</f>
        <v>0.17441316864171685</v>
      </c>
      <c r="E23" s="50">
        <f>IFERROR(HistoricalFs!E33/SUM(HistoricalFs!E47:E48),0)</f>
        <v>7.2241189530689517E-2</v>
      </c>
      <c r="F23" s="50">
        <f>IFERROR(HistoricalFs!F33/SUM(HistoricalFs!F47:F48),0)</f>
        <v>9.2254980749341738E-3</v>
      </c>
      <c r="G23" s="50">
        <f>IFERROR(HistoricalFs!G33/SUM(HistoricalFs!G47:G48),0)</f>
        <v>-3.7345736658758885E-2</v>
      </c>
      <c r="H23" s="50">
        <f>IFERROR(HistoricalFs!H33/SUM(HistoricalFs!H47:H48),0)</f>
        <v>-0.1780542775131683</v>
      </c>
      <c r="I23" s="50">
        <f>IFERROR(HistoricalFs!I33/SUM(HistoricalFs!I47:I48),0)</f>
        <v>-3.4360591904822733E-2</v>
      </c>
      <c r="J23" s="50">
        <f>IFERROR(HistoricalFs!J33/SUM(HistoricalFs!J47:J48),0)</f>
        <v>-0.30651638060341208</v>
      </c>
      <c r="K23" s="50">
        <f>IFERROR(HistoricalFs!K33/SUM(HistoricalFs!K47:K48),0)</f>
        <v>-8.7686298356707396E-2</v>
      </c>
      <c r="L23" s="50">
        <f>IFERROR(HistoricalFs!L33/SUM(HistoricalFs!L47:L48),0)</f>
        <v>0.30775670464290195</v>
      </c>
      <c r="N23" s="50">
        <f t="shared" si="4"/>
        <v>1.5687847610249321E-2</v>
      </c>
      <c r="O23" s="50">
        <f t="shared" si="6"/>
        <v>-1.2567546914944279E-2</v>
      </c>
    </row>
    <row r="24" spans="2:15" x14ac:dyDescent="0.3">
      <c r="B24" t="s">
        <v>178</v>
      </c>
      <c r="C24" s="50">
        <f>IFERROR(C22*C23,0)</f>
        <v>0.2372052002491202</v>
      </c>
      <c r="D24" s="50">
        <f t="shared" ref="D24:L24" si="7">IFERROR(D22*D23,0)</f>
        <v>0.17355290357824379</v>
      </c>
      <c r="E24" s="50">
        <f t="shared" si="7"/>
        <v>7.2241189530689517E-2</v>
      </c>
      <c r="F24" s="50">
        <f t="shared" si="7"/>
        <v>9.2254980749341738E-3</v>
      </c>
      <c r="G24" s="50">
        <f t="shared" si="7"/>
        <v>0</v>
      </c>
      <c r="H24" s="50">
        <f t="shared" si="7"/>
        <v>0</v>
      </c>
      <c r="I24" s="50">
        <f t="shared" si="7"/>
        <v>0</v>
      </c>
      <c r="J24" s="50">
        <f t="shared" si="7"/>
        <v>0</v>
      </c>
      <c r="K24" s="50">
        <f t="shared" si="7"/>
        <v>0</v>
      </c>
      <c r="L24" s="50">
        <f t="shared" si="7"/>
        <v>0.25269595310865756</v>
      </c>
      <c r="N24" s="50">
        <f t="shared" si="4"/>
        <v>7.4492074454164531E-2</v>
      </c>
      <c r="O24" s="50">
        <f t="shared" si="6"/>
        <v>4.6127490374670869E-3</v>
      </c>
    </row>
    <row r="25" spans="2:15" x14ac:dyDescent="0.3">
      <c r="B25" s="51" t="s">
        <v>179</v>
      </c>
      <c r="C25" s="54">
        <f>(HistoricalFs!C18-HistoricalFs!C24)/HistoricalFs!C21</f>
        <v>5.3173039541375138</v>
      </c>
      <c r="D25" s="54">
        <f>(HistoricalFs!D18-HistoricalFs!D24)/HistoricalFs!D21</f>
        <v>4.4352863933500721</v>
      </c>
      <c r="E25" s="54">
        <f>(HistoricalFs!E18-HistoricalFs!E24)/HistoricalFs!E21</f>
        <v>2.7568835373205922</v>
      </c>
      <c r="F25" s="54">
        <f>(HistoricalFs!F18-HistoricalFs!F24)/HistoricalFs!F21</f>
        <v>2.1154494328024094</v>
      </c>
      <c r="G25" s="54">
        <f>(HistoricalFs!G18-HistoricalFs!G24)/HistoricalFs!G21</f>
        <v>0.18645156808947008</v>
      </c>
      <c r="H25" s="54">
        <f>(HistoricalFs!H18-HistoricalFs!H24)/HistoricalFs!H21</f>
        <v>-0.47469326953211261</v>
      </c>
      <c r="I25" s="54">
        <f>(HistoricalFs!I18-HistoricalFs!I24)/HistoricalFs!I21</f>
        <v>1.079478385658198</v>
      </c>
      <c r="J25" s="54">
        <f>(HistoricalFs!J18-HistoricalFs!J24)/HistoricalFs!J21</f>
        <v>-1.2414275987824557E-2</v>
      </c>
      <c r="K25" s="54">
        <f>(HistoricalFs!K18-HistoricalFs!K24)/HistoricalFs!K21</f>
        <v>0.68020669934320532</v>
      </c>
      <c r="L25" s="54">
        <f>(HistoricalFs!L18-HistoricalFs!L24)/HistoricalFs!L21</f>
        <v>3.231422545705088</v>
      </c>
      <c r="M25" s="51"/>
      <c r="N25" s="54">
        <f t="shared" si="4"/>
        <v>1.9315374970886612</v>
      </c>
      <c r="O25" s="54">
        <f t="shared" si="6"/>
        <v>1.5974639092303038</v>
      </c>
    </row>
    <row r="26" spans="2:15" x14ac:dyDescent="0.3">
      <c r="N26" s="46"/>
    </row>
    <row r="27" spans="2:15" x14ac:dyDescent="0.3">
      <c r="B27" s="48" t="s">
        <v>180</v>
      </c>
      <c r="C27" s="55">
        <f>IFERROR(HistoricalFs!C6/HistoricalFs!C59,0)</f>
        <v>20.92016821419486</v>
      </c>
      <c r="D27" s="55">
        <f>IFERROR(HistoricalFs!D6/HistoricalFs!D59,0)</f>
        <v>20.119918266350599</v>
      </c>
      <c r="E27" s="55">
        <f>IFERROR(HistoricalFs!E6/HistoricalFs!E59,0)</f>
        <v>19.160353236640844</v>
      </c>
      <c r="F27" s="55">
        <f>IFERROR(HistoricalFs!F6/HistoricalFs!F59,0)</f>
        <v>14.655712224718874</v>
      </c>
      <c r="G27" s="55">
        <f>IFERROR(HistoricalFs!G6/HistoricalFs!G59,0)</f>
        <v>15.894698773489607</v>
      </c>
      <c r="H27" s="55">
        <f>IFERROR(HistoricalFs!H6/HistoricalFs!H59,0)</f>
        <v>23.366617170976728</v>
      </c>
      <c r="I27" s="55">
        <f>IFERROR(HistoricalFs!I6/HistoricalFs!I59,0)</f>
        <v>19.701330853658153</v>
      </c>
      <c r="J27" s="55">
        <f>IFERROR(HistoricalFs!J6/HistoricalFs!J59,0)</f>
        <v>22.379917570317598</v>
      </c>
      <c r="K27" s="55">
        <f>IFERROR(HistoricalFs!K6/HistoricalFs!K59,0)</f>
        <v>21.982947610142858</v>
      </c>
      <c r="L27" s="55">
        <f>IFERROR(HistoricalFs!L6/HistoricalFs!L59,0)</f>
        <v>25.833687966063799</v>
      </c>
      <c r="M27" s="48"/>
      <c r="N27" s="55">
        <f t="shared" si="4"/>
        <v>20.401535188655391</v>
      </c>
      <c r="O27" s="55">
        <f t="shared" ref="O27:O31" si="8">IFERROR(MEDIAN(C27:L27),0)</f>
        <v>20.520043240272727</v>
      </c>
    </row>
    <row r="28" spans="2:15" x14ac:dyDescent="0.3">
      <c r="B28" t="s">
        <v>181</v>
      </c>
      <c r="C28" s="56">
        <f>IFERROR(HistoricalFs!C6/HistoricalFs!C50,0)</f>
        <v>2.4493010585757142</v>
      </c>
      <c r="D28" s="56">
        <f>IFERROR(HistoricalFs!D6/HistoricalFs!D50,0)</f>
        <v>2.3769603927858673</v>
      </c>
      <c r="E28" s="56">
        <f>IFERROR(HistoricalFs!E6/HistoricalFs!E50,0)</f>
        <v>1.9842807783040648</v>
      </c>
      <c r="F28" s="56">
        <f>IFERROR(HistoricalFs!F6/HistoricalFs!F50,0)</f>
        <v>2.0414780318629697</v>
      </c>
      <c r="G28" s="56">
        <f>IFERROR(HistoricalFs!G6/HistoricalFs!G50,0)</f>
        <v>2.1667847518227492</v>
      </c>
      <c r="H28" s="56">
        <f>IFERROR(HistoricalFs!H6/HistoricalFs!H50,0)</f>
        <v>1.9602534811345065</v>
      </c>
      <c r="I28" s="56">
        <f>IFERROR(HistoricalFs!I6/HistoricalFs!I50,0)</f>
        <v>1.7323684804395676</v>
      </c>
      <c r="J28" s="56">
        <f>IFERROR(HistoricalFs!J6/HistoricalFs!J50,0)</f>
        <v>2.0170312149360217</v>
      </c>
      <c r="K28" s="56">
        <f>IFERROR(HistoricalFs!K6/HistoricalFs!K50,0)</f>
        <v>2.2286057258733614</v>
      </c>
      <c r="L28" s="56">
        <f>IFERROR(HistoricalFs!L6/HistoricalFs!L50,0)</f>
        <v>2.4694234112546125</v>
      </c>
      <c r="N28" s="56">
        <f t="shared" si="4"/>
        <v>2.1426487326989436</v>
      </c>
      <c r="O28" s="56">
        <f t="shared" si="8"/>
        <v>2.1041313918428592</v>
      </c>
    </row>
    <row r="29" spans="2:15" x14ac:dyDescent="0.3">
      <c r="B29" t="s">
        <v>182</v>
      </c>
      <c r="C29" s="56">
        <f>IFERROR(HistoricalFs!C6/HistoricalFs!C60,0)</f>
        <v>8.9900219797938927</v>
      </c>
      <c r="D29" s="56">
        <f>IFERROR(HistoricalFs!D6/HistoricalFs!D60,0)</f>
        <v>8.3613381173839922</v>
      </c>
      <c r="E29" s="56">
        <f>IFERROR(HistoricalFs!E6/HistoricalFs!E60,0)</f>
        <v>7.6867643466738649</v>
      </c>
      <c r="F29" s="56">
        <f>IFERROR(HistoricalFs!F6/HistoricalFs!F60,0)</f>
        <v>6.9190051742350009</v>
      </c>
      <c r="G29" s="56">
        <f>IFERROR(HistoricalFs!G6/HistoricalFs!G60,0)</f>
        <v>7.7392856309817084</v>
      </c>
      <c r="H29" s="56">
        <f>IFERROR(HistoricalFs!H6/HistoricalFs!H60,0)</f>
        <v>6.9698269049637886</v>
      </c>
      <c r="I29" s="56">
        <f>IFERROR(HistoricalFs!I6/HistoricalFs!I60,0)</f>
        <v>6.9217098811563442</v>
      </c>
      <c r="J29" s="56">
        <f>IFERROR(HistoricalFs!J6/HistoricalFs!J60,0)</f>
        <v>7.9015588385356104</v>
      </c>
      <c r="K29" s="56">
        <f>IFERROR(HistoricalFs!K6/HistoricalFs!K60,0)</f>
        <v>8.4888641723217457</v>
      </c>
      <c r="L29" s="56">
        <f>IFERROR(HistoricalFs!L6/HistoricalFs!L60,0)</f>
        <v>9.1639137956181322</v>
      </c>
      <c r="N29" s="56">
        <f t="shared" si="4"/>
        <v>7.9142288841664072</v>
      </c>
      <c r="O29" s="56">
        <f t="shared" si="8"/>
        <v>7.8204222347586594</v>
      </c>
    </row>
    <row r="30" spans="2:15" x14ac:dyDescent="0.3">
      <c r="B30" t="s">
        <v>183</v>
      </c>
      <c r="C30" s="56">
        <f>IFERROR(HistoricalFs!C6/HistoricalFs!C53,0)</f>
        <v>2.9742370802544178</v>
      </c>
      <c r="D30" s="56">
        <f>IFERROR(HistoricalFs!D6/HistoricalFs!D53,0)</f>
        <v>2.546312771514708</v>
      </c>
      <c r="E30" s="56">
        <f>IFERROR(HistoricalFs!E6/HistoricalFs!E53,0)</f>
        <v>2.8109343484246239</v>
      </c>
      <c r="F30" s="56">
        <f>IFERROR(HistoricalFs!F6/HistoricalFs!F53,0)</f>
        <v>2.4012948768781421</v>
      </c>
      <c r="G30" s="56">
        <f>IFERROR(HistoricalFs!G6/HistoricalFs!G53,0)</f>
        <v>2.7144319562092578</v>
      </c>
      <c r="H30" s="56">
        <f>IFERROR(HistoricalFs!H6/HistoricalFs!H53,0)</f>
        <v>2.0539205744067566</v>
      </c>
      <c r="I30" s="56">
        <f>IFERROR(HistoricalFs!I6/HistoricalFs!I53,0)</f>
        <v>1.8008727134726064</v>
      </c>
      <c r="J30" s="56">
        <f>IFERROR(HistoricalFs!J6/HistoricalFs!J53,0)</f>
        <v>2.0053488717943728</v>
      </c>
      <c r="K30" s="56">
        <f>IFERROR(HistoricalFs!K6/HistoricalFs!K53,0)</f>
        <v>2.6193791539294131</v>
      </c>
      <c r="L30" s="56">
        <f>IFERROR(HistoricalFs!L6/HistoricalFs!L53,0)</f>
        <v>3.6107194547475023</v>
      </c>
      <c r="N30" s="56">
        <f t="shared" si="4"/>
        <v>2.5537451801631801</v>
      </c>
      <c r="O30" s="56">
        <f t="shared" si="8"/>
        <v>2.5828459627220606</v>
      </c>
    </row>
    <row r="31" spans="2:15" x14ac:dyDescent="0.3">
      <c r="B31" s="51" t="s">
        <v>184</v>
      </c>
      <c r="C31" s="54">
        <f>IFERROR(HistoricalFs!C6/SUM(HistoricalFs!C47:C48),0)</f>
        <v>4.6773906756114965</v>
      </c>
      <c r="D31" s="54">
        <f>IFERROR(HistoricalFs!D6/SUM(HistoricalFs!D47:D48),0)</f>
        <v>3.4583567493379874</v>
      </c>
      <c r="E31" s="54">
        <f>IFERROR(HistoricalFs!E6/SUM(HistoricalFs!E47:E48),0)</f>
        <v>4.6449144180459854</v>
      </c>
      <c r="F31" s="54">
        <f>IFERROR(HistoricalFs!F6/SUM(HistoricalFs!F47:F48),0)</f>
        <v>3.0551908765475422</v>
      </c>
      <c r="G31" s="54">
        <f>IFERROR(HistoricalFs!G6/SUM(HistoricalFs!G47:G48),0)</f>
        <v>5.0172915853821474</v>
      </c>
      <c r="H31" s="54">
        <f>IFERROR(HistoricalFs!H6/SUM(HistoricalFs!H47:H48),0)</f>
        <v>4.196490075795241</v>
      </c>
      <c r="I31" s="54">
        <f>IFERROR(HistoricalFs!I6/SUM(HistoricalFs!I47:I48),0)</f>
        <v>4.5214403678625628</v>
      </c>
      <c r="J31" s="54">
        <f>IFERROR(HistoricalFs!J6/SUM(HistoricalFs!J47:J48),0)</f>
        <v>6.2487852671963351</v>
      </c>
      <c r="K31" s="54">
        <f>IFERROR(HistoricalFs!K6/SUM(HistoricalFs!K47:K48),0)</f>
        <v>7.6335680916398054</v>
      </c>
      <c r="L31" s="54">
        <f>IFERROR(HistoricalFs!L6/SUM(HistoricalFs!L47:L48),0)</f>
        <v>5.1570652495194773</v>
      </c>
      <c r="M31" s="51"/>
      <c r="N31" s="54">
        <f t="shared" si="4"/>
        <v>4.861049335693858</v>
      </c>
      <c r="O31" s="54">
        <f t="shared" si="8"/>
        <v>4.6611525468287409</v>
      </c>
    </row>
    <row r="32" spans="2:15" x14ac:dyDescent="0.3">
      <c r="C32" s="47"/>
      <c r="D32" s="47"/>
      <c r="E32" s="47"/>
      <c r="F32" s="47"/>
      <c r="G32" s="47"/>
      <c r="H32" s="47"/>
      <c r="I32" s="47"/>
      <c r="J32" s="47"/>
      <c r="K32" s="47"/>
      <c r="L32" s="47"/>
      <c r="N32" s="46"/>
    </row>
    <row r="33" spans="2:15" x14ac:dyDescent="0.3">
      <c r="B33" s="57" t="s">
        <v>194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9"/>
      <c r="O33" s="48"/>
    </row>
    <row r="34" spans="2:15" x14ac:dyDescent="0.3">
      <c r="B34" t="s">
        <v>185</v>
      </c>
      <c r="C34" s="58">
        <f>IFERROR(365/C27,0)</f>
        <v>17.447278447423685</v>
      </c>
      <c r="D34" s="58">
        <f t="shared" ref="D34:L34" si="9">IFERROR(365/D27,0)</f>
        <v>18.141226776772818</v>
      </c>
      <c r="E34" s="58">
        <f t="shared" si="9"/>
        <v>19.049753180019717</v>
      </c>
      <c r="F34" s="58">
        <f t="shared" si="9"/>
        <v>24.904964999543136</v>
      </c>
      <c r="G34" s="58">
        <f t="shared" si="9"/>
        <v>22.963631157878556</v>
      </c>
      <c r="H34" s="58">
        <f t="shared" si="9"/>
        <v>15.620575170519771</v>
      </c>
      <c r="I34" s="58">
        <f t="shared" si="9"/>
        <v>18.52666719376608</v>
      </c>
      <c r="J34" s="58">
        <f t="shared" si="9"/>
        <v>16.309264717046954</v>
      </c>
      <c r="K34" s="58">
        <f t="shared" si="9"/>
        <v>16.603778823163378</v>
      </c>
      <c r="L34" s="58">
        <f t="shared" si="9"/>
        <v>14.128838301348189</v>
      </c>
      <c r="N34" s="58">
        <f t="shared" ref="N34:N41" si="10">IFERROR(AVERAGE(C34:L34),0)</f>
        <v>18.369597876748227</v>
      </c>
      <c r="O34" s="58">
        <f t="shared" ref="O34:O37" si="11">IFERROR(MEDIAN(C34:L34),0)</f>
        <v>17.794252612098251</v>
      </c>
    </row>
    <row r="35" spans="2:15" x14ac:dyDescent="0.3">
      <c r="B35" t="s">
        <v>186</v>
      </c>
      <c r="C35" s="58">
        <f>IFERROR(365/C28,0)</f>
        <v>149.02210519283818</v>
      </c>
      <c r="D35" s="58">
        <f t="shared" ref="D35:L35" si="12">IFERROR(365/D28,0)</f>
        <v>153.55745981623585</v>
      </c>
      <c r="E35" s="58">
        <f t="shared" si="12"/>
        <v>183.94574194885871</v>
      </c>
      <c r="F35" s="58">
        <f t="shared" si="12"/>
        <v>178.79202925682029</v>
      </c>
      <c r="G35" s="58">
        <f t="shared" si="12"/>
        <v>168.45235766633192</v>
      </c>
      <c r="H35" s="58">
        <f t="shared" si="12"/>
        <v>186.20040903524091</v>
      </c>
      <c r="I35" s="58">
        <f t="shared" si="12"/>
        <v>210.69420514242194</v>
      </c>
      <c r="J35" s="58">
        <f t="shared" si="12"/>
        <v>180.95902398395825</v>
      </c>
      <c r="K35" s="58">
        <f t="shared" si="12"/>
        <v>163.77953074537726</v>
      </c>
      <c r="L35" s="58">
        <f t="shared" si="12"/>
        <v>147.8077831191203</v>
      </c>
      <c r="N35" s="58">
        <f t="shared" si="10"/>
        <v>172.32106459072037</v>
      </c>
      <c r="O35" s="58">
        <f t="shared" si="11"/>
        <v>173.6221934615761</v>
      </c>
    </row>
    <row r="36" spans="2:15" x14ac:dyDescent="0.3">
      <c r="B36" t="s">
        <v>187</v>
      </c>
      <c r="C36" s="58">
        <f>IFERROR(365/C29,0)</f>
        <v>40.600568143256986</v>
      </c>
      <c r="D36" s="58">
        <f t="shared" ref="D36:L36" si="13">IFERROR(365/D29,0)</f>
        <v>43.653299851746382</v>
      </c>
      <c r="E36" s="58">
        <f t="shared" si="13"/>
        <v>47.484218786795374</v>
      </c>
      <c r="F36" s="58">
        <f t="shared" si="13"/>
        <v>52.753248596949661</v>
      </c>
      <c r="G36" s="58">
        <f t="shared" si="13"/>
        <v>47.161975588398164</v>
      </c>
      <c r="H36" s="58">
        <f t="shared" si="13"/>
        <v>52.368588915752468</v>
      </c>
      <c r="I36" s="58">
        <f t="shared" si="13"/>
        <v>52.732634893247351</v>
      </c>
      <c r="J36" s="58">
        <f t="shared" si="13"/>
        <v>46.193416698982041</v>
      </c>
      <c r="K36" s="58">
        <f t="shared" si="13"/>
        <v>42.997507392107408</v>
      </c>
      <c r="L36" s="58">
        <f t="shared" si="13"/>
        <v>39.830143336194453</v>
      </c>
      <c r="N36" s="58">
        <f t="shared" si="10"/>
        <v>46.577560220343024</v>
      </c>
      <c r="O36" s="58">
        <f t="shared" si="11"/>
        <v>46.677696143690099</v>
      </c>
    </row>
    <row r="37" spans="2:15" x14ac:dyDescent="0.3">
      <c r="B37" s="51" t="s">
        <v>193</v>
      </c>
      <c r="C37" s="59">
        <f>SUM(C34,C36)-C35</f>
        <v>-90.974258602157505</v>
      </c>
      <c r="D37" s="59">
        <f t="shared" ref="D37:L37" si="14">SUM(D34,D36)-D35</f>
        <v>-91.762933187716641</v>
      </c>
      <c r="E37" s="59">
        <f t="shared" si="14"/>
        <v>-117.41176998204362</v>
      </c>
      <c r="F37" s="59">
        <f t="shared" si="14"/>
        <v>-101.13381566032749</v>
      </c>
      <c r="G37" s="59">
        <f t="shared" si="14"/>
        <v>-98.326750920055204</v>
      </c>
      <c r="H37" s="59">
        <f t="shared" si="14"/>
        <v>-118.21124494896867</v>
      </c>
      <c r="I37" s="59">
        <f t="shared" si="14"/>
        <v>-139.43490305540851</v>
      </c>
      <c r="J37" s="59">
        <f t="shared" si="14"/>
        <v>-118.45634256792925</v>
      </c>
      <c r="K37" s="59">
        <f t="shared" si="14"/>
        <v>-104.17824453010647</v>
      </c>
      <c r="L37" s="59">
        <f t="shared" si="14"/>
        <v>-93.848801481577652</v>
      </c>
      <c r="M37" s="51"/>
      <c r="N37" s="59">
        <f t="shared" si="10"/>
        <v>-107.37390649362911</v>
      </c>
      <c r="O37" s="59">
        <f t="shared" si="11"/>
        <v>-102.65603009521698</v>
      </c>
    </row>
    <row r="38" spans="2:15" x14ac:dyDescent="0.3">
      <c r="N38" s="46"/>
    </row>
    <row r="39" spans="2:15" x14ac:dyDescent="0.3">
      <c r="B39" s="48" t="s">
        <v>188</v>
      </c>
      <c r="C39" s="49">
        <f>IFERROR(HistoricalFs!C78/HistoricalFs!C6,0)</f>
        <v>0.12106750071762705</v>
      </c>
      <c r="D39" s="49">
        <f>IFERROR(HistoricalFs!D78/HistoricalFs!D6,0)</f>
        <v>0.14360971207739662</v>
      </c>
      <c r="E39" s="49">
        <f>IFERROR(HistoricalFs!E78/HistoricalFs!E6,0)</f>
        <v>0.12404497255040564</v>
      </c>
      <c r="F39" s="49">
        <f>IFERROR(HistoricalFs!F78/HistoricalFs!F6,0)</f>
        <v>5.9759805574664121E-2</v>
      </c>
      <c r="G39" s="49">
        <f>IFERROR(HistoricalFs!G78/HistoricalFs!G6,0)</f>
        <v>3.8653579670555313E-2</v>
      </c>
      <c r="H39" s="49">
        <f>IFERROR(HistoricalFs!H78/HistoricalFs!H6,0)</f>
        <v>0.12141665635964458</v>
      </c>
      <c r="I39" s="49">
        <f>IFERROR(HistoricalFs!I78/HistoricalFs!I6,0)</f>
        <v>0.11572300859005244</v>
      </c>
      <c r="J39" s="49">
        <f>IFERROR(HistoricalFs!J78/HistoricalFs!J6,0)</f>
        <v>1.2684338598291522E-2</v>
      </c>
      <c r="K39" s="49">
        <f>IFERROR(HistoricalFs!K78/HistoricalFs!K6,0)</f>
        <v>9.3248786148573667E-2</v>
      </c>
      <c r="L39" s="49">
        <f>IFERROR(HistoricalFs!L78/HistoricalFs!L6,0)</f>
        <v>0.17181143821959496</v>
      </c>
      <c r="M39" s="48"/>
      <c r="N39" s="49">
        <f t="shared" si="10"/>
        <v>0.10020197985068061</v>
      </c>
      <c r="O39" s="49">
        <f t="shared" ref="O39:O41" si="15">IFERROR(MEDIAN(C39:L39),0)</f>
        <v>0.11839525465383974</v>
      </c>
    </row>
    <row r="40" spans="2:15" x14ac:dyDescent="0.3">
      <c r="B40" t="s">
        <v>189</v>
      </c>
      <c r="C40" s="50">
        <f>IFERROR(HistoricalFs!C78/HistoricalFs!C64,0)</f>
        <v>0.1342520624188657</v>
      </c>
      <c r="D40" s="50">
        <f>IFERROR(HistoricalFs!D78/HistoricalFs!D64,0)</f>
        <v>0.14899075217760099</v>
      </c>
      <c r="E40" s="50">
        <f>IFERROR(HistoricalFs!E78/HistoricalFs!E64,0)</f>
        <v>0.12273077928285075</v>
      </c>
      <c r="F40" s="50">
        <f>IFERROR(HistoricalFs!F78/HistoricalFs!F64,0)</f>
        <v>5.3250110386320486E-2</v>
      </c>
      <c r="G40" s="50">
        <f>IFERROR(HistoricalFs!G78/HistoricalFs!G64,0)</f>
        <v>3.8177516390146542E-2</v>
      </c>
      <c r="H40" s="50">
        <f>IFERROR(HistoricalFs!H78/HistoricalFs!H64,0)</f>
        <v>9.9000750797857404E-2</v>
      </c>
      <c r="I40" s="50">
        <f>IFERROR(HistoricalFs!I78/HistoricalFs!I64,0)</f>
        <v>8.4629819997903213E-2</v>
      </c>
      <c r="J40" s="50">
        <f>IFERROR(HistoricalFs!J78/HistoricalFs!J64,0)</f>
        <v>1.073355621163692E-2</v>
      </c>
      <c r="K40" s="50">
        <f>IFERROR(HistoricalFs!K78/HistoricalFs!K64,0)</f>
        <v>9.639517425935408E-2</v>
      </c>
      <c r="L40" s="50">
        <f>IFERROR(HistoricalFs!L78/HistoricalFs!L64,0)</f>
        <v>0.2036178712738107</v>
      </c>
      <c r="N40" s="50">
        <f t="shared" si="10"/>
        <v>9.9177839319634684E-2</v>
      </c>
      <c r="O40" s="50">
        <f t="shared" si="15"/>
        <v>9.7697962528605742E-2</v>
      </c>
    </row>
    <row r="41" spans="2:15" x14ac:dyDescent="0.3">
      <c r="B41" s="51" t="s">
        <v>190</v>
      </c>
      <c r="C41" s="52">
        <f>IFERROR(HistoricalFs!C78/HistoricalFs!C49,0)</f>
        <v>0.43281933433581865</v>
      </c>
      <c r="D41" s="52">
        <f>IFERROR(HistoricalFs!D78/HistoricalFs!D49,0)</f>
        <v>0.56534057978118779</v>
      </c>
      <c r="E41" s="52">
        <f>IFERROR(HistoricalFs!E78/HistoricalFs!E49,0)</f>
        <v>0.42560185883717339</v>
      </c>
      <c r="F41" s="52">
        <f>IFERROR(HistoricalFs!F78/HistoricalFs!F49,0)</f>
        <v>0.19587305159826587</v>
      </c>
      <c r="G41" s="52">
        <f>IFERROR(HistoricalFs!G78/HistoricalFs!G49,0)</f>
        <v>0.1099219460940742</v>
      </c>
      <c r="H41" s="52">
        <f>IFERROR(HistoricalFs!H78/HistoricalFs!H49,0)</f>
        <v>0.25401554192386361</v>
      </c>
      <c r="I41" s="52">
        <f>IFERROR(HistoricalFs!I78/HistoricalFs!I49,0)</f>
        <v>0.20338341005738594</v>
      </c>
      <c r="J41" s="52">
        <f>IFERROR(HistoricalFs!J78/HistoricalFs!J49,0)</f>
        <v>2.4117605968438302E-2</v>
      </c>
      <c r="K41" s="52">
        <f>IFERROR(HistoricalFs!K78/HistoricalFs!K49,0)</f>
        <v>0.24055008953614193</v>
      </c>
      <c r="L41" s="52">
        <f>IFERROR(HistoricalFs!L78/HistoricalFs!L49,0)</f>
        <v>0.70146602960027971</v>
      </c>
      <c r="M41" s="51"/>
      <c r="N41" s="52">
        <f t="shared" si="10"/>
        <v>0.31530894477326293</v>
      </c>
      <c r="O41" s="52">
        <f t="shared" si="15"/>
        <v>0.24728281573000277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negative="1" xr2:uid="{C62BA4FB-5E82-4328-85BF-BA4842913539}">
          <x14:colorSeries rgb="FF376092"/>
          <x14:colorNegative theme="5"/>
          <x14:colorAxis rgb="FF000000"/>
          <x14:colorMarkers rgb="FF00B05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negative="1" xr2:uid="{A9E99126-E4E7-4C10-B298-622AA0F8A9DA}">
          <x14:colorSeries rgb="FF376092"/>
          <x14:colorNegative theme="5"/>
          <x14:colorAxis rgb="FF000000"/>
          <x14:colorMarkers rgb="FF00B05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8F62-320D-457A-AF35-5E6975577751}">
  <sheetPr>
    <tabColor theme="4" tint="0.59999389629810485"/>
  </sheetPr>
  <dimension ref="B2:M51"/>
  <sheetViews>
    <sheetView showGridLines="0" workbookViewId="0">
      <selection activeCell="L5" sqref="B2:L5"/>
    </sheetView>
  </sheetViews>
  <sheetFormatPr defaultRowHeight="14.4" x14ac:dyDescent="0.3"/>
  <cols>
    <col min="1" max="1" width="1.88671875" customWidth="1"/>
    <col min="2" max="2" width="22" bestFit="1" customWidth="1"/>
    <col min="3" max="3" width="9.6640625" bestFit="1" customWidth="1"/>
  </cols>
  <sheetData>
    <row r="2" spans="2:13" x14ac:dyDescent="0.3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2:13" x14ac:dyDescent="0.3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</row>
    <row r="4" spans="2:13" x14ac:dyDescent="0.3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</row>
    <row r="5" spans="2:13" x14ac:dyDescent="0.3"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</row>
    <row r="7" spans="2:13" x14ac:dyDescent="0.3">
      <c r="B7" s="194" t="str">
        <f>"Common Size Statement"&amp;" "&amp;"- "&amp;'Data Sheet'!$B$1</f>
        <v>Common Size Statement - TATA MOTORS LTD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9" spans="2:13" x14ac:dyDescent="0.3">
      <c r="B9" s="87" t="s">
        <v>203</v>
      </c>
      <c r="C9" s="88">
        <f>'Data Sheet'!B16</f>
        <v>42094</v>
      </c>
      <c r="D9" s="88">
        <f>'Data Sheet'!C16</f>
        <v>42460</v>
      </c>
      <c r="E9" s="88">
        <f>'Data Sheet'!D16</f>
        <v>42825</v>
      </c>
      <c r="F9" s="88">
        <f>'Data Sheet'!E16</f>
        <v>43190</v>
      </c>
      <c r="G9" s="88">
        <f>'Data Sheet'!F16</f>
        <v>43555</v>
      </c>
      <c r="H9" s="88">
        <f>'Data Sheet'!G16</f>
        <v>43921</v>
      </c>
      <c r="I9" s="88">
        <f>'Data Sheet'!H16</f>
        <v>44286</v>
      </c>
      <c r="J9" s="88">
        <f>'Data Sheet'!I16</f>
        <v>44651</v>
      </c>
      <c r="K9" s="88">
        <f>'Data Sheet'!J16</f>
        <v>45016</v>
      </c>
      <c r="L9" s="88">
        <f>'Data Sheet'!K16</f>
        <v>45382</v>
      </c>
      <c r="M9" s="25"/>
    </row>
    <row r="11" spans="2:13" x14ac:dyDescent="0.3">
      <c r="B11" s="90" t="str">
        <f>'Data Sheet'!A17</f>
        <v>Sales</v>
      </c>
      <c r="C11" s="91">
        <f>'Data Sheet'!B17/'Data Sheet'!B$17</f>
        <v>1</v>
      </c>
      <c r="D11" s="91">
        <f>'Data Sheet'!C17/'Data Sheet'!C$17</f>
        <v>1</v>
      </c>
      <c r="E11" s="91">
        <f>'Data Sheet'!D17/'Data Sheet'!D$17</f>
        <v>1</v>
      </c>
      <c r="F11" s="91">
        <f>'Data Sheet'!E17/'Data Sheet'!E$17</f>
        <v>1</v>
      </c>
      <c r="G11" s="91">
        <f>'Data Sheet'!F17/'Data Sheet'!F$17</f>
        <v>1</v>
      </c>
      <c r="H11" s="91">
        <f>'Data Sheet'!G17/'Data Sheet'!G$17</f>
        <v>1</v>
      </c>
      <c r="I11" s="91">
        <f>'Data Sheet'!H17/'Data Sheet'!H$17</f>
        <v>1</v>
      </c>
      <c r="J11" s="91">
        <f>'Data Sheet'!I17/'Data Sheet'!I$17</f>
        <v>1</v>
      </c>
      <c r="K11" s="91">
        <f>'Data Sheet'!J17/'Data Sheet'!J$17</f>
        <v>1</v>
      </c>
      <c r="L11" s="91">
        <f>'Data Sheet'!K17/'Data Sheet'!K$17</f>
        <v>1</v>
      </c>
    </row>
    <row r="12" spans="2:13" x14ac:dyDescent="0.3">
      <c r="B12" s="89" t="str">
        <f>'Data Sheet'!A18</f>
        <v>Raw Material Cost</v>
      </c>
      <c r="C12" s="46">
        <f>'Data Sheet'!B18/'Data Sheet'!B$17</f>
        <v>0.62034880968150885</v>
      </c>
      <c r="D12" s="46">
        <f>'Data Sheet'!C18/'Data Sheet'!C$17</f>
        <v>0.60844785632875986</v>
      </c>
      <c r="E12" s="46">
        <f>'Data Sheet'!D18/'Data Sheet'!D$17</f>
        <v>0.64256170851760019</v>
      </c>
      <c r="F12" s="46">
        <f>'Data Sheet'!E18/'Data Sheet'!E$17</f>
        <v>0.6444735745247272</v>
      </c>
      <c r="G12" s="46">
        <f>'Data Sheet'!F18/'Data Sheet'!F$17</f>
        <v>0.64340246222408271</v>
      </c>
      <c r="H12" s="46">
        <f>'Data Sheet'!G18/'Data Sheet'!G$17</f>
        <v>0.63163558516963991</v>
      </c>
      <c r="I12" s="46">
        <f>'Data Sheet'!H18/'Data Sheet'!H$17</f>
        <v>0.6149343010611712</v>
      </c>
      <c r="J12" s="46">
        <f>'Data Sheet'!I18/'Data Sheet'!I$17</f>
        <v>0.64389656704768283</v>
      </c>
      <c r="K12" s="46">
        <f>'Data Sheet'!J18/'Data Sheet'!J$17</f>
        <v>0.66842005177546293</v>
      </c>
      <c r="L12" s="46">
        <f>'Data Sheet'!K18/'Data Sheet'!K$17</f>
        <v>0.62640747810991748</v>
      </c>
    </row>
    <row r="13" spans="2:13" x14ac:dyDescent="0.3">
      <c r="B13" s="89" t="str">
        <f>'Data Sheet'!A19</f>
        <v>Change in Inventory</v>
      </c>
      <c r="C13" s="46">
        <f>'Data Sheet'!B19/'Data Sheet'!B$17</f>
        <v>1.2655277809634314E-2</v>
      </c>
      <c r="D13" s="46">
        <f>'Data Sheet'!C19/'Data Sheet'!C$17</f>
        <v>1.0075203555743071E-2</v>
      </c>
      <c r="E13" s="46">
        <f>'Data Sheet'!D19/'Data Sheet'!D$17</f>
        <v>2.7438359337454348E-2</v>
      </c>
      <c r="F13" s="46">
        <f>'Data Sheet'!E19/'Data Sheet'!E$17</f>
        <v>7.0196420187680708E-3</v>
      </c>
      <c r="G13" s="46">
        <f>'Data Sheet'!F19/'Data Sheet'!F$17</f>
        <v>-6.8003274840166073E-3</v>
      </c>
      <c r="H13" s="46">
        <f>'Data Sheet'!G19/'Data Sheet'!G$17</f>
        <v>-8.5463950250197294E-3</v>
      </c>
      <c r="I13" s="46">
        <f>'Data Sheet'!H19/'Data Sheet'!H$17</f>
        <v>-1.8752035421080705E-2</v>
      </c>
      <c r="J13" s="46">
        <f>'Data Sheet'!I19/'Data Sheet'!I$17</f>
        <v>-5.7118668451859233E-3</v>
      </c>
      <c r="K13" s="46">
        <f>'Data Sheet'!J19/'Data Sheet'!J$17</f>
        <v>1.3821030371772196E-2</v>
      </c>
      <c r="L13" s="46">
        <f>'Data Sheet'!K19/'Data Sheet'!K$17</f>
        <v>3.5748589316452802E-3</v>
      </c>
    </row>
    <row r="14" spans="2:13" x14ac:dyDescent="0.3">
      <c r="B14" s="89" t="str">
        <f>'Data Sheet'!A20</f>
        <v>Power and Fuel</v>
      </c>
      <c r="C14" s="46">
        <f>'Data Sheet'!B20/'Data Sheet'!B$17</f>
        <v>4.2626324209038965E-3</v>
      </c>
      <c r="D14" s="46">
        <f>'Data Sheet'!C20/'Data Sheet'!C$17</f>
        <v>4.1884212746881849E-3</v>
      </c>
      <c r="E14" s="46">
        <f>'Data Sheet'!D20/'Data Sheet'!D$17</f>
        <v>4.3005272931013168E-3</v>
      </c>
      <c r="F14" s="46">
        <f>'Data Sheet'!E20/'Data Sheet'!E$17</f>
        <v>4.4866329837632236E-3</v>
      </c>
      <c r="G14" s="46">
        <f>'Data Sheet'!F20/'Data Sheet'!F$17</f>
        <v>5.252495210943689E-3</v>
      </c>
      <c r="H14" s="46">
        <f>'Data Sheet'!G20/'Data Sheet'!G$17</f>
        <v>4.8452899066859867E-3</v>
      </c>
      <c r="I14" s="46">
        <f>'Data Sheet'!H20/'Data Sheet'!H$17</f>
        <v>4.4551376680254488E-3</v>
      </c>
      <c r="J14" s="46">
        <f>'Data Sheet'!I20/'Data Sheet'!I$17</f>
        <v>7.8228108508698862E-3</v>
      </c>
      <c r="K14" s="46">
        <f>'Data Sheet'!J20/'Data Sheet'!J$17</f>
        <v>7.2646530389880865E-3</v>
      </c>
      <c r="L14" s="46">
        <f>'Data Sheet'!K20/'Data Sheet'!K$17</f>
        <v>5.0125161051102094E-3</v>
      </c>
    </row>
    <row r="15" spans="2:13" x14ac:dyDescent="0.3">
      <c r="B15" s="89" t="str">
        <f>'Data Sheet'!A21</f>
        <v>Other Mfr. Exp</v>
      </c>
      <c r="C15" s="46">
        <f>'Data Sheet'!B21/'Data Sheet'!B$17</f>
        <v>6.1457792548063536E-2</v>
      </c>
      <c r="D15" s="46">
        <f>'Data Sheet'!C21/'Data Sheet'!C$17</f>
        <v>4.4320545725695638E-2</v>
      </c>
      <c r="E15" s="46">
        <f>'Data Sheet'!D21/'Data Sheet'!D$17</f>
        <v>3.7329067833585743E-2</v>
      </c>
      <c r="F15" s="46">
        <f>'Data Sheet'!E21/'Data Sheet'!E$17</f>
        <v>3.7632110912662539E-2</v>
      </c>
      <c r="G15" s="46">
        <f>'Data Sheet'!F21/'Data Sheet'!F$17</f>
        <v>3.8731542592793759E-2</v>
      </c>
      <c r="H15" s="46">
        <f>'Data Sheet'!G21/'Data Sheet'!G$17</f>
        <v>4.4208831899217663E-2</v>
      </c>
      <c r="I15" s="46">
        <f>'Data Sheet'!H21/'Data Sheet'!H$17</f>
        <v>3.3119871414431248E-2</v>
      </c>
      <c r="J15" s="46">
        <f>'Data Sheet'!I21/'Data Sheet'!I$17</f>
        <v>3.3856194794666339E-2</v>
      </c>
      <c r="K15" s="46">
        <f>'Data Sheet'!J21/'Data Sheet'!J$17</f>
        <v>3.4008940217616732E-2</v>
      </c>
      <c r="L15" s="46">
        <f>'Data Sheet'!K21/'Data Sheet'!K$17</f>
        <v>3.9080257458895561E-2</v>
      </c>
    </row>
    <row r="16" spans="2:13" x14ac:dyDescent="0.3">
      <c r="B16" s="89" t="str">
        <f>'Data Sheet'!A22</f>
        <v>Employee Cost</v>
      </c>
      <c r="C16" s="46">
        <f>'Data Sheet'!B22/'Data Sheet'!B$17</f>
        <v>9.7439008161530352E-2</v>
      </c>
      <c r="D16" s="46">
        <f>'Data Sheet'!C22/'Data Sheet'!C$17</f>
        <v>0.10577313825968997</v>
      </c>
      <c r="E16" s="46">
        <f>'Data Sheet'!D22/'Data Sheet'!D$17</f>
        <v>0.10505627316086753</v>
      </c>
      <c r="F16" s="46">
        <f>'Data Sheet'!E22/'Data Sheet'!E$17</f>
        <v>0.10392742279141506</v>
      </c>
      <c r="G16" s="46">
        <f>'Data Sheet'!F22/'Data Sheet'!F$17</f>
        <v>0.11010149752399827</v>
      </c>
      <c r="H16" s="46">
        <f>'Data Sheet'!G22/'Data Sheet'!G$17</f>
        <v>0.11659262528451882</v>
      </c>
      <c r="I16" s="46">
        <f>'Data Sheet'!H22/'Data Sheet'!H$17</f>
        <v>0.11068479221440802</v>
      </c>
      <c r="J16" s="46">
        <f>'Data Sheet'!I22/'Data Sheet'!I$17</f>
        <v>0.11064147774412127</v>
      </c>
      <c r="K16" s="46">
        <f>'Data Sheet'!J22/'Data Sheet'!J$17</f>
        <v>9.7277205393335675E-2</v>
      </c>
      <c r="L16" s="46">
        <f>'Data Sheet'!K22/'Data Sheet'!K$17</f>
        <v>9.701746020810692E-2</v>
      </c>
    </row>
    <row r="17" spans="2:12" x14ac:dyDescent="0.3">
      <c r="B17" s="89" t="str">
        <f>'Data Sheet'!A23</f>
        <v>Selling and admin</v>
      </c>
      <c r="C17" s="46">
        <f>'Data Sheet'!B23/'Data Sheet'!B$17</f>
        <v>8.96910681140351E-2</v>
      </c>
      <c r="D17" s="46">
        <f>'Data Sheet'!C23/'Data Sheet'!C$17</f>
        <v>8.0542956927341092E-2</v>
      </c>
      <c r="E17" s="46">
        <f>'Data Sheet'!D23/'Data Sheet'!D$17</f>
        <v>0.1113838126242364</v>
      </c>
      <c r="F17" s="46">
        <f>'Data Sheet'!E23/'Data Sheet'!E$17</f>
        <v>0.10634377964323709</v>
      </c>
      <c r="G17" s="46">
        <f>'Data Sheet'!F23/'Data Sheet'!F$17</f>
        <v>0.1083658123643763</v>
      </c>
      <c r="H17" s="46">
        <f>'Data Sheet'!G23/'Data Sheet'!G$17</f>
        <v>0.11203335284677013</v>
      </c>
      <c r="I17" s="46">
        <f>'Data Sheet'!H23/'Data Sheet'!H$17</f>
        <v>9.2138805959692913E-2</v>
      </c>
      <c r="J17" s="46">
        <f>'Data Sheet'!I23/'Data Sheet'!I$17</f>
        <v>0.10488425325553319</v>
      </c>
      <c r="K17" s="46">
        <f>'Data Sheet'!J23/'Data Sheet'!J$17</f>
        <v>0.10070091373173573</v>
      </c>
      <c r="L17" s="46">
        <f>'Data Sheet'!K23/'Data Sheet'!K$17</f>
        <v>9.7653843692077344E-2</v>
      </c>
    </row>
    <row r="18" spans="2:12" x14ac:dyDescent="0.3">
      <c r="B18" s="89" t="str">
        <f>'Data Sheet'!A24</f>
        <v>Other Expenses</v>
      </c>
      <c r="C18" s="46">
        <f>'Data Sheet'!B24/'Data Sheet'!B$17</f>
        <v>-9.6502882022114541E-3</v>
      </c>
      <c r="D18" s="46">
        <f>'Data Sheet'!C24/'Data Sheet'!C$17</f>
        <v>2.6183831565130516E-2</v>
      </c>
      <c r="E18" s="46">
        <f>'Data Sheet'!D24/'Data Sheet'!D$17</f>
        <v>1.7094282670289951E-2</v>
      </c>
      <c r="F18" s="46">
        <f>'Data Sheet'!E24/'Data Sheet'!E$17</f>
        <v>2.2582367211331639E-3</v>
      </c>
      <c r="G18" s="46">
        <f>'Data Sheet'!F24/'Data Sheet'!F$17</f>
        <v>5.6592338039812094E-3</v>
      </c>
      <c r="H18" s="46">
        <f>'Data Sheet'!G24/'Data Sheet'!G$17</f>
        <v>1.3239885383105405E-2</v>
      </c>
      <c r="I18" s="46">
        <f>'Data Sheet'!H24/'Data Sheet'!H$17</f>
        <v>-3.3407827826645677E-3</v>
      </c>
      <c r="J18" s="46">
        <f>'Data Sheet'!I24/'Data Sheet'!I$17</f>
        <v>4.4105011096641517E-3</v>
      </c>
      <c r="K18" s="46">
        <f>'Data Sheet'!J24/'Data Sheet'!J$17</f>
        <v>1.4187308112100993E-2</v>
      </c>
      <c r="L18" s="46">
        <f>'Data Sheet'!K24/'Data Sheet'!K$17</f>
        <v>2.4486001424390141E-3</v>
      </c>
    </row>
    <row r="19" spans="2:12" x14ac:dyDescent="0.3">
      <c r="B19" s="89" t="str">
        <f>'Data Sheet'!A25</f>
        <v>Other Income</v>
      </c>
      <c r="C19" s="46">
        <f>'Data Sheet'!B25/'Data Sheet'!B$17</f>
        <v>2.7133028103392101E-3</v>
      </c>
      <c r="D19" s="46">
        <f>'Data Sheet'!C25/'Data Sheet'!C$17</f>
        <v>-9.7771947249836663E-3</v>
      </c>
      <c r="E19" s="46">
        <f>'Data Sheet'!D25/'Data Sheet'!D$17</f>
        <v>6.9304853887117582E-3</v>
      </c>
      <c r="F19" s="46">
        <f>'Data Sheet'!E25/'Data Sheet'!E$17</f>
        <v>2.034889464081829E-2</v>
      </c>
      <c r="G19" s="46">
        <f>'Data Sheet'!F25/'Data Sheet'!F$17</f>
        <v>-8.8383094035074702E-2</v>
      </c>
      <c r="H19" s="46">
        <f>'Data Sheet'!G25/'Data Sheet'!G$17</f>
        <v>3.8959202846676288E-4</v>
      </c>
      <c r="I19" s="46">
        <f>'Data Sheet'!H25/'Data Sheet'!H$17</f>
        <v>-4.4507860953843105E-2</v>
      </c>
      <c r="J19" s="46">
        <f>'Data Sheet'!I25/'Data Sheet'!I$17</f>
        <v>8.7053994844814731E-3</v>
      </c>
      <c r="K19" s="46">
        <f>'Data Sheet'!J25/'Data Sheet'!J$17</f>
        <v>1.9261867686386363E-2</v>
      </c>
      <c r="L19" s="46">
        <f>'Data Sheet'!K25/'Data Sheet'!K$17</f>
        <v>1.295341466927297E-2</v>
      </c>
    </row>
    <row r="20" spans="2:12" x14ac:dyDescent="0.3">
      <c r="B20" s="89" t="str">
        <f>'Data Sheet'!A26</f>
        <v>Depreciation</v>
      </c>
      <c r="C20" s="46">
        <f>'Data Sheet'!B26/'Data Sheet'!B$17</f>
        <v>5.0876584184966822E-2</v>
      </c>
      <c r="D20" s="46">
        <f>'Data Sheet'!C26/'Data Sheet'!C$17</f>
        <v>6.1201425695927715E-2</v>
      </c>
      <c r="E20" s="46">
        <f>'Data Sheet'!D26/'Data Sheet'!D$17</f>
        <v>6.63903865924938E-2</v>
      </c>
      <c r="F20" s="46">
        <f>'Data Sheet'!E26/'Data Sheet'!E$17</f>
        <v>7.3927472182518786E-2</v>
      </c>
      <c r="G20" s="46">
        <f>'Data Sheet'!F26/'Data Sheet'!F$17</f>
        <v>7.8130605447998658E-2</v>
      </c>
      <c r="H20" s="46">
        <f>'Data Sheet'!G26/'Data Sheet'!G$17</f>
        <v>8.206839774331566E-2</v>
      </c>
      <c r="I20" s="46">
        <f>'Data Sheet'!H26/'Data Sheet'!H$17</f>
        <v>9.4264230933596482E-2</v>
      </c>
      <c r="J20" s="46">
        <f>'Data Sheet'!I26/'Data Sheet'!I$17</f>
        <v>8.9191478279219347E-2</v>
      </c>
      <c r="K20" s="46">
        <f>'Data Sheet'!J26/'Data Sheet'!J$17</f>
        <v>7.1857611147098821E-2</v>
      </c>
      <c r="L20" s="46">
        <f>'Data Sheet'!K26/'Data Sheet'!K$17</f>
        <v>6.2270839777984394E-2</v>
      </c>
    </row>
    <row r="21" spans="2:12" x14ac:dyDescent="0.3">
      <c r="B21" s="89" t="str">
        <f>'Data Sheet'!A27</f>
        <v>Interest</v>
      </c>
      <c r="C21" s="46">
        <f>'Data Sheet'!B27/'Data Sheet'!B$17</f>
        <v>1.8473585814932098E-2</v>
      </c>
      <c r="D21" s="46">
        <f>'Data Sheet'!C27/'Data Sheet'!C$17</f>
        <v>1.7905727101993223E-2</v>
      </c>
      <c r="E21" s="46">
        <f>'Data Sheet'!D27/'Data Sheet'!D$17</f>
        <v>1.5714229512714312E-2</v>
      </c>
      <c r="F21" s="46">
        <f>'Data Sheet'!E27/'Data Sheet'!E$17</f>
        <v>1.605824830060304E-2</v>
      </c>
      <c r="G21" s="46">
        <f>'Data Sheet'!F27/'Data Sheet'!F$17</f>
        <v>1.9072102124141878E-2</v>
      </c>
      <c r="H21" s="46">
        <f>'Data Sheet'!G27/'Data Sheet'!G$17</f>
        <v>2.7744996829752802E-2</v>
      </c>
      <c r="I21" s="46">
        <f>'Data Sheet'!H27/'Data Sheet'!H$17</f>
        <v>3.2415292955516477E-2</v>
      </c>
      <c r="J21" s="46">
        <f>'Data Sheet'!I27/'Data Sheet'!I$17</f>
        <v>3.3441332168710897E-2</v>
      </c>
      <c r="K21" s="46">
        <f>'Data Sheet'!J27/'Data Sheet'!J$17</f>
        <v>2.9556231914277829E-2</v>
      </c>
      <c r="L21" s="46">
        <f>'Data Sheet'!K27/'Data Sheet'!K$17</f>
        <v>2.2802299109736749E-2</v>
      </c>
    </row>
    <row r="22" spans="2:12" x14ac:dyDescent="0.3">
      <c r="B22" s="89" t="str">
        <f>'Data Sheet'!A28</f>
        <v>Profit before tax</v>
      </c>
      <c r="C22" s="46">
        <f>'Data Sheet'!B28/'Data Sheet'!B$17</f>
        <v>8.246938789624432E-2</v>
      </c>
      <c r="D22" s="46">
        <f>'Data Sheet'!C28/'Data Sheet'!C$17</f>
        <v>5.1734105951533375E-2</v>
      </c>
      <c r="E22" s="46">
        <f>'Data Sheet'!D28/'Data Sheet'!D$17</f>
        <v>3.453855652127677E-2</v>
      </c>
      <c r="F22" s="46">
        <f>'Data Sheet'!E28/'Data Sheet'!E$17</f>
        <v>3.8261058599526235E-2</v>
      </c>
      <c r="G22" s="46">
        <f>'Data Sheet'!F28/'Data Sheet'!F$17</f>
        <v>-0.10389917281140788</v>
      </c>
      <c r="H22" s="46">
        <f>'Data Sheet'!G28/'Data Sheet'!G$17</f>
        <v>-4.0525768059559354E-2</v>
      </c>
      <c r="I22" s="46">
        <f>'Data Sheet'!H28/'Data Sheet'!H$17</f>
        <v>-4.1931545799101064E-2</v>
      </c>
      <c r="J22" s="46">
        <f>'Data Sheet'!I28/'Data Sheet'!I$17</f>
        <v>-2.5151082611172375E-2</v>
      </c>
      <c r="K22" s="46">
        <f>'Data Sheet'!J28/'Data Sheet'!J$17</f>
        <v>9.809982727541881E-3</v>
      </c>
      <c r="L22" s="46">
        <f>'Data Sheet'!K28/'Data Sheet'!K$17</f>
        <v>6.3834978996650513E-2</v>
      </c>
    </row>
    <row r="23" spans="2:12" x14ac:dyDescent="0.3">
      <c r="B23" s="89" t="str">
        <f>'Data Sheet'!A29</f>
        <v>Tax</v>
      </c>
      <c r="C23" s="46">
        <f>'Data Sheet'!B29/'Data Sheet'!B$17</f>
        <v>2.9042938226922752E-2</v>
      </c>
      <c r="D23" s="46">
        <f>'Data Sheet'!C29/'Data Sheet'!C$17</f>
        <v>1.1078918686109574E-2</v>
      </c>
      <c r="E23" s="46">
        <f>'Data Sheet'!D29/'Data Sheet'!D$17</f>
        <v>1.2055321818169885E-2</v>
      </c>
      <c r="F23" s="46">
        <f>'Data Sheet'!E29/'Data Sheet'!E$17</f>
        <v>1.4892549653836963E-2</v>
      </c>
      <c r="G23" s="46">
        <f>'Data Sheet'!F29/'Data Sheet'!F$17</f>
        <v>-8.0726731015332912E-3</v>
      </c>
      <c r="H23" s="46">
        <f>'Data Sheet'!G29/'Data Sheet'!G$17</f>
        <v>1.5139735448971392E-3</v>
      </c>
      <c r="I23" s="46">
        <f>'Data Sheet'!H29/'Data Sheet'!H$17</f>
        <v>1.0175794327142584E-2</v>
      </c>
      <c r="J23" s="46">
        <f>'Data Sheet'!I29/'Data Sheet'!I$17</f>
        <v>1.5195672442685429E-2</v>
      </c>
      <c r="K23" s="46">
        <f>'Data Sheet'!J29/'Data Sheet'!J$17</f>
        <v>2.0350497621203548E-3</v>
      </c>
      <c r="L23" s="46">
        <f>'Data Sheet'!K29/'Data Sheet'!K$17</f>
        <v>-8.795149026516404E-3</v>
      </c>
    </row>
    <row r="24" spans="2:12" x14ac:dyDescent="0.3">
      <c r="B24" s="89" t="str">
        <f>'Data Sheet'!A30</f>
        <v>Net profit</v>
      </c>
      <c r="C24" s="46">
        <f>'Data Sheet'!B30/'Data Sheet'!B$17</f>
        <v>5.3147682818956064E-2</v>
      </c>
      <c r="D24" s="46">
        <f>'Data Sheet'!C30/'Data Sheet'!C$17</f>
        <v>4.2407971415763523E-2</v>
      </c>
      <c r="E24" s="46">
        <f>'Data Sheet'!D30/'Data Sheet'!D$17</f>
        <v>2.764021885516954E-2</v>
      </c>
      <c r="F24" s="46">
        <f>'Data Sheet'!E30/'Data Sheet'!E$17</f>
        <v>3.0831401821049997E-2</v>
      </c>
      <c r="G24" s="46">
        <f>'Data Sheet'!F30/'Data Sheet'!F$17</f>
        <v>-9.5470566181711222E-2</v>
      </c>
      <c r="H24" s="46">
        <f>'Data Sheet'!G30/'Data Sheet'!G$17</f>
        <v>-4.6236426475450051E-2</v>
      </c>
      <c r="I24" s="46">
        <f>'Data Sheet'!H30/'Data Sheet'!H$17</f>
        <v>-5.3849770661713266E-2</v>
      </c>
      <c r="J24" s="46">
        <f>'Data Sheet'!I30/'Data Sheet'!I$17</f>
        <v>-4.1089320368684734E-2</v>
      </c>
      <c r="K24" s="46">
        <f>'Data Sheet'!J30/'Data Sheet'!J$17</f>
        <v>6.9783829363826268E-3</v>
      </c>
      <c r="L24" s="46">
        <f>'Data Sheet'!K30/'Data Sheet'!K$17</f>
        <v>7.169924391869463E-2</v>
      </c>
    </row>
    <row r="25" spans="2:12" x14ac:dyDescent="0.3">
      <c r="B25" s="89" t="str">
        <f>'Data Sheet'!A31</f>
        <v>Dividend Amount</v>
      </c>
      <c r="C25" s="46">
        <f>'Data Sheet'!B31/'Data Sheet'!B$17</f>
        <v>0</v>
      </c>
      <c r="D25" s="46">
        <f>'Data Sheet'!C31/'Data Sheet'!C$17</f>
        <v>2.487496593975512E-4</v>
      </c>
      <c r="E25" s="46">
        <f>'Data Sheet'!D31/'Data Sheet'!D$17</f>
        <v>0</v>
      </c>
      <c r="F25" s="46">
        <f>'Data Sheet'!E31/'Data Sheet'!E$17</f>
        <v>0</v>
      </c>
      <c r="G25" s="46">
        <f>'Data Sheet'!F31/'Data Sheet'!F$17</f>
        <v>0</v>
      </c>
      <c r="H25" s="46">
        <f>'Data Sheet'!G31/'Data Sheet'!G$17</f>
        <v>0</v>
      </c>
      <c r="I25" s="46">
        <f>'Data Sheet'!H31/'Data Sheet'!H$17</f>
        <v>0</v>
      </c>
      <c r="J25" s="46">
        <f>'Data Sheet'!I31/'Data Sheet'!I$17</f>
        <v>0</v>
      </c>
      <c r="K25" s="46">
        <f>'Data Sheet'!J31/'Data Sheet'!J$17</f>
        <v>2.2141420032091505E-3</v>
      </c>
      <c r="L25" s="46">
        <f>'Data Sheet'!K31/'Data Sheet'!K$17</f>
        <v>1.0676760690467288E-2</v>
      </c>
    </row>
    <row r="26" spans="2:12" x14ac:dyDescent="0.3">
      <c r="B26" s="89" t="str">
        <f>'Data Sheet'!A33</f>
        <v>EBITDA</v>
      </c>
      <c r="C26" s="46">
        <f>'Data Sheet'!B33/'Data Sheet'!B$17</f>
        <v>0.15154079104577772</v>
      </c>
      <c r="D26" s="46">
        <f>'Data Sheet'!C33/'Data Sheet'!C$17</f>
        <v>0.13259404289979404</v>
      </c>
      <c r="E26" s="46">
        <f>'Data Sheet'!D33/'Data Sheet'!D$17</f>
        <v>0.12180015677854755</v>
      </c>
      <c r="F26" s="46">
        <f>'Data Sheet'!E33/'Data Sheet'!E$17</f>
        <v>0.13570967195800879</v>
      </c>
      <c r="G26" s="46">
        <f>'Data Sheet'!F33/'Data Sheet'!F$17</f>
        <v>-6.340531711103989E-3</v>
      </c>
      <c r="H26" s="46">
        <f>'Data Sheet'!G33/'Data Sheet'!G$17</f>
        <v>6.5090941642515554E-2</v>
      </c>
      <c r="I26" s="46">
        <f>'Data Sheet'!H33/'Data Sheet'!H$17</f>
        <v>8.3005547554542272E-2</v>
      </c>
      <c r="J26" s="46">
        <f>'Data Sheet'!I33/'Data Sheet'!I$17</f>
        <v>9.6739162521930933E-2</v>
      </c>
      <c r="K26" s="46">
        <f>'Data Sheet'!J33/'Data Sheet'!J$17</f>
        <v>0.11042727575987964</v>
      </c>
      <c r="L26" s="46">
        <f>'Data Sheet'!K33/'Data Sheet'!K$17</f>
        <v>0.14797723377989935</v>
      </c>
    </row>
    <row r="28" spans="2:12" x14ac:dyDescent="0.3">
      <c r="B28" s="194" t="str">
        <f>"Common Size Balance sheet"&amp;" "&amp;"- "&amp;'Data Sheet'!$B$1</f>
        <v>Common Size Balance sheet - TATA MOTORS LTD</v>
      </c>
      <c r="C28" s="194"/>
      <c r="D28" s="194"/>
      <c r="E28" s="194"/>
      <c r="F28" s="194"/>
      <c r="G28" s="194"/>
      <c r="H28" s="194"/>
      <c r="I28" s="194"/>
      <c r="J28" s="194"/>
      <c r="K28" s="194"/>
      <c r="L28" s="194"/>
    </row>
    <row r="30" spans="2:12" x14ac:dyDescent="0.3">
      <c r="B30" s="87" t="s">
        <v>203</v>
      </c>
      <c r="C30" s="88">
        <f>'Data Sheet'!B56</f>
        <v>42094</v>
      </c>
      <c r="D30" s="88">
        <f>'Data Sheet'!C56</f>
        <v>42460</v>
      </c>
      <c r="E30" s="88">
        <f>'Data Sheet'!D56</f>
        <v>42825</v>
      </c>
      <c r="F30" s="88">
        <f>'Data Sheet'!E56</f>
        <v>43190</v>
      </c>
      <c r="G30" s="88">
        <f>'Data Sheet'!F56</f>
        <v>43555</v>
      </c>
      <c r="H30" s="88">
        <f>'Data Sheet'!G56</f>
        <v>43921</v>
      </c>
      <c r="I30" s="88">
        <f>'Data Sheet'!H56</f>
        <v>44286</v>
      </c>
      <c r="J30" s="88">
        <f>'Data Sheet'!I56</f>
        <v>44651</v>
      </c>
      <c r="K30" s="88">
        <f>'Data Sheet'!J56</f>
        <v>45016</v>
      </c>
      <c r="L30" s="88">
        <f>'Data Sheet'!K56</f>
        <v>45382</v>
      </c>
    </row>
    <row r="31" spans="2:12" x14ac:dyDescent="0.3">
      <c r="B31" s="90" t="s">
        <v>204</v>
      </c>
      <c r="C31" s="91">
        <f>'Data Sheet'!B61/'Data Sheet'!B$61</f>
        <v>1</v>
      </c>
      <c r="D31" s="91">
        <f>'Data Sheet'!C61/'Data Sheet'!C$61</f>
        <v>1</v>
      </c>
      <c r="E31" s="91">
        <f>'Data Sheet'!D61/'Data Sheet'!D$61</f>
        <v>1</v>
      </c>
      <c r="F31" s="91">
        <f>'Data Sheet'!E61/'Data Sheet'!E$61</f>
        <v>1</v>
      </c>
      <c r="G31" s="91">
        <f>'Data Sheet'!F61/'Data Sheet'!F$61</f>
        <v>1</v>
      </c>
      <c r="H31" s="91">
        <f>'Data Sheet'!G61/'Data Sheet'!G$61</f>
        <v>1</v>
      </c>
      <c r="I31" s="91">
        <f>'Data Sheet'!H61/'Data Sheet'!H$61</f>
        <v>1</v>
      </c>
      <c r="J31" s="91">
        <f>'Data Sheet'!I61/'Data Sheet'!I$61</f>
        <v>1</v>
      </c>
      <c r="K31" s="91">
        <f>'Data Sheet'!J61/'Data Sheet'!J$61</f>
        <v>1</v>
      </c>
      <c r="L31" s="91">
        <f>'Data Sheet'!K61/'Data Sheet'!K$61</f>
        <v>1</v>
      </c>
    </row>
    <row r="32" spans="2:12" x14ac:dyDescent="0.3">
      <c r="B32" s="89" t="str">
        <f>'Data Sheet'!A57</f>
        <v>Equity Share Capital</v>
      </c>
      <c r="C32" s="46">
        <f>'Data Sheet'!B57/'Data Sheet'!B$61</f>
        <v>2.7127681338360746E-3</v>
      </c>
      <c r="D32" s="46">
        <f>'Data Sheet'!C57/'Data Sheet'!C$61</f>
        <v>2.5806268250531225E-3</v>
      </c>
      <c r="E32" s="46">
        <f>'Data Sheet'!D57/'Data Sheet'!D$61</f>
        <v>2.491815624573979E-3</v>
      </c>
      <c r="F32" s="46">
        <f>'Data Sheet'!E57/'Data Sheet'!E$61</f>
        <v>2.0759077068585549E-3</v>
      </c>
      <c r="G32" s="46">
        <f>'Data Sheet'!F57/'Data Sheet'!F$61</f>
        <v>2.2218261230841693E-3</v>
      </c>
      <c r="H32" s="46">
        <f>'Data Sheet'!G57/'Data Sheet'!G$61</f>
        <v>2.2473026761653833E-3</v>
      </c>
      <c r="I32" s="46">
        <f>'Data Sheet'!H57/'Data Sheet'!H$61</f>
        <v>2.2420300429859294E-3</v>
      </c>
      <c r="J32" s="46">
        <f>'Data Sheet'!I57/'Data Sheet'!I$61</f>
        <v>2.3274677325505334E-3</v>
      </c>
      <c r="K32" s="46">
        <f>'Data Sheet'!J57/'Data Sheet'!J$61</f>
        <v>2.2888512875034999E-3</v>
      </c>
      <c r="L32" s="46">
        <f>'Data Sheet'!K57/'Data Sheet'!K$61</f>
        <v>2.0743091975302811E-3</v>
      </c>
    </row>
    <row r="33" spans="2:12" x14ac:dyDescent="0.3">
      <c r="B33" s="89" t="str">
        <f>'Data Sheet'!A58</f>
        <v>Reserves</v>
      </c>
      <c r="C33" s="46">
        <f>'Data Sheet'!B58/'Data Sheet'!B$61</f>
        <v>0.23436440687072221</v>
      </c>
      <c r="D33" s="46">
        <f>'Data Sheet'!C58/'Data Sheet'!C$61</f>
        <v>0.2974086354450261</v>
      </c>
      <c r="E33" s="46">
        <f>'Data Sheet'!D58/'Data Sheet'!D$61</f>
        <v>0.21051652437468349</v>
      </c>
      <c r="F33" s="46">
        <f>'Data Sheet'!E58/'Data Sheet'!E$61</f>
        <v>0.28958148432871839</v>
      </c>
      <c r="G33" s="46">
        <f>'Data Sheet'!F58/'Data Sheet'!F$61</f>
        <v>0.19463415350606564</v>
      </c>
      <c r="H33" s="46">
        <f>'Data Sheet'!G58/'Data Sheet'!G$61</f>
        <v>0.19205324240264182</v>
      </c>
      <c r="I33" s="46">
        <f>'Data Sheet'!H58/'Data Sheet'!H$61</f>
        <v>0.15950149121742019</v>
      </c>
      <c r="J33" s="46">
        <f>'Data Sheet'!I58/'Data Sheet'!I$61</f>
        <v>0.13309172094249011</v>
      </c>
      <c r="K33" s="46">
        <f>'Data Sheet'!J58/'Data Sheet'!J$61</f>
        <v>0.13313168263258116</v>
      </c>
      <c r="L33" s="46">
        <f>'Data Sheet'!K58/'Data Sheet'!K$61</f>
        <v>0.22773160068121778</v>
      </c>
    </row>
    <row r="34" spans="2:12" x14ac:dyDescent="0.3">
      <c r="B34" s="89" t="str">
        <f>'Data Sheet'!A59</f>
        <v>Borrowings</v>
      </c>
      <c r="C34" s="46">
        <f>'Data Sheet'!B59/'Data Sheet'!B$61</f>
        <v>0.31018037266029647</v>
      </c>
      <c r="D34" s="46">
        <f>'Data Sheet'!C59/'Data Sheet'!C$61</f>
        <v>0.2635415844998551</v>
      </c>
      <c r="E34" s="46">
        <f>'Data Sheet'!D59/'Data Sheet'!D$61</f>
        <v>0.2883699324485447</v>
      </c>
      <c r="F34" s="46">
        <f>'Data Sheet'!E59/'Data Sheet'!E$61</f>
        <v>0.27186031948660327</v>
      </c>
      <c r="G34" s="46">
        <f>'Data Sheet'!F59/'Data Sheet'!F$61</f>
        <v>0.34731477877468786</v>
      </c>
      <c r="H34" s="46">
        <f>'Data Sheet'!G59/'Data Sheet'!G$61</f>
        <v>0.38974288757311953</v>
      </c>
      <c r="I34" s="46">
        <f>'Data Sheet'!H59/'Data Sheet'!H$61</f>
        <v>0.41610975041683274</v>
      </c>
      <c r="J34" s="46">
        <f>'Data Sheet'!I59/'Data Sheet'!I$61</f>
        <v>0.445050649956031</v>
      </c>
      <c r="K34" s="46">
        <f>'Data Sheet'!J59/'Data Sheet'!J$61</f>
        <v>0.40072807474416255</v>
      </c>
      <c r="L34" s="46">
        <f>'Data Sheet'!K59/'Data Sheet'!K$61</f>
        <v>0.29027474272679948</v>
      </c>
    </row>
    <row r="35" spans="2:12" x14ac:dyDescent="0.3">
      <c r="B35" s="89" t="str">
        <f>'Data Sheet'!A60</f>
        <v>Other Liabilities</v>
      </c>
      <c r="C35" s="46">
        <f>'Data Sheet'!B60/'Data Sheet'!B$61</f>
        <v>0.45274245233514521</v>
      </c>
      <c r="D35" s="46">
        <f>'Data Sheet'!C60/'Data Sheet'!C$61</f>
        <v>0.43646915323006569</v>
      </c>
      <c r="E35" s="46">
        <f>'Data Sheet'!D60/'Data Sheet'!D$61</f>
        <v>0.4986217275521978</v>
      </c>
      <c r="F35" s="46">
        <f>'Data Sheet'!E60/'Data Sheet'!E$61</f>
        <v>0.43648228847781978</v>
      </c>
      <c r="G35" s="46">
        <f>'Data Sheet'!F60/'Data Sheet'!F$61</f>
        <v>0.45582924159616234</v>
      </c>
      <c r="H35" s="46">
        <f>'Data Sheet'!G60/'Data Sheet'!G$61</f>
        <v>0.41595656734807318</v>
      </c>
      <c r="I35" s="46">
        <f>'Data Sheet'!H60/'Data Sheet'!H$61</f>
        <v>0.42214672832276123</v>
      </c>
      <c r="J35" s="46">
        <f>'Data Sheet'!I60/'Data Sheet'!I$61</f>
        <v>0.41953016136892834</v>
      </c>
      <c r="K35" s="46">
        <f>'Data Sheet'!J60/'Data Sheet'!J$61</f>
        <v>0.46385139133575282</v>
      </c>
      <c r="L35" s="46">
        <f>'Data Sheet'!K60/'Data Sheet'!K$61</f>
        <v>0.47991934739445252</v>
      </c>
    </row>
    <row r="36" spans="2:12" x14ac:dyDescent="0.3">
      <c r="B36" s="89"/>
    </row>
    <row r="37" spans="2:12" x14ac:dyDescent="0.3">
      <c r="B37" s="90" t="s">
        <v>205</v>
      </c>
      <c r="C37" s="91">
        <f>'Data Sheet'!B66/'Data Sheet'!B$66</f>
        <v>1</v>
      </c>
      <c r="D37" s="91">
        <f>'Data Sheet'!C66/'Data Sheet'!C$66</f>
        <v>1</v>
      </c>
      <c r="E37" s="91">
        <f>'Data Sheet'!D66/'Data Sheet'!D$66</f>
        <v>1</v>
      </c>
      <c r="F37" s="91">
        <f>'Data Sheet'!E66/'Data Sheet'!E$66</f>
        <v>1</v>
      </c>
      <c r="G37" s="91">
        <f>'Data Sheet'!F66/'Data Sheet'!F$66</f>
        <v>1</v>
      </c>
      <c r="H37" s="91">
        <f>'Data Sheet'!G66/'Data Sheet'!G$66</f>
        <v>1</v>
      </c>
      <c r="I37" s="91">
        <f>'Data Sheet'!H66/'Data Sheet'!H$66</f>
        <v>1</v>
      </c>
      <c r="J37" s="91">
        <f>'Data Sheet'!I66/'Data Sheet'!I$66</f>
        <v>1</v>
      </c>
      <c r="K37" s="91">
        <f>'Data Sheet'!J66/'Data Sheet'!J$66</f>
        <v>1</v>
      </c>
      <c r="L37" s="91">
        <f>'Data Sheet'!K66/'Data Sheet'!K$66</f>
        <v>1</v>
      </c>
    </row>
    <row r="38" spans="2:12" x14ac:dyDescent="0.3">
      <c r="B38" s="89" t="str">
        <f>'Data Sheet'!A62</f>
        <v>Net Block</v>
      </c>
      <c r="C38" s="46">
        <f>'Data Sheet'!B62/'Data Sheet'!B$66</f>
        <v>0.37283597031605153</v>
      </c>
      <c r="D38" s="46">
        <f>'Data Sheet'!C62/'Data Sheet'!C$66</f>
        <v>0.40744008415097382</v>
      </c>
      <c r="E38" s="46">
        <f>'Data Sheet'!D62/'Data Sheet'!D$66</f>
        <v>0.35198456704657666</v>
      </c>
      <c r="F38" s="46">
        <f>'Data Sheet'!E62/'Data Sheet'!E$66</f>
        <v>0.37107854258332446</v>
      </c>
      <c r="G38" s="46">
        <f>'Data Sheet'!F62/'Data Sheet'!F$66</f>
        <v>0.36386391925064382</v>
      </c>
      <c r="H38" s="46">
        <f>'Data Sheet'!G62/'Data Sheet'!G$66</f>
        <v>0.39698726392101624</v>
      </c>
      <c r="I38" s="46">
        <f>'Data Sheet'!H62/'Data Sheet'!H$66</f>
        <v>0.40608849298230043</v>
      </c>
      <c r="J38" s="46">
        <f>'Data Sheet'!I62/'Data Sheet'!I$66</f>
        <v>0.42197417266906562</v>
      </c>
      <c r="K38" s="46">
        <f>'Data Sheet'!J62/'Data Sheet'!J$66</f>
        <v>0.39465148263642374</v>
      </c>
      <c r="L38" s="46">
        <f>'Data Sheet'!K62/'Data Sheet'!K$66</f>
        <v>0.32822380326769868</v>
      </c>
    </row>
    <row r="39" spans="2:12" x14ac:dyDescent="0.3">
      <c r="B39" s="89" t="str">
        <f>'Data Sheet'!A63</f>
        <v>Capital Work in Progress</v>
      </c>
      <c r="C39" s="46">
        <f>'Data Sheet'!B63/'Data Sheet'!B$66</f>
        <v>0.12068396579918175</v>
      </c>
      <c r="D39" s="46">
        <f>'Data Sheet'!C63/'Data Sheet'!C$66</f>
        <v>9.8482157662096018E-2</v>
      </c>
      <c r="E39" s="46">
        <f>'Data Sheet'!D63/'Data Sheet'!D$66</f>
        <v>0.12362900980833688</v>
      </c>
      <c r="F39" s="46">
        <f>'Data Sheet'!E63/'Data Sheet'!E$66</f>
        <v>0.12235483522646853</v>
      </c>
      <c r="G39" s="46">
        <f>'Data Sheet'!F63/'Data Sheet'!F$66</f>
        <v>0.1042966176146697</v>
      </c>
      <c r="H39" s="46">
        <f>'Data Sheet'!G63/'Data Sheet'!G$66</f>
        <v>0.11125728611076434</v>
      </c>
      <c r="I39" s="46">
        <f>'Data Sheet'!H63/'Data Sheet'!H$66</f>
        <v>6.137522476731045E-2</v>
      </c>
      <c r="J39" s="46">
        <f>'Data Sheet'!I63/'Data Sheet'!I$66</f>
        <v>3.1152505873598278E-2</v>
      </c>
      <c r="K39" s="46">
        <f>'Data Sheet'!J63/'Data Sheet'!J$66</f>
        <v>4.2651899041106903E-2</v>
      </c>
      <c r="L39" s="46">
        <f>'Data Sheet'!K63/'Data Sheet'!K$66</f>
        <v>9.6607412506706999E-2</v>
      </c>
    </row>
    <row r="40" spans="2:12" x14ac:dyDescent="0.3">
      <c r="B40" s="89" t="str">
        <f>'Data Sheet'!A64</f>
        <v>Investments</v>
      </c>
      <c r="C40" s="46">
        <f>'Data Sheet'!B64/'Data Sheet'!B$66</f>
        <v>6.4626144877021785E-2</v>
      </c>
      <c r="D40" s="46">
        <f>'Data Sheet'!C64/'Data Sheet'!C$66</f>
        <v>9.0305676497502971E-2</v>
      </c>
      <c r="E40" s="46">
        <f>'Data Sheet'!D64/'Data Sheet'!D$66</f>
        <v>7.4612565630187005E-2</v>
      </c>
      <c r="F40" s="46">
        <f>'Data Sheet'!E64/'Data Sheet'!E$66</f>
        <v>6.3610241344366172E-2</v>
      </c>
      <c r="G40" s="46">
        <f>'Data Sheet'!F64/'Data Sheet'!F$66</f>
        <v>5.1588289031309388E-2</v>
      </c>
      <c r="H40" s="46">
        <f>'Data Sheet'!G64/'Data Sheet'!G$66</f>
        <v>5.0935445907370862E-2</v>
      </c>
      <c r="I40" s="46">
        <f>'Data Sheet'!H64/'Data Sheet'!H$66</f>
        <v>7.207976838475029E-2</v>
      </c>
      <c r="J40" s="46">
        <f>'Data Sheet'!I64/'Data Sheet'!I$66</f>
        <v>8.928279635517361E-2</v>
      </c>
      <c r="K40" s="46">
        <f>'Data Sheet'!J64/'Data Sheet'!J$66</f>
        <v>7.8820362822460022E-2</v>
      </c>
      <c r="L40" s="46">
        <f>'Data Sheet'!K64/'Data Sheet'!K$66</f>
        <v>6.216451634456871E-2</v>
      </c>
    </row>
    <row r="41" spans="2:12" x14ac:dyDescent="0.3">
      <c r="B41" s="89" t="str">
        <f>'Data Sheet'!A65</f>
        <v>Other Assets</v>
      </c>
      <c r="C41" s="46">
        <f>'Data Sheet'!B74/'Data Sheet'!B$66</f>
        <v>0.13016959457099153</v>
      </c>
      <c r="D41" s="46">
        <f>'Data Sheet'!C74/'Data Sheet'!C$66</f>
        <v>0.11239036762552386</v>
      </c>
      <c r="E41" s="46">
        <f>'Data Sheet'!D74/'Data Sheet'!D$66</f>
        <v>0.13706335995740859</v>
      </c>
      <c r="F41" s="46">
        <f>'Data Sheet'!E74/'Data Sheet'!E$66</f>
        <v>0.14757967199729119</v>
      </c>
      <c r="G41" s="46">
        <f>'Data Sheet'!F74/'Data Sheet'!F$66</f>
        <v>0.1836934867835496</v>
      </c>
      <c r="H41" s="46">
        <f>'Data Sheet'!G74/'Data Sheet'!G$66</f>
        <v>0.1836000124805035</v>
      </c>
      <c r="I41" s="46">
        <f>'Data Sheet'!H74/'Data Sheet'!H$66</f>
        <v>0.18068910109792749</v>
      </c>
      <c r="J41" s="46">
        <f>'Data Sheet'!I74/'Data Sheet'!I$66</f>
        <v>0.18909465826584576</v>
      </c>
      <c r="K41" s="46">
        <f>'Data Sheet'!J74/'Data Sheet'!J$66</f>
        <v>0.20447361335612049</v>
      </c>
      <c r="L41" s="46">
        <f>'Data Sheet'!K74/'Data Sheet'!K$66</f>
        <v>0.21384155000177119</v>
      </c>
    </row>
    <row r="42" spans="2:12" x14ac:dyDescent="0.3">
      <c r="B42" s="89" t="str">
        <f>'Data Sheet'!A67</f>
        <v>Receivables</v>
      </c>
      <c r="C42" s="46">
        <f>'Data Sheet'!B67/'Data Sheet'!B$66</f>
        <v>5.3006388687363314E-2</v>
      </c>
      <c r="D42" s="46">
        <f>'Data Sheet'!C67/'Data Sheet'!C$66</f>
        <v>5.1564319306195219E-2</v>
      </c>
      <c r="E42" s="46">
        <f>'Data Sheet'!D67/'Data Sheet'!D$66</f>
        <v>5.1638166447501938E-2</v>
      </c>
      <c r="F42" s="46">
        <f>'Data Sheet'!E67/'Data Sheet'!E$66</f>
        <v>6.0800115993123419E-2</v>
      </c>
      <c r="G42" s="46">
        <f>'Data Sheet'!F67/'Data Sheet'!F$66</f>
        <v>6.2139198999658127E-2</v>
      </c>
      <c r="H42" s="46">
        <f>'Data Sheet'!G67/'Data Sheet'!G$66</f>
        <v>3.4895094278241959E-2</v>
      </c>
      <c r="I42" s="46">
        <f>'Data Sheet'!H67/'Data Sheet'!H$66</f>
        <v>3.7120014464974392E-2</v>
      </c>
      <c r="J42" s="46">
        <f>'Data Sheet'!I67/'Data Sheet'!I$66</f>
        <v>3.7810927070195913E-2</v>
      </c>
      <c r="K42" s="46">
        <f>'Data Sheet'!J67/'Data Sheet'!J$66</f>
        <v>4.7024715930643397E-2</v>
      </c>
      <c r="L42" s="46">
        <f>'Data Sheet'!K67/'Data Sheet'!K$66</f>
        <v>4.5875140766843833E-2</v>
      </c>
    </row>
    <row r="43" spans="2:12" x14ac:dyDescent="0.3">
      <c r="B43" s="89" t="str">
        <f>'Data Sheet'!A68</f>
        <v>Inventory</v>
      </c>
      <c r="C43" s="46">
        <f>'Data Sheet'!B68/'Data Sheet'!B$66</f>
        <v>0.1233481486762793</v>
      </c>
      <c r="D43" s="46">
        <f>'Data Sheet'!C68/'Data Sheet'!C$66</f>
        <v>0.12407940874244236</v>
      </c>
      <c r="E43" s="46">
        <f>'Data Sheet'!D68/'Data Sheet'!D$66</f>
        <v>0.12871547311772571</v>
      </c>
      <c r="F43" s="46">
        <f>'Data Sheet'!E68/'Data Sheet'!E$66</f>
        <v>0.12878571135383859</v>
      </c>
      <c r="G43" s="46">
        <f>'Data Sheet'!F68/'Data Sheet'!F$66</f>
        <v>0.12761951131143451</v>
      </c>
      <c r="H43" s="46">
        <f>'Data Sheet'!G68/'Data Sheet'!G$66</f>
        <v>0.11698716772494318</v>
      </c>
      <c r="I43" s="46">
        <f>'Data Sheet'!H68/'Data Sheet'!H$66</f>
        <v>0.1056550619461767</v>
      </c>
      <c r="J43" s="46">
        <f>'Data Sheet'!I68/'Data Sheet'!I$66</f>
        <v>0.1070934797019244</v>
      </c>
      <c r="K43" s="46">
        <f>'Data Sheet'!J68/'Data Sheet'!J$66</f>
        <v>0.12177622891596469</v>
      </c>
      <c r="L43" s="46">
        <f>'Data Sheet'!K68/'Data Sheet'!K$66</f>
        <v>0.12932510043215181</v>
      </c>
    </row>
    <row r="44" spans="2:12" x14ac:dyDescent="0.3">
      <c r="B44" s="89" t="str">
        <f>'Data Sheet'!A69</f>
        <v>Cash &amp; Bank</v>
      </c>
      <c r="C44" s="46">
        <f>'Data Sheet'!B69/'Data Sheet'!B$66</f>
        <v>0.13532978707311077</v>
      </c>
      <c r="D44" s="46">
        <f>'Data Sheet'!C69/'Data Sheet'!C$66</f>
        <v>0.11573798601526566</v>
      </c>
      <c r="E44" s="46">
        <f>'Data Sheet'!D69/'Data Sheet'!D$66</f>
        <v>0.13235685799226327</v>
      </c>
      <c r="F44" s="46">
        <f>'Data Sheet'!E69/'Data Sheet'!E$66</f>
        <v>0.10579088150158772</v>
      </c>
      <c r="G44" s="46">
        <f>'Data Sheet'!F69/'Data Sheet'!F$66</f>
        <v>0.10679897700873484</v>
      </c>
      <c r="H44" s="46">
        <f>'Data Sheet'!G69/'Data Sheet'!G$66</f>
        <v>0.10533772957715985</v>
      </c>
      <c r="I44" s="46">
        <f>'Data Sheet'!H69/'Data Sheet'!H$66</f>
        <v>0.13699233635656022</v>
      </c>
      <c r="J44" s="46">
        <f>'Data Sheet'!I69/'Data Sheet'!I$66</f>
        <v>0.12359146006419652</v>
      </c>
      <c r="K44" s="46">
        <f>'Data Sheet'!J69/'Data Sheet'!J$66</f>
        <v>0.11060169729728082</v>
      </c>
      <c r="L44" s="46">
        <f>'Data Sheet'!K69/'Data Sheet'!K$66</f>
        <v>0.1239624766802588</v>
      </c>
    </row>
    <row r="45" spans="2:12" x14ac:dyDescent="0.3">
      <c r="B45" s="89"/>
      <c r="C45" s="5"/>
    </row>
    <row r="46" spans="2:12" x14ac:dyDescent="0.3">
      <c r="B46" s="89"/>
    </row>
    <row r="47" spans="2:12" x14ac:dyDescent="0.3">
      <c r="B47" s="89"/>
    </row>
    <row r="48" spans="2:12" x14ac:dyDescent="0.3">
      <c r="B48" s="89"/>
    </row>
    <row r="49" spans="2:2" x14ac:dyDescent="0.3">
      <c r="B49" s="89"/>
    </row>
    <row r="50" spans="2:2" x14ac:dyDescent="0.3">
      <c r="B50" s="89"/>
    </row>
    <row r="51" spans="2:2" x14ac:dyDescent="0.3">
      <c r="B51" s="89"/>
    </row>
  </sheetData>
  <mergeCells count="2">
    <mergeCell ref="B7:L7"/>
    <mergeCell ref="B28:L2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4813-2D6D-4824-850B-99F1628E43F2}">
  <sheetPr>
    <tabColor theme="4" tint="0.59999389629810485"/>
  </sheetPr>
  <dimension ref="A2:O20"/>
  <sheetViews>
    <sheetView showGridLines="0" tabSelected="1" workbookViewId="0">
      <selection activeCell="I14" sqref="I14"/>
    </sheetView>
  </sheetViews>
  <sheetFormatPr defaultRowHeight="14.4" x14ac:dyDescent="0.3"/>
  <cols>
    <col min="1" max="1" width="1.88671875" style="60" customWidth="1"/>
    <col min="2" max="2" width="11.21875" bestFit="1" customWidth="1"/>
    <col min="3" max="3" width="9.6640625" bestFit="1" customWidth="1"/>
    <col min="4" max="4" width="12.33203125" customWidth="1"/>
    <col min="5" max="5" width="12.33203125" bestFit="1" customWidth="1"/>
    <col min="6" max="6" width="1.88671875" customWidth="1"/>
    <col min="7" max="7" width="11.21875" bestFit="1" customWidth="1"/>
    <col min="8" max="8" width="6.109375" bestFit="1" customWidth="1"/>
    <col min="9" max="9" width="9.44140625" bestFit="1" customWidth="1"/>
    <col min="10" max="10" width="12.33203125" bestFit="1" customWidth="1"/>
    <col min="11" max="11" width="1.88671875" customWidth="1"/>
    <col min="12" max="12" width="11.21875" bestFit="1" customWidth="1"/>
    <col min="13" max="13" width="7.6640625" customWidth="1"/>
    <col min="14" max="14" width="11.109375" customWidth="1"/>
    <col min="15" max="15" width="11.21875" customWidth="1"/>
  </cols>
  <sheetData>
    <row r="2" spans="2:15" x14ac:dyDescent="0.3">
      <c r="B2" s="195" t="str">
        <f>'Data Sheet'!B1&amp;" - "&amp;'Data Sheet'!A17&amp;" Forcasting"</f>
        <v>TATA MOTORS LTD - Sales Forcasting</v>
      </c>
      <c r="C2" s="195"/>
      <c r="D2" s="195"/>
      <c r="E2" s="195"/>
      <c r="G2" s="195" t="str">
        <f>'Data Sheet'!B1&amp;" - "&amp;HistoricalFs!B18&amp;" Forcasting"</f>
        <v>TATA MOTORS LTD - EBITDA Forcasting</v>
      </c>
      <c r="H2" s="195"/>
      <c r="I2" s="195"/>
      <c r="J2" s="195"/>
      <c r="L2" s="195" t="str">
        <f>'Data Sheet'!B1&amp;" - "&amp;HistoricalFs!B38&amp;" Forcasting"</f>
        <v>TATA MOTORS LTD - Earning Per Share Forcasting</v>
      </c>
      <c r="M2" s="195"/>
      <c r="N2" s="195"/>
      <c r="O2" s="195"/>
    </row>
    <row r="3" spans="2:15" x14ac:dyDescent="0.3">
      <c r="B3" s="61" t="s">
        <v>197</v>
      </c>
      <c r="C3" s="62" t="s">
        <v>198</v>
      </c>
      <c r="D3" s="62" t="s">
        <v>6</v>
      </c>
      <c r="E3" s="62" t="s">
        <v>199</v>
      </c>
      <c r="G3" s="61" t="s">
        <v>197</v>
      </c>
      <c r="H3" s="62" t="s">
        <v>198</v>
      </c>
      <c r="I3" s="62" t="s">
        <v>200</v>
      </c>
      <c r="J3" s="62" t="s">
        <v>201</v>
      </c>
      <c r="L3" s="84" t="s">
        <v>197</v>
      </c>
      <c r="M3" s="85" t="s">
        <v>198</v>
      </c>
      <c r="N3" s="85" t="s">
        <v>57</v>
      </c>
      <c r="O3" s="85" t="s">
        <v>202</v>
      </c>
    </row>
    <row r="4" spans="2:15" x14ac:dyDescent="0.3">
      <c r="B4" s="64">
        <v>1</v>
      </c>
      <c r="C4" s="65">
        <f>'Data Sheet'!$B$16</f>
        <v>42094</v>
      </c>
      <c r="D4" s="66">
        <f t="array" ref="D4:D13">TRANSPOSE('Data Sheet'!B17:K17)</f>
        <v>263158.98</v>
      </c>
      <c r="E4" s="67"/>
      <c r="G4" s="64">
        <v>1</v>
      </c>
      <c r="H4" s="65">
        <f>'Data Sheet'!$B$16</f>
        <v>42094</v>
      </c>
      <c r="I4" s="66">
        <f t="array" ref="I4:I13">TRANSPOSE(HistoricalFs!C18:L18)</f>
        <v>39238.64999999998</v>
      </c>
      <c r="J4" s="67"/>
      <c r="L4" s="64">
        <v>1</v>
      </c>
      <c r="M4" s="65">
        <f>'Data Sheet'!$B$16</f>
        <v>42094</v>
      </c>
      <c r="N4" s="66">
        <f t="array" ref="N4:N13">TRANSPOSE(HistoricalFs!C38:L38)</f>
        <v>46.220198102098706</v>
      </c>
      <c r="O4" s="67"/>
    </row>
    <row r="5" spans="2:15" x14ac:dyDescent="0.3">
      <c r="B5" s="68">
        <f>B4+1</f>
        <v>2</v>
      </c>
      <c r="C5" s="69">
        <f>C4+365</f>
        <v>42459</v>
      </c>
      <c r="D5" s="70">
        <v>273045.59999999998</v>
      </c>
      <c r="E5" s="71">
        <f>D5/D4-1</f>
        <v>3.75690010654397E-2</v>
      </c>
      <c r="G5" s="68">
        <f>G4+1</f>
        <v>2</v>
      </c>
      <c r="H5" s="69">
        <f>H4+365</f>
        <v>42459</v>
      </c>
      <c r="I5" s="70">
        <v>38395.249999999971</v>
      </c>
      <c r="J5" s="71">
        <f>I5/I4-1</f>
        <v>-2.1494113584437979E-2</v>
      </c>
      <c r="L5" s="68">
        <f>L4+1</f>
        <v>2</v>
      </c>
      <c r="M5" s="69">
        <f>M4+365</f>
        <v>42459</v>
      </c>
      <c r="N5" s="70">
        <v>47.694444444444336</v>
      </c>
      <c r="O5" s="71">
        <f>N5/N4-1</f>
        <v>3.189614936502605E-2</v>
      </c>
    </row>
    <row r="6" spans="2:15" x14ac:dyDescent="0.3">
      <c r="B6" s="68">
        <f t="shared" ref="B6:B17" si="0">B5+1</f>
        <v>3</v>
      </c>
      <c r="C6" s="69">
        <f t="shared" ref="C6:C17" si="1">C5+365</f>
        <v>42824</v>
      </c>
      <c r="D6" s="70">
        <v>269692.51</v>
      </c>
      <c r="E6" s="71">
        <f t="shared" ref="E6:E18" si="2">D6/D5-1</f>
        <v>-1.2280329732469508E-2</v>
      </c>
      <c r="G6" s="68">
        <f t="shared" ref="G6:G18" si="3">G5+1</f>
        <v>3</v>
      </c>
      <c r="H6" s="69">
        <f t="shared" ref="H6:H18" si="4">H5+365</f>
        <v>42824</v>
      </c>
      <c r="I6" s="70">
        <v>29588.690000000046</v>
      </c>
      <c r="J6" s="71">
        <f t="shared" ref="J6:J13" si="5">I6/I5-1</f>
        <v>-0.22936587208052905</v>
      </c>
      <c r="L6" s="68">
        <f t="shared" ref="L6:L18" si="6">L5+1</f>
        <v>3</v>
      </c>
      <c r="M6" s="69">
        <f t="shared" ref="M6:M18" si="7">M5+365</f>
        <v>42824</v>
      </c>
      <c r="N6" s="70">
        <v>14.527274616423808</v>
      </c>
      <c r="O6" s="71">
        <f t="shared" ref="O6:O13" si="8">N6/N5-1</f>
        <v>-0.69540950134463697</v>
      </c>
    </row>
    <row r="7" spans="2:15" x14ac:dyDescent="0.3">
      <c r="B7" s="68">
        <f t="shared" si="0"/>
        <v>4</v>
      </c>
      <c r="C7" s="69">
        <f t="shared" si="1"/>
        <v>43189</v>
      </c>
      <c r="D7" s="70">
        <v>291550.48</v>
      </c>
      <c r="E7" s="71">
        <f t="shared" si="2"/>
        <v>8.104774581985974E-2</v>
      </c>
      <c r="G7" s="68">
        <f t="shared" si="3"/>
        <v>4</v>
      </c>
      <c r="H7" s="69">
        <f t="shared" si="4"/>
        <v>43189</v>
      </c>
      <c r="I7" s="70">
        <v>31457.679999999993</v>
      </c>
      <c r="J7" s="71">
        <f t="shared" si="5"/>
        <v>6.3165689322506102E-2</v>
      </c>
      <c r="L7" s="68">
        <f t="shared" si="6"/>
        <v>4</v>
      </c>
      <c r="M7" s="69">
        <f t="shared" si="7"/>
        <v>43189</v>
      </c>
      <c r="N7" s="70">
        <v>3.049111626779315</v>
      </c>
      <c r="O7" s="71">
        <f t="shared" si="8"/>
        <v>-0.79011124197155724</v>
      </c>
    </row>
    <row r="8" spans="2:15" x14ac:dyDescent="0.3">
      <c r="B8" s="68">
        <f t="shared" si="0"/>
        <v>5</v>
      </c>
      <c r="C8" s="69">
        <f t="shared" si="1"/>
        <v>43554</v>
      </c>
      <c r="D8" s="70">
        <v>301938.40000000002</v>
      </c>
      <c r="E8" s="71">
        <f t="shared" si="2"/>
        <v>3.5629919045237157E-2</v>
      </c>
      <c r="G8" s="68">
        <f t="shared" si="3"/>
        <v>5</v>
      </c>
      <c r="H8" s="69">
        <f t="shared" si="4"/>
        <v>43554</v>
      </c>
      <c r="I8" s="70">
        <v>24664.330000000024</v>
      </c>
      <c r="J8" s="71">
        <f t="shared" si="5"/>
        <v>-0.21595203460649259</v>
      </c>
      <c r="L8" s="68">
        <f t="shared" si="6"/>
        <v>5</v>
      </c>
      <c r="M8" s="69">
        <f t="shared" si="7"/>
        <v>43554</v>
      </c>
      <c r="N8" s="70">
        <v>-7.7839157690575265</v>
      </c>
      <c r="O8" s="71">
        <f t="shared" si="8"/>
        <v>-3.5528470983790919</v>
      </c>
    </row>
    <row r="9" spans="2:15" x14ac:dyDescent="0.3">
      <c r="B9" s="68">
        <f t="shared" si="0"/>
        <v>6</v>
      </c>
      <c r="C9" s="69">
        <f t="shared" si="1"/>
        <v>43919</v>
      </c>
      <c r="D9" s="70">
        <v>261067.97</v>
      </c>
      <c r="E9" s="71">
        <f t="shared" si="2"/>
        <v>-0.135360159555724</v>
      </c>
      <c r="G9" s="68">
        <f t="shared" si="3"/>
        <v>6</v>
      </c>
      <c r="H9" s="69">
        <f t="shared" si="4"/>
        <v>43919</v>
      </c>
      <c r="I9" s="70">
        <v>17987.069999999963</v>
      </c>
      <c r="J9" s="71">
        <f>I9/I8-1</f>
        <v>-0.27072537547138131</v>
      </c>
      <c r="L9" s="68">
        <f t="shared" si="6"/>
        <v>6</v>
      </c>
      <c r="M9" s="69">
        <f t="shared" si="7"/>
        <v>43919</v>
      </c>
      <c r="N9" s="70">
        <v>-35.859307219164904</v>
      </c>
      <c r="O9" s="71">
        <f t="shared" si="8"/>
        <v>3.6068467700681115</v>
      </c>
    </row>
    <row r="10" spans="2:15" x14ac:dyDescent="0.3">
      <c r="B10" s="68">
        <f t="shared" si="0"/>
        <v>7</v>
      </c>
      <c r="C10" s="69">
        <f t="shared" si="1"/>
        <v>44284</v>
      </c>
      <c r="D10" s="70">
        <v>249794.75</v>
      </c>
      <c r="E10" s="71">
        <f t="shared" si="2"/>
        <v>-4.3181168490336042E-2</v>
      </c>
      <c r="G10" s="68">
        <f t="shared" si="3"/>
        <v>7</v>
      </c>
      <c r="H10" s="69">
        <f t="shared" si="4"/>
        <v>44284</v>
      </c>
      <c r="I10" s="70">
        <v>32287.429999999989</v>
      </c>
      <c r="J10" s="71">
        <f t="shared" si="5"/>
        <v>0.79503554497758966</v>
      </c>
      <c r="L10" s="68">
        <f t="shared" si="6"/>
        <v>7</v>
      </c>
      <c r="M10" s="69">
        <f t="shared" si="7"/>
        <v>44284</v>
      </c>
      <c r="N10" s="70">
        <v>-5.7172845827184542</v>
      </c>
      <c r="O10" s="71">
        <f t="shared" si="8"/>
        <v>-0.84056344011958861</v>
      </c>
    </row>
    <row r="11" spans="2:15" x14ac:dyDescent="0.3">
      <c r="B11" s="68">
        <f t="shared" si="0"/>
        <v>8</v>
      </c>
      <c r="C11" s="69">
        <f t="shared" si="1"/>
        <v>44649</v>
      </c>
      <c r="D11" s="70">
        <v>278453.62</v>
      </c>
      <c r="E11" s="71">
        <f t="shared" si="2"/>
        <v>0.11472967306158344</v>
      </c>
      <c r="G11" s="68">
        <f t="shared" si="3"/>
        <v>8</v>
      </c>
      <c r="H11" s="69">
        <f t="shared" si="4"/>
        <v>44649</v>
      </c>
      <c r="I11" s="70">
        <v>24720.090000000015</v>
      </c>
      <c r="J11" s="71">
        <f t="shared" si="5"/>
        <v>-0.234374182150762</v>
      </c>
      <c r="L11" s="68">
        <f t="shared" si="6"/>
        <v>8</v>
      </c>
      <c r="M11" s="69">
        <f t="shared" si="7"/>
        <v>44649</v>
      </c>
      <c r="N11" s="70">
        <v>-41.132140813683833</v>
      </c>
      <c r="O11" s="71">
        <f t="shared" si="8"/>
        <v>6.194349033807641</v>
      </c>
    </row>
    <row r="12" spans="2:15" x14ac:dyDescent="0.3">
      <c r="B12" s="68">
        <f t="shared" si="0"/>
        <v>9</v>
      </c>
      <c r="C12" s="69">
        <f t="shared" si="1"/>
        <v>45014</v>
      </c>
      <c r="D12" s="70">
        <v>345966.97</v>
      </c>
      <c r="E12" s="71">
        <f t="shared" si="2"/>
        <v>0.24245815155859707</v>
      </c>
      <c r="G12" s="68">
        <f t="shared" si="3"/>
        <v>9</v>
      </c>
      <c r="H12" s="69">
        <f t="shared" si="4"/>
        <v>45014</v>
      </c>
      <c r="I12" s="70">
        <v>31815.799999999959</v>
      </c>
      <c r="J12" s="71">
        <f t="shared" si="5"/>
        <v>0.28704223973294352</v>
      </c>
      <c r="L12" s="68">
        <f t="shared" si="6"/>
        <v>9</v>
      </c>
      <c r="M12" s="69">
        <f t="shared" si="7"/>
        <v>45014</v>
      </c>
      <c r="N12" s="70">
        <v>-11.965495438533218</v>
      </c>
      <c r="O12" s="71">
        <f t="shared" si="8"/>
        <v>-0.70909621522659627</v>
      </c>
    </row>
    <row r="13" spans="2:15" x14ac:dyDescent="0.3">
      <c r="B13" s="68">
        <f t="shared" si="0"/>
        <v>10</v>
      </c>
      <c r="C13" s="69">
        <f t="shared" si="1"/>
        <v>45379</v>
      </c>
      <c r="D13" s="70">
        <v>437927.77</v>
      </c>
      <c r="E13" s="71">
        <f t="shared" si="2"/>
        <v>0.26580803363974326</v>
      </c>
      <c r="G13" s="68">
        <f t="shared" si="3"/>
        <v>10</v>
      </c>
      <c r="H13" s="69">
        <f t="shared" si="4"/>
        <v>45379</v>
      </c>
      <c r="I13" s="70">
        <v>59538.34000000004</v>
      </c>
      <c r="J13" s="71">
        <f t="shared" si="5"/>
        <v>0.87134505497269021</v>
      </c>
      <c r="L13" s="68">
        <f t="shared" si="6"/>
        <v>10</v>
      </c>
      <c r="M13" s="69">
        <f t="shared" si="7"/>
        <v>45379</v>
      </c>
      <c r="N13" s="70">
        <v>78.629509281824596</v>
      </c>
      <c r="O13" s="71">
        <f t="shared" si="8"/>
        <v>-7.5713542482001346</v>
      </c>
    </row>
    <row r="14" spans="2:15" x14ac:dyDescent="0.3">
      <c r="B14" s="80">
        <f t="shared" si="0"/>
        <v>11</v>
      </c>
      <c r="C14" s="82">
        <f t="shared" si="1"/>
        <v>45744</v>
      </c>
      <c r="D14" s="81">
        <f>FORECAST(B14,$D$4:$D$13,$B$4:$B$13)</f>
        <v>362627.59266666661</v>
      </c>
      <c r="E14" s="83">
        <f t="shared" si="2"/>
        <v>-0.17194656857073354</v>
      </c>
      <c r="G14" s="80">
        <f t="shared" si="3"/>
        <v>11</v>
      </c>
      <c r="H14" s="82">
        <f t="shared" si="4"/>
        <v>45744</v>
      </c>
      <c r="I14" s="81">
        <f>FORECAST(G14,$I$4:$I$13,$G$4:$G$13)</f>
        <v>36573.001333333334</v>
      </c>
      <c r="J14" s="83">
        <f>I14/I13-1</f>
        <v>-0.38572352985767977</v>
      </c>
      <c r="L14" s="80">
        <f t="shared" si="6"/>
        <v>11</v>
      </c>
      <c r="M14" s="82">
        <f t="shared" si="7"/>
        <v>45744</v>
      </c>
      <c r="N14" s="81">
        <f>FORECAST(L14,$N$4:$N$13,$L$4:$L$13)</f>
        <v>-6.520675101573687</v>
      </c>
      <c r="O14" s="83">
        <f t="shared" ref="O14:O18" si="9">N14/N13-1</f>
        <v>-1.082929108436913</v>
      </c>
    </row>
    <row r="15" spans="2:15" x14ac:dyDescent="0.3">
      <c r="B15" s="72">
        <f t="shared" si="0"/>
        <v>12</v>
      </c>
      <c r="C15" s="73">
        <f t="shared" si="1"/>
        <v>46109</v>
      </c>
      <c r="D15" s="74">
        <f t="shared" ref="D15:D18" si="10">FORECAST(B15,$D$4:$D$13,$B$4:$B$13)</f>
        <v>374512.66315151507</v>
      </c>
      <c r="E15" s="75">
        <f t="shared" si="2"/>
        <v>3.2774865247977569E-2</v>
      </c>
      <c r="G15" s="72">
        <f t="shared" si="3"/>
        <v>12</v>
      </c>
      <c r="H15" s="73">
        <f t="shared" si="4"/>
        <v>46109</v>
      </c>
      <c r="I15" s="74">
        <f t="shared" ref="I15:I18" si="11">FORECAST(G15,$I$4:$I$13,$G$4:$G$13)</f>
        <v>37228.213757575766</v>
      </c>
      <c r="J15" s="75">
        <f>I15/I14-1</f>
        <v>1.7915194278716795E-2</v>
      </c>
      <c r="L15" s="72">
        <f t="shared" si="6"/>
        <v>12</v>
      </c>
      <c r="M15" s="73">
        <f t="shared" si="7"/>
        <v>46109</v>
      </c>
      <c r="N15" s="74">
        <f t="shared" ref="N15:N18" si="12">FORECAST(L15,$N$4:$N$13,$L$4:$L$13)</f>
        <v>-9.3001141063764052</v>
      </c>
      <c r="O15" s="75">
        <f t="shared" si="9"/>
        <v>0.42625019058715763</v>
      </c>
    </row>
    <row r="16" spans="2:15" x14ac:dyDescent="0.3">
      <c r="B16" s="72">
        <f t="shared" si="0"/>
        <v>13</v>
      </c>
      <c r="C16" s="73">
        <f t="shared" si="1"/>
        <v>46474</v>
      </c>
      <c r="D16" s="74">
        <f t="shared" si="10"/>
        <v>386397.73363636358</v>
      </c>
      <c r="E16" s="75">
        <f t="shared" si="2"/>
        <v>3.1734762677544603E-2</v>
      </c>
      <c r="G16" s="72">
        <f t="shared" si="3"/>
        <v>13</v>
      </c>
      <c r="H16" s="73">
        <f t="shared" si="4"/>
        <v>46474</v>
      </c>
      <c r="I16" s="74">
        <f t="shared" si="11"/>
        <v>37883.426181818184</v>
      </c>
      <c r="J16" s="75">
        <f t="shared" ref="J15:J18" si="13">I16/I15-1</f>
        <v>1.7599888850672762E-2</v>
      </c>
      <c r="L16" s="72">
        <f t="shared" si="6"/>
        <v>13</v>
      </c>
      <c r="M16" s="73">
        <f t="shared" si="7"/>
        <v>46474</v>
      </c>
      <c r="N16" s="74">
        <f t="shared" si="12"/>
        <v>-12.079553111179131</v>
      </c>
      <c r="O16" s="75">
        <f t="shared" si="9"/>
        <v>0.29886074224584713</v>
      </c>
    </row>
    <row r="17" spans="2:15" x14ac:dyDescent="0.3">
      <c r="B17" s="72">
        <f t="shared" si="0"/>
        <v>14</v>
      </c>
      <c r="C17" s="73">
        <f t="shared" si="1"/>
        <v>46839</v>
      </c>
      <c r="D17" s="74">
        <f t="shared" si="10"/>
        <v>398282.8041212121</v>
      </c>
      <c r="E17" s="75">
        <f t="shared" si="2"/>
        <v>3.0758644397312906E-2</v>
      </c>
      <c r="G17" s="72">
        <f t="shared" si="3"/>
        <v>14</v>
      </c>
      <c r="H17" s="73">
        <f t="shared" si="4"/>
        <v>46839</v>
      </c>
      <c r="I17" s="74">
        <f t="shared" si="11"/>
        <v>38538.638606060616</v>
      </c>
      <c r="J17" s="75">
        <f t="shared" si="13"/>
        <v>1.7295490146477244E-2</v>
      </c>
      <c r="L17" s="72">
        <f t="shared" si="6"/>
        <v>14</v>
      </c>
      <c r="M17" s="73">
        <f t="shared" si="7"/>
        <v>46839</v>
      </c>
      <c r="N17" s="74">
        <f t="shared" si="12"/>
        <v>-14.858992115981849</v>
      </c>
      <c r="O17" s="75">
        <f t="shared" si="9"/>
        <v>0.23009452247289364</v>
      </c>
    </row>
    <row r="18" spans="2:15" x14ac:dyDescent="0.3">
      <c r="B18" s="76">
        <f t="shared" ref="B18" si="14">B17+1</f>
        <v>15</v>
      </c>
      <c r="C18" s="77">
        <f t="shared" ref="C18" si="15">C17+365</f>
        <v>47204</v>
      </c>
      <c r="D18" s="78">
        <f t="shared" si="10"/>
        <v>410167.87460606056</v>
      </c>
      <c r="E18" s="79">
        <f t="shared" si="2"/>
        <v>2.9840782383442788E-2</v>
      </c>
      <c r="G18" s="76">
        <f t="shared" si="3"/>
        <v>15</v>
      </c>
      <c r="H18" s="77">
        <f t="shared" si="4"/>
        <v>47204</v>
      </c>
      <c r="I18" s="78">
        <f t="shared" si="11"/>
        <v>39193.851030303042</v>
      </c>
      <c r="J18" s="79">
        <f t="shared" si="13"/>
        <v>1.7001441876034251E-2</v>
      </c>
      <c r="L18" s="76">
        <f t="shared" si="6"/>
        <v>15</v>
      </c>
      <c r="M18" s="77">
        <f t="shared" si="7"/>
        <v>47204</v>
      </c>
      <c r="N18" s="78">
        <f t="shared" si="12"/>
        <v>-17.638431120784574</v>
      </c>
      <c r="O18" s="79">
        <f t="shared" si="9"/>
        <v>0.18705434279174638</v>
      </c>
    </row>
    <row r="19" spans="2:15" x14ac:dyDescent="0.3">
      <c r="B19" s="20"/>
      <c r="C19" s="63"/>
    </row>
    <row r="20" spans="2:15" x14ac:dyDescent="0.3">
      <c r="B20" s="20"/>
      <c r="C20" s="63"/>
    </row>
  </sheetData>
  <mergeCells count="3">
    <mergeCell ref="B2:E2"/>
    <mergeCell ref="G2:J2"/>
    <mergeCell ref="L2:O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2B9F-457D-4151-AAD8-B490D5A9D6D7}">
  <sheetPr>
    <tabColor theme="4" tint="0.59999389629810485"/>
  </sheetPr>
  <dimension ref="B2:K17"/>
  <sheetViews>
    <sheetView showGridLines="0" workbookViewId="0">
      <selection activeCell="I21" sqref="I21"/>
    </sheetView>
  </sheetViews>
  <sheetFormatPr defaultRowHeight="14.4" x14ac:dyDescent="0.3"/>
  <cols>
    <col min="1" max="1" width="1.88671875" customWidth="1"/>
    <col min="7" max="7" width="11.109375" customWidth="1"/>
    <col min="8" max="8" width="9.44140625" customWidth="1"/>
  </cols>
  <sheetData>
    <row r="2" spans="2:11" x14ac:dyDescent="0.3">
      <c r="B2" s="86"/>
      <c r="C2" s="86"/>
      <c r="D2" s="86"/>
      <c r="E2" s="86"/>
      <c r="F2" s="86"/>
      <c r="G2" s="86"/>
      <c r="H2" s="86"/>
      <c r="I2" s="86"/>
      <c r="J2" s="86"/>
      <c r="K2" s="86"/>
    </row>
    <row r="3" spans="2:11" x14ac:dyDescent="0.3"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2:11" x14ac:dyDescent="0.3"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2:11" x14ac:dyDescent="0.3">
      <c r="B5" s="86"/>
      <c r="C5" s="86"/>
      <c r="D5" s="86"/>
      <c r="E5" s="86"/>
      <c r="F5" s="86"/>
      <c r="G5" s="86"/>
      <c r="H5" s="86"/>
      <c r="I5" s="86"/>
      <c r="J5" s="86"/>
      <c r="K5" s="86"/>
    </row>
    <row r="7" spans="2:11" x14ac:dyDescent="0.3">
      <c r="B7" s="96" t="s">
        <v>324</v>
      </c>
      <c r="C7" s="92"/>
      <c r="D7" s="92"/>
      <c r="E7" s="92"/>
      <c r="F7" s="92"/>
      <c r="G7" s="189">
        <f>'Intransic value '!L7</f>
        <v>45352</v>
      </c>
      <c r="H7" s="190">
        <f>G7+365</f>
        <v>45717</v>
      </c>
      <c r="I7" s="190">
        <f t="shared" ref="I7:K7" si="0">H7+365</f>
        <v>46082</v>
      </c>
      <c r="J7" s="190">
        <f t="shared" si="0"/>
        <v>46447</v>
      </c>
      <c r="K7" s="190">
        <f t="shared" si="0"/>
        <v>46812</v>
      </c>
    </row>
    <row r="9" spans="2:11" x14ac:dyDescent="0.3">
      <c r="B9" t="s">
        <v>250</v>
      </c>
      <c r="G9" s="89">
        <f>'Data Sheet'!K33-'Data Sheet'!K26</f>
        <v>37533.209999999992</v>
      </c>
    </row>
    <row r="10" spans="2:11" x14ac:dyDescent="0.3">
      <c r="B10" t="s">
        <v>325</v>
      </c>
      <c r="G10" s="132">
        <v>0.25</v>
      </c>
      <c r="H10" s="132">
        <v>0.25</v>
      </c>
      <c r="I10" s="132">
        <v>0.25</v>
      </c>
      <c r="J10" s="132">
        <v>0.25</v>
      </c>
      <c r="K10" s="132">
        <v>0.25</v>
      </c>
    </row>
    <row r="11" spans="2:11" x14ac:dyDescent="0.3">
      <c r="B11" t="s">
        <v>255</v>
      </c>
      <c r="G11" s="89">
        <f>G9*(1-G10)</f>
        <v>28149.907499999994</v>
      </c>
      <c r="K11" s="5"/>
    </row>
    <row r="12" spans="2:11" x14ac:dyDescent="0.3">
      <c r="B12" t="s">
        <v>326</v>
      </c>
      <c r="G12" s="5">
        <f>'Intransic value '!I56</f>
        <v>2.5826337918517965</v>
      </c>
      <c r="H12" s="5">
        <f>G12+((K12-G12)/3)</f>
        <v>2.0067558612345309</v>
      </c>
      <c r="I12" s="5">
        <f t="shared" ref="I12:J12" si="1">H12+((L12-H12)/3)</f>
        <v>1.3378372408230206</v>
      </c>
      <c r="J12" s="5">
        <f t="shared" si="1"/>
        <v>0.89189149388201372</v>
      </c>
      <c r="K12" s="192">
        <v>0.85499999999999998</v>
      </c>
    </row>
    <row r="13" spans="2:11" x14ac:dyDescent="0.3">
      <c r="B13" t="s">
        <v>327</v>
      </c>
      <c r="G13" s="30">
        <f>G11*(1-G12)</f>
        <v>-44550.994847002316</v>
      </c>
    </row>
    <row r="14" spans="2:11" x14ac:dyDescent="0.3">
      <c r="B14" t="s">
        <v>328</v>
      </c>
      <c r="H14">
        <v>0.5</v>
      </c>
      <c r="I14">
        <f>H14+1</f>
        <v>1.5</v>
      </c>
      <c r="J14">
        <f t="shared" ref="J14:K14" si="2">I14+1</f>
        <v>2.5</v>
      </c>
      <c r="K14">
        <f t="shared" si="2"/>
        <v>3.5</v>
      </c>
    </row>
    <row r="15" spans="2:11" x14ac:dyDescent="0.3">
      <c r="B15" t="s">
        <v>329</v>
      </c>
    </row>
    <row r="17" spans="2:11" ht="15" thickBot="1" x14ac:dyDescent="0.35">
      <c r="B17" s="99" t="s">
        <v>330</v>
      </c>
      <c r="C17" s="99"/>
      <c r="D17" s="99"/>
      <c r="E17" s="99"/>
      <c r="F17" s="99"/>
      <c r="G17" s="99"/>
      <c r="H17" s="99"/>
      <c r="I17" s="99"/>
      <c r="J17" s="99"/>
      <c r="K17" s="9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C0DA-5AF6-4087-94A1-C6B3591D2070}">
  <sheetPr>
    <tabColor theme="2" tint="-9.9978637043366805E-2"/>
  </sheetPr>
  <dimension ref="B2:L62"/>
  <sheetViews>
    <sheetView showGridLines="0" workbookViewId="0">
      <pane ySplit="7" topLeftCell="A35" activePane="bottomLeft" state="frozen"/>
      <selection pane="bottomLeft" activeCell="I41" sqref="I41"/>
    </sheetView>
  </sheetViews>
  <sheetFormatPr defaultRowHeight="14.4" x14ac:dyDescent="0.3"/>
  <cols>
    <col min="1" max="1" width="1.88671875" customWidth="1"/>
    <col min="2" max="2" width="16.44140625" bestFit="1" customWidth="1"/>
    <col min="8" max="8" width="11.5546875" bestFit="1" customWidth="1"/>
    <col min="9" max="9" width="12.33203125" customWidth="1"/>
    <col min="10" max="10" width="13.33203125" bestFit="1" customWidth="1"/>
    <col min="11" max="12" width="11.6640625" bestFit="1" customWidth="1"/>
  </cols>
  <sheetData>
    <row r="2" spans="2:12" x14ac:dyDescent="0.3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2:12" x14ac:dyDescent="0.3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</row>
    <row r="4" spans="2:12" x14ac:dyDescent="0.3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</row>
    <row r="5" spans="2:12" x14ac:dyDescent="0.3"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</row>
    <row r="7" spans="2:12" x14ac:dyDescent="0.3">
      <c r="B7" s="96" t="str">
        <f>"Calculate ROIC of"&amp;" - "&amp;'Data Sheet'!$B$1</f>
        <v>Calculate ROIC of - TATA MOTORS LTD</v>
      </c>
      <c r="C7" s="96"/>
      <c r="D7" s="96"/>
      <c r="E7" s="96"/>
      <c r="F7" s="96"/>
      <c r="G7" s="96"/>
      <c r="H7" s="97">
        <f>'Raw data'!$J$37</f>
        <v>43891</v>
      </c>
      <c r="I7" s="97">
        <f>'Raw data'!$K$37</f>
        <v>44256</v>
      </c>
      <c r="J7" s="97">
        <f>'Raw data'!$L$37</f>
        <v>44621</v>
      </c>
      <c r="K7" s="97">
        <f>'Raw data'!$M$37</f>
        <v>44986</v>
      </c>
      <c r="L7" s="97">
        <f>'Raw data'!$N$37</f>
        <v>45352</v>
      </c>
    </row>
    <row r="9" spans="2:12" x14ac:dyDescent="0.3">
      <c r="B9" s="2" t="s">
        <v>207</v>
      </c>
    </row>
    <row r="10" spans="2:12" x14ac:dyDescent="0.3">
      <c r="B10" s="101" t="str">
        <f>'Raw data'!B70</f>
        <v>Inventories</v>
      </c>
      <c r="C10" s="101"/>
      <c r="D10" s="101"/>
      <c r="E10" s="101"/>
      <c r="F10" s="101"/>
      <c r="G10" s="101"/>
      <c r="H10" s="102">
        <f>'Raw data'!J70</f>
        <v>37457</v>
      </c>
      <c r="I10" s="102">
        <f>'Raw data'!K70</f>
        <v>36089</v>
      </c>
      <c r="J10" s="102">
        <f>'Raw data'!L70</f>
        <v>35240</v>
      </c>
      <c r="K10" s="102">
        <f>'Raw data'!M70</f>
        <v>40755</v>
      </c>
      <c r="L10" s="102">
        <f>'Raw data'!N70</f>
        <v>47788</v>
      </c>
    </row>
    <row r="11" spans="2:12" x14ac:dyDescent="0.3">
      <c r="B11" s="101" t="str">
        <f>'Raw data'!B71</f>
        <v>Trade receivables -</v>
      </c>
      <c r="C11" s="101"/>
      <c r="D11" s="101"/>
      <c r="E11" s="101"/>
      <c r="F11" s="101"/>
      <c r="G11" s="101"/>
      <c r="H11" s="102">
        <f>'Raw data'!J71</f>
        <v>11173</v>
      </c>
      <c r="I11" s="102">
        <f>'Raw data'!K71</f>
        <v>12679</v>
      </c>
      <c r="J11" s="102">
        <f>'Raw data'!L71</f>
        <v>12442</v>
      </c>
      <c r="K11" s="102">
        <f>'Raw data'!M71</f>
        <v>15738</v>
      </c>
      <c r="L11" s="102">
        <f>'Raw data'!N71</f>
        <v>16952</v>
      </c>
    </row>
    <row r="12" spans="2:12" x14ac:dyDescent="0.3">
      <c r="B12" s="101" t="str">
        <f>'Raw data'!B74</f>
        <v>Prov for Doubtful</v>
      </c>
      <c r="C12" s="101"/>
      <c r="D12" s="101"/>
      <c r="E12" s="101"/>
      <c r="F12" s="101"/>
      <c r="G12" s="101"/>
      <c r="H12" s="102">
        <f>'Raw data'!J74</f>
        <v>-1114</v>
      </c>
      <c r="I12" s="102">
        <f>'Raw data'!K74</f>
        <v>-989</v>
      </c>
      <c r="J12" s="102">
        <f>'Raw data'!L74</f>
        <v>-852</v>
      </c>
      <c r="K12" s="102">
        <f>'Raw data'!M74</f>
        <v>-925</v>
      </c>
      <c r="L12" s="102">
        <f>'Raw data'!N74</f>
        <v>-868</v>
      </c>
    </row>
    <row r="13" spans="2:12" x14ac:dyDescent="0.3">
      <c r="B13" s="101" t="str">
        <f>'Raw data'!B76</f>
        <v>Short term loans</v>
      </c>
      <c r="C13" s="101"/>
      <c r="D13" s="101"/>
      <c r="E13" s="101"/>
      <c r="F13" s="101"/>
      <c r="G13" s="101"/>
      <c r="H13" s="102">
        <f>'Raw data'!J76</f>
        <v>39</v>
      </c>
      <c r="I13" s="102">
        <f>'Raw data'!K76</f>
        <v>142</v>
      </c>
      <c r="J13" s="102">
        <f>'Raw data'!L76</f>
        <v>47</v>
      </c>
      <c r="K13" s="102">
        <f>'Raw data'!M76</f>
        <v>119</v>
      </c>
      <c r="L13" s="102">
        <f>'Raw data'!N76</f>
        <v>168</v>
      </c>
    </row>
    <row r="14" spans="2:12" x14ac:dyDescent="0.3">
      <c r="B14" t="str">
        <f>'Raw data'!B77</f>
        <v>Other asset items</v>
      </c>
      <c r="H14" s="30">
        <f>'Raw data'!J77</f>
        <v>58746</v>
      </c>
      <c r="I14" s="30">
        <f>'Raw data'!K77</f>
        <v>61576</v>
      </c>
      <c r="J14" s="30">
        <f>'Raw data'!L77</f>
        <v>62177</v>
      </c>
      <c r="K14" s="30">
        <f>'Raw data'!M77</f>
        <v>68313</v>
      </c>
      <c r="L14" s="30">
        <f>'Raw data'!N77</f>
        <v>78851</v>
      </c>
    </row>
    <row r="15" spans="2:12" x14ac:dyDescent="0.3">
      <c r="B15" s="103" t="s">
        <v>243</v>
      </c>
      <c r="C15" s="103"/>
      <c r="D15" s="103"/>
      <c r="E15" s="103"/>
      <c r="F15" s="103"/>
      <c r="G15" s="103"/>
      <c r="H15" s="104">
        <f>SUM(H10:H14)</f>
        <v>106301</v>
      </c>
      <c r="I15" s="104">
        <f t="shared" ref="I15:L15" si="0">SUM(I10:I14)</f>
        <v>109497</v>
      </c>
      <c r="J15" s="104">
        <f t="shared" si="0"/>
        <v>109054</v>
      </c>
      <c r="K15" s="104">
        <f t="shared" si="0"/>
        <v>124000</v>
      </c>
      <c r="L15" s="104">
        <f t="shared" si="0"/>
        <v>142891</v>
      </c>
    </row>
    <row r="16" spans="2:12" x14ac:dyDescent="0.3">
      <c r="H16" s="30"/>
      <c r="I16" s="30"/>
      <c r="J16" s="30"/>
      <c r="K16" s="30"/>
      <c r="L16" s="30"/>
    </row>
    <row r="17" spans="2:12" x14ac:dyDescent="0.3">
      <c r="B17" s="2" t="s">
        <v>244</v>
      </c>
      <c r="H17" s="30"/>
      <c r="I17" s="30"/>
      <c r="J17" s="30"/>
      <c r="K17" s="30"/>
      <c r="L17" s="30"/>
    </row>
    <row r="18" spans="2:12" x14ac:dyDescent="0.3">
      <c r="B18" s="101" t="str">
        <f>'Raw data'!B47</f>
        <v>Non controlling int</v>
      </c>
      <c r="C18" s="101"/>
      <c r="D18" s="101"/>
      <c r="E18" s="101"/>
      <c r="F18" s="101"/>
      <c r="G18" s="101"/>
      <c r="H18" s="102">
        <f>'Raw data'!J47</f>
        <v>814</v>
      </c>
      <c r="I18" s="102">
        <f>'Raw data'!K47</f>
        <v>1573</v>
      </c>
      <c r="J18" s="102">
        <f>'Raw data'!L47</f>
        <v>4271</v>
      </c>
      <c r="K18" s="102">
        <f>'Raw data'!M47</f>
        <v>7278</v>
      </c>
      <c r="L18" s="102">
        <f>'Raw data'!N47</f>
        <v>8176</v>
      </c>
    </row>
    <row r="19" spans="2:12" x14ac:dyDescent="0.3">
      <c r="B19" s="101" t="str">
        <f>'Raw data'!B48</f>
        <v>Trade Payables</v>
      </c>
      <c r="C19" s="101"/>
      <c r="D19" s="101"/>
      <c r="E19" s="101"/>
      <c r="F19" s="101"/>
      <c r="G19" s="101"/>
      <c r="H19" s="102">
        <f>'Raw data'!J48</f>
        <v>66398</v>
      </c>
      <c r="I19" s="102">
        <f>'Raw data'!K48</f>
        <v>76040</v>
      </c>
      <c r="J19" s="102">
        <f>'Raw data'!L48</f>
        <v>69750</v>
      </c>
      <c r="K19" s="102">
        <f>'Raw data'!M48</f>
        <v>79252</v>
      </c>
      <c r="L19" s="102">
        <f>'Raw data'!N48</f>
        <v>93979</v>
      </c>
    </row>
    <row r="20" spans="2:12" x14ac:dyDescent="0.3">
      <c r="B20" s="101" t="str">
        <f>'Raw data'!B49</f>
        <v>Advance from Customers</v>
      </c>
      <c r="C20" s="101"/>
      <c r="D20" s="101"/>
      <c r="E20" s="101"/>
      <c r="F20" s="101"/>
      <c r="G20" s="101"/>
      <c r="H20" s="102">
        <f>'Raw data'!J49</f>
        <v>0</v>
      </c>
      <c r="I20" s="102">
        <f>'Raw data'!K49</f>
        <v>0</v>
      </c>
      <c r="J20" s="102">
        <f>'Raw data'!L49</f>
        <v>0</v>
      </c>
      <c r="K20" s="102">
        <f>'Raw data'!M49</f>
        <v>0</v>
      </c>
      <c r="L20" s="102">
        <f>'Raw data'!N49</f>
        <v>0</v>
      </c>
    </row>
    <row r="21" spans="2:12" x14ac:dyDescent="0.3">
      <c r="B21" t="str">
        <f>'Raw data'!B50</f>
        <v>Other liability items</v>
      </c>
      <c r="H21" s="30">
        <f>'Raw data'!J50</f>
        <v>65969</v>
      </c>
      <c r="I21" s="30">
        <f>'Raw data'!K50</f>
        <v>66579</v>
      </c>
      <c r="J21" s="30">
        <f>'Raw data'!L50</f>
        <v>64030</v>
      </c>
      <c r="K21" s="30">
        <f>'Raw data'!M50</f>
        <v>68710</v>
      </c>
      <c r="L21" s="30">
        <f>'Raw data'!N50</f>
        <v>75186</v>
      </c>
    </row>
    <row r="22" spans="2:12" x14ac:dyDescent="0.3">
      <c r="B22" s="103" t="s">
        <v>245</v>
      </c>
      <c r="C22" s="105"/>
      <c r="D22" s="105"/>
      <c r="E22" s="105"/>
      <c r="F22" s="105"/>
      <c r="G22" s="105"/>
      <c r="H22" s="104">
        <f>SUM(H18:H21)</f>
        <v>133181</v>
      </c>
      <c r="I22" s="104">
        <f t="shared" ref="I22:L22" si="1">SUM(I18:I21)</f>
        <v>144192</v>
      </c>
      <c r="J22" s="104">
        <f t="shared" si="1"/>
        <v>138051</v>
      </c>
      <c r="K22" s="104">
        <f t="shared" si="1"/>
        <v>155240</v>
      </c>
      <c r="L22" s="104">
        <f t="shared" si="1"/>
        <v>177341</v>
      </c>
    </row>
    <row r="24" spans="2:12" ht="15" thickBot="1" x14ac:dyDescent="0.35">
      <c r="B24" s="98" t="s">
        <v>246</v>
      </c>
      <c r="C24" s="99"/>
      <c r="D24" s="99"/>
      <c r="E24" s="99"/>
      <c r="F24" s="99"/>
      <c r="G24" s="99"/>
      <c r="H24" s="100">
        <f>H15-H22</f>
        <v>-26880</v>
      </c>
      <c r="I24" s="100">
        <f t="shared" ref="I24:L24" si="2">I15-I22</f>
        <v>-34695</v>
      </c>
      <c r="J24" s="100">
        <f t="shared" si="2"/>
        <v>-28997</v>
      </c>
      <c r="K24" s="100">
        <f t="shared" si="2"/>
        <v>-31240</v>
      </c>
      <c r="L24" s="100">
        <f t="shared" si="2"/>
        <v>-34450</v>
      </c>
    </row>
    <row r="26" spans="2:12" x14ac:dyDescent="0.3">
      <c r="B26" t="s">
        <v>247</v>
      </c>
    </row>
    <row r="27" spans="2:12" x14ac:dyDescent="0.3">
      <c r="B27" s="102" t="str">
        <f>'Raw data'!B54</f>
        <v>Land</v>
      </c>
      <c r="C27" s="102"/>
      <c r="D27" s="102"/>
      <c r="E27" s="102"/>
      <c r="F27" s="102"/>
      <c r="G27" s="102"/>
      <c r="H27" s="102">
        <f>'Raw data'!J54</f>
        <v>7675</v>
      </c>
      <c r="I27" s="102">
        <f>'Raw data'!K54</f>
        <v>7819</v>
      </c>
      <c r="J27" s="102">
        <f>'Raw data'!L54</f>
        <v>7760</v>
      </c>
      <c r="K27" s="102">
        <f>'Raw data'!M54</f>
        <v>8045</v>
      </c>
      <c r="L27" s="102">
        <f>'Raw data'!N54</f>
        <v>7930</v>
      </c>
    </row>
    <row r="28" spans="2:12" x14ac:dyDescent="0.3">
      <c r="B28" s="102" t="str">
        <f>'Raw data'!B55</f>
        <v>Building</v>
      </c>
      <c r="C28" s="102"/>
      <c r="D28" s="102"/>
      <c r="E28" s="102"/>
      <c r="F28" s="102"/>
      <c r="G28" s="102"/>
      <c r="H28" s="102">
        <f>'Raw data'!J55</f>
        <v>32665</v>
      </c>
      <c r="I28" s="102">
        <f>'Raw data'!K55</f>
        <v>35537</v>
      </c>
      <c r="J28" s="102">
        <f>'Raw data'!L55</f>
        <v>36466</v>
      </c>
      <c r="K28" s="102">
        <f>'Raw data'!M55</f>
        <v>38674</v>
      </c>
      <c r="L28" s="102">
        <f>'Raw data'!N55</f>
        <v>40584</v>
      </c>
    </row>
    <row r="29" spans="2:12" x14ac:dyDescent="0.3">
      <c r="B29" s="102" t="str">
        <f>'Raw data'!B56</f>
        <v>Plant Machinery</v>
      </c>
      <c r="C29" s="102"/>
      <c r="D29" s="102"/>
      <c r="E29" s="102"/>
      <c r="F29" s="102"/>
      <c r="G29" s="102"/>
      <c r="H29" s="102">
        <f>'Raw data'!J56</f>
        <v>124158</v>
      </c>
      <c r="I29" s="102">
        <f>'Raw data'!K56</f>
        <v>138868</v>
      </c>
      <c r="J29" s="102">
        <f>'Raw data'!L56</f>
        <v>148585</v>
      </c>
      <c r="K29" s="102">
        <f>'Raw data'!M56</f>
        <v>153672</v>
      </c>
      <c r="L29" s="102">
        <f>'Raw data'!N56</f>
        <v>151878</v>
      </c>
    </row>
    <row r="30" spans="2:12" x14ac:dyDescent="0.3">
      <c r="B30" s="102" t="str">
        <f>'Raw data'!B57</f>
        <v>Equipments</v>
      </c>
      <c r="C30" s="102"/>
      <c r="D30" s="102"/>
      <c r="E30" s="102"/>
      <c r="F30" s="102"/>
      <c r="G30" s="102"/>
      <c r="H30" s="102">
        <f>'Raw data'!J57</f>
        <v>0</v>
      </c>
      <c r="I30" s="102">
        <f>'Raw data'!K57</f>
        <v>0</v>
      </c>
      <c r="J30" s="102">
        <f>'Raw data'!L57</f>
        <v>0</v>
      </c>
      <c r="K30" s="102">
        <f>'Raw data'!M57</f>
        <v>0</v>
      </c>
      <c r="L30" s="102">
        <f>'Raw data'!N57</f>
        <v>0</v>
      </c>
    </row>
    <row r="31" spans="2:12" x14ac:dyDescent="0.3">
      <c r="B31" s="102" t="str">
        <f>'Raw data'!B58</f>
        <v>Computers</v>
      </c>
      <c r="C31" s="102"/>
      <c r="D31" s="102"/>
      <c r="E31" s="102"/>
      <c r="F31" s="102"/>
      <c r="G31" s="102"/>
      <c r="H31" s="102">
        <f>'Raw data'!J58</f>
        <v>3054</v>
      </c>
      <c r="I31" s="102">
        <f>'Raw data'!K58</f>
        <v>3172</v>
      </c>
      <c r="J31" s="102">
        <f>'Raw data'!L58</f>
        <v>3383</v>
      </c>
      <c r="K31" s="102">
        <f>'Raw data'!M58</f>
        <v>3499</v>
      </c>
      <c r="L31" s="102">
        <f>'Raw data'!N58</f>
        <v>3667</v>
      </c>
    </row>
    <row r="32" spans="2:12" x14ac:dyDescent="0.3">
      <c r="B32" s="102" t="str">
        <f>'Raw data'!B59</f>
        <v>Furniture n fittings</v>
      </c>
      <c r="C32" s="102"/>
      <c r="D32" s="102"/>
      <c r="E32" s="102"/>
      <c r="F32" s="102"/>
      <c r="G32" s="102"/>
      <c r="H32" s="102">
        <f>'Raw data'!J59</f>
        <v>1890</v>
      </c>
      <c r="I32" s="102">
        <f>'Raw data'!K59</f>
        <v>1956</v>
      </c>
      <c r="J32" s="102">
        <f>'Raw data'!L59</f>
        <v>1984</v>
      </c>
      <c r="K32" s="102">
        <f>'Raw data'!M59</f>
        <v>2084</v>
      </c>
      <c r="L32" s="102">
        <f>'Raw data'!N59</f>
        <v>2029</v>
      </c>
    </row>
    <row r="33" spans="2:12" x14ac:dyDescent="0.3">
      <c r="B33" s="102" t="str">
        <f>'Raw data'!B60</f>
        <v>Vehicles</v>
      </c>
      <c r="C33" s="102"/>
      <c r="D33" s="102"/>
      <c r="E33" s="102"/>
      <c r="F33" s="102"/>
      <c r="G33" s="102"/>
      <c r="H33" s="102">
        <f>'Raw data'!J60</f>
        <v>601</v>
      </c>
      <c r="I33" s="102">
        <f>'Raw data'!K60</f>
        <v>845</v>
      </c>
      <c r="J33" s="102">
        <f>'Raw data'!L60</f>
        <v>725</v>
      </c>
      <c r="K33" s="102">
        <f>'Raw data'!M60</f>
        <v>788</v>
      </c>
      <c r="L33" s="102">
        <f>'Raw data'!N60</f>
        <v>956</v>
      </c>
    </row>
    <row r="34" spans="2:12" x14ac:dyDescent="0.3">
      <c r="B34" s="102" t="str">
        <f>'Raw data'!B61</f>
        <v>Intangible Assets</v>
      </c>
      <c r="C34" s="102"/>
      <c r="D34" s="102"/>
      <c r="E34" s="102"/>
      <c r="F34" s="102"/>
      <c r="G34" s="102"/>
      <c r="H34" s="102">
        <f>'Raw data'!J61</f>
        <v>91157</v>
      </c>
      <c r="I34" s="102">
        <f>'Raw data'!K61</f>
        <v>114809</v>
      </c>
      <c r="J34" s="102">
        <f>'Raw data'!L61</f>
        <v>114323</v>
      </c>
      <c r="K34" s="102">
        <f>'Raw data'!M61</f>
        <v>112538</v>
      </c>
      <c r="L34" s="102">
        <f>'Raw data'!N61</f>
        <v>116714</v>
      </c>
    </row>
    <row r="35" spans="2:12" x14ac:dyDescent="0.3">
      <c r="B35" s="102" t="str">
        <f>'Raw data'!B62</f>
        <v>Other fixed assets</v>
      </c>
      <c r="C35" s="102"/>
      <c r="D35" s="102"/>
      <c r="E35" s="102"/>
      <c r="F35" s="102"/>
      <c r="G35" s="102"/>
      <c r="H35" s="102">
        <f>'Raw data'!J62</f>
        <v>9380</v>
      </c>
      <c r="I35" s="102">
        <f>'Raw data'!K62</f>
        <v>10686</v>
      </c>
      <c r="J35" s="102">
        <f>'Raw data'!L62</f>
        <v>10870</v>
      </c>
      <c r="K35" s="102">
        <f>'Raw data'!M62</f>
        <v>11841</v>
      </c>
      <c r="L35" s="102">
        <f>'Raw data'!N62</f>
        <v>10724</v>
      </c>
    </row>
    <row r="36" spans="2:12" x14ac:dyDescent="0.3">
      <c r="B36" s="102" t="str">
        <f>'Raw data'!B63</f>
        <v>Gross Block</v>
      </c>
      <c r="C36" s="102"/>
      <c r="D36" s="102"/>
      <c r="E36" s="102"/>
      <c r="F36" s="102"/>
      <c r="G36" s="102"/>
      <c r="H36" s="102">
        <f>SUM(H27:H35)</f>
        <v>270580</v>
      </c>
      <c r="I36" s="102">
        <f t="shared" ref="I36:L36" si="3">SUM(I27:I35)</f>
        <v>313692</v>
      </c>
      <c r="J36" s="102">
        <f t="shared" si="3"/>
        <v>324096</v>
      </c>
      <c r="K36" s="102">
        <f t="shared" si="3"/>
        <v>331141</v>
      </c>
      <c r="L36" s="102">
        <f t="shared" si="3"/>
        <v>334482</v>
      </c>
    </row>
    <row r="37" spans="2:12" x14ac:dyDescent="0.3">
      <c r="B37" t="str">
        <f>'Raw data'!B65</f>
        <v>Accumulated Depreciation</v>
      </c>
      <c r="H37" s="30">
        <f>'Raw data'!J65</f>
        <v>143471</v>
      </c>
      <c r="I37" s="30">
        <f>'Raw data'!K65</f>
        <v>174985</v>
      </c>
      <c r="J37" s="30">
        <f>'Raw data'!L65</f>
        <v>185241</v>
      </c>
      <c r="K37" s="30">
        <f>'Raw data'!M65</f>
        <v>199062</v>
      </c>
      <c r="L37" s="30">
        <f>'Raw data'!N65</f>
        <v>213197</v>
      </c>
    </row>
    <row r="38" spans="2:12" ht="15" thickBot="1" x14ac:dyDescent="0.35">
      <c r="B38" s="98" t="s">
        <v>248</v>
      </c>
      <c r="C38" s="99"/>
      <c r="D38" s="99"/>
      <c r="E38" s="99"/>
      <c r="F38" s="99"/>
      <c r="G38" s="99"/>
      <c r="H38" s="100">
        <f>H36-H37</f>
        <v>127109</v>
      </c>
      <c r="I38" s="100">
        <f t="shared" ref="I38:L38" si="4">I36-I37</f>
        <v>138707</v>
      </c>
      <c r="J38" s="100">
        <f t="shared" si="4"/>
        <v>138855</v>
      </c>
      <c r="K38" s="100">
        <f t="shared" si="4"/>
        <v>132079</v>
      </c>
      <c r="L38" s="100">
        <f t="shared" si="4"/>
        <v>121285</v>
      </c>
    </row>
    <row r="40" spans="2:12" x14ac:dyDescent="0.3">
      <c r="B40" s="106" t="s">
        <v>249</v>
      </c>
      <c r="C40" s="106"/>
      <c r="D40" s="106"/>
      <c r="E40" s="106"/>
      <c r="F40" s="106"/>
      <c r="G40" s="117"/>
      <c r="H40" s="117">
        <f>H38+H24</f>
        <v>100229</v>
      </c>
      <c r="I40" s="117">
        <f t="shared" ref="I40:L40" si="5">I38+I24</f>
        <v>104012</v>
      </c>
      <c r="J40" s="117">
        <f t="shared" si="5"/>
        <v>109858</v>
      </c>
      <c r="K40" s="117">
        <f t="shared" si="5"/>
        <v>100839</v>
      </c>
      <c r="L40" s="117">
        <f t="shared" si="5"/>
        <v>86835</v>
      </c>
    </row>
    <row r="41" spans="2:12" x14ac:dyDescent="0.3">
      <c r="B41" s="107" t="s">
        <v>250</v>
      </c>
      <c r="C41" s="107"/>
      <c r="D41" s="107"/>
      <c r="E41" s="107"/>
      <c r="F41" s="107"/>
      <c r="G41" s="119"/>
      <c r="H41" s="119">
        <f>'Data Sheet'!G34</f>
        <v>-4432.2700000000004</v>
      </c>
      <c r="I41" s="119">
        <f>'Data Sheet'!H34</f>
        <v>-2812.3600000000006</v>
      </c>
      <c r="J41" s="119">
        <f>'Data Sheet'!I34</f>
        <v>2101.6800000000003</v>
      </c>
      <c r="K41" s="119">
        <f>'Data Sheet'!J34</f>
        <v>13343.830000000002</v>
      </c>
      <c r="L41" s="119">
        <f>'Data Sheet'!K34</f>
        <v>37533.209999999992</v>
      </c>
    </row>
    <row r="42" spans="2:12" ht="15" thickBot="1" x14ac:dyDescent="0.35">
      <c r="B42" s="98" t="s">
        <v>251</v>
      </c>
      <c r="C42" s="98"/>
      <c r="D42" s="98"/>
      <c r="E42" s="98"/>
      <c r="F42" s="98"/>
      <c r="G42" s="98"/>
      <c r="H42" s="116">
        <f>H41/H40</f>
        <v>-4.4221432918616375E-2</v>
      </c>
      <c r="I42" s="116">
        <f t="shared" ref="I42:L42" si="6">I41/I40</f>
        <v>-2.7038803215013656E-2</v>
      </c>
      <c r="J42" s="116">
        <f t="shared" si="6"/>
        <v>1.913087804256404E-2</v>
      </c>
      <c r="K42" s="116">
        <f t="shared" si="6"/>
        <v>0.13232806751356124</v>
      </c>
      <c r="L42" s="116">
        <f t="shared" si="6"/>
        <v>0.43223596476075304</v>
      </c>
    </row>
    <row r="44" spans="2:12" x14ac:dyDescent="0.3">
      <c r="B44" s="96" t="str">
        <f>"Calculate Reinvestmet rate of"&amp;" - "&amp;'Data Sheet'!$B$1</f>
        <v>Calculate Reinvestmet rate of - TATA MOTORS LTD</v>
      </c>
      <c r="C44" s="96"/>
      <c r="D44" s="96"/>
      <c r="E44" s="96"/>
      <c r="F44" s="96"/>
      <c r="G44" s="96"/>
      <c r="H44" s="97">
        <f>'Raw data'!$J$37</f>
        <v>43891</v>
      </c>
      <c r="I44" s="97">
        <f>'Raw data'!$K$37</f>
        <v>44256</v>
      </c>
      <c r="J44" s="97">
        <f>'Raw data'!$L$37</f>
        <v>44621</v>
      </c>
      <c r="K44" s="97">
        <f>'Raw data'!$M$37</f>
        <v>44986</v>
      </c>
      <c r="L44" s="97">
        <f>'Raw data'!$N$37</f>
        <v>45352</v>
      </c>
    </row>
    <row r="46" spans="2:12" x14ac:dyDescent="0.3">
      <c r="B46" s="106" t="s">
        <v>252</v>
      </c>
      <c r="C46" s="106"/>
      <c r="D46" s="106"/>
      <c r="E46" s="106"/>
      <c r="F46" s="106"/>
      <c r="G46" s="106"/>
      <c r="H46" s="117">
        <f>-SUM('Raw data'!J14:J15)</f>
        <v>29531</v>
      </c>
      <c r="I46" s="117">
        <f>-SUM('Raw data'!K14:K15)</f>
        <v>19854</v>
      </c>
      <c r="J46" s="117">
        <f>-SUM('Raw data'!L14:L15)</f>
        <v>14938</v>
      </c>
      <c r="K46" s="117">
        <f>-SUM('Raw data'!M14:M15)</f>
        <v>18945</v>
      </c>
      <c r="L46" s="117">
        <f>-SUM('Raw data'!N14:N15)</f>
        <v>31183</v>
      </c>
    </row>
    <row r="47" spans="2:12" x14ac:dyDescent="0.3">
      <c r="B47" s="106" t="s">
        <v>253</v>
      </c>
      <c r="C47" s="106"/>
      <c r="D47" s="106"/>
      <c r="E47" s="106"/>
      <c r="F47" s="106"/>
      <c r="G47" s="106"/>
      <c r="H47" s="117"/>
      <c r="I47" s="117">
        <f>I15-H15</f>
        <v>3196</v>
      </c>
      <c r="J47" s="117">
        <f t="shared" ref="J47:L47" si="7">J15-I15</f>
        <v>-443</v>
      </c>
      <c r="K47" s="117">
        <f t="shared" si="7"/>
        <v>14946</v>
      </c>
      <c r="L47" s="117">
        <f t="shared" si="7"/>
        <v>18891</v>
      </c>
    </row>
    <row r="48" spans="2:12" x14ac:dyDescent="0.3">
      <c r="B48" s="101"/>
      <c r="C48" s="101"/>
      <c r="D48" s="101"/>
      <c r="E48" s="101"/>
      <c r="F48" s="101"/>
      <c r="G48" s="101"/>
      <c r="H48" s="102"/>
      <c r="I48" s="102"/>
      <c r="J48" s="102"/>
      <c r="K48" s="102"/>
      <c r="L48" s="102"/>
    </row>
    <row r="49" spans="2:12" x14ac:dyDescent="0.3">
      <c r="B49" s="101" t="s">
        <v>250</v>
      </c>
      <c r="C49" s="101"/>
      <c r="D49" s="101"/>
      <c r="E49" s="101"/>
      <c r="F49" s="101"/>
      <c r="G49" s="101"/>
      <c r="H49" s="102">
        <f>H41</f>
        <v>-4432.2700000000004</v>
      </c>
      <c r="I49" s="102">
        <f t="shared" ref="I49:L49" si="8">I41</f>
        <v>-2812.3600000000006</v>
      </c>
      <c r="J49" s="102">
        <f>J41</f>
        <v>2101.6800000000003</v>
      </c>
      <c r="K49" s="102">
        <f t="shared" si="8"/>
        <v>13343.830000000002</v>
      </c>
      <c r="L49" s="102">
        <f t="shared" si="8"/>
        <v>37533.209999999992</v>
      </c>
    </row>
    <row r="50" spans="2:12" x14ac:dyDescent="0.3">
      <c r="B50" s="101" t="s">
        <v>254</v>
      </c>
      <c r="C50" s="101"/>
      <c r="D50" s="101"/>
      <c r="E50" s="101"/>
      <c r="F50" s="101"/>
      <c r="G50" s="101"/>
      <c r="H50" s="108">
        <v>0.25</v>
      </c>
      <c r="I50" s="108">
        <v>0.25</v>
      </c>
      <c r="J50" s="108">
        <v>0.25</v>
      </c>
      <c r="K50" s="108">
        <v>0.25</v>
      </c>
      <c r="L50" s="108">
        <v>0.25</v>
      </c>
    </row>
    <row r="51" spans="2:12" x14ac:dyDescent="0.3">
      <c r="B51" s="106" t="s">
        <v>255</v>
      </c>
      <c r="C51" s="106"/>
      <c r="D51" s="106"/>
      <c r="E51" s="106"/>
      <c r="F51" s="106"/>
      <c r="G51" s="106"/>
      <c r="H51" s="117">
        <f>H49*(1-H50)</f>
        <v>-3324.2025000000003</v>
      </c>
      <c r="I51" s="117">
        <f>I49*(1-I50)</f>
        <v>-2109.2700000000004</v>
      </c>
      <c r="J51" s="117">
        <f>J49*(1-J50)</f>
        <v>1576.2600000000002</v>
      </c>
      <c r="K51" s="117">
        <f t="shared" ref="K51:L51" si="9">K49*(1-K50)</f>
        <v>10007.872500000001</v>
      </c>
      <c r="L51" s="117">
        <f t="shared" si="9"/>
        <v>28149.907499999994</v>
      </c>
    </row>
    <row r="52" spans="2:12" x14ac:dyDescent="0.3">
      <c r="B52" s="101"/>
      <c r="C52" s="101"/>
      <c r="D52" s="101"/>
      <c r="E52" s="101"/>
      <c r="F52" s="101"/>
      <c r="G52" s="101"/>
      <c r="H52" s="102"/>
      <c r="I52" s="102"/>
      <c r="J52" s="102"/>
      <c r="K52" s="102"/>
      <c r="L52" s="102"/>
    </row>
    <row r="53" spans="2:12" x14ac:dyDescent="0.3">
      <c r="B53" s="110" t="s">
        <v>256</v>
      </c>
      <c r="C53" s="110"/>
      <c r="D53" s="110"/>
      <c r="E53" s="110"/>
      <c r="F53" s="110"/>
      <c r="G53" s="110"/>
      <c r="H53" s="118"/>
      <c r="I53" s="118">
        <f>SUM(I46:I47)</f>
        <v>23050</v>
      </c>
      <c r="J53" s="118">
        <f t="shared" ref="J53:L53" si="10">SUM(J46:J47)</f>
        <v>14495</v>
      </c>
      <c r="K53" s="118">
        <f t="shared" si="10"/>
        <v>33891</v>
      </c>
      <c r="L53" s="118">
        <f t="shared" si="10"/>
        <v>50074</v>
      </c>
    </row>
    <row r="54" spans="2:12" x14ac:dyDescent="0.3">
      <c r="B54" s="103" t="s">
        <v>257</v>
      </c>
      <c r="C54" s="103"/>
      <c r="D54" s="103"/>
      <c r="E54" s="103"/>
      <c r="F54" s="103"/>
      <c r="G54" s="103"/>
      <c r="H54" s="111"/>
      <c r="I54" s="191">
        <f>I53/I51</f>
        <v>-10.927951376542593</v>
      </c>
      <c r="J54" s="191">
        <f>J53/J51</f>
        <v>9.1958179488155487</v>
      </c>
      <c r="K54" s="191">
        <f t="shared" ref="K54:L54" si="11">K53/K51</f>
        <v>3.3864340298100317</v>
      </c>
      <c r="L54" s="191">
        <f t="shared" si="11"/>
        <v>1.7788335538935611</v>
      </c>
    </row>
    <row r="55" spans="2:12" x14ac:dyDescent="0.3">
      <c r="B55" s="2"/>
      <c r="C55" s="2"/>
      <c r="D55" s="2"/>
      <c r="E55" s="2"/>
      <c r="F55" s="2"/>
      <c r="G55" s="2"/>
      <c r="H55" s="10" t="s">
        <v>291</v>
      </c>
      <c r="I55" s="191">
        <f>AVERAGE(I54:L54)</f>
        <v>0.85828353899413723</v>
      </c>
      <c r="J55" s="10"/>
      <c r="K55" s="10"/>
      <c r="L55" s="10"/>
    </row>
    <row r="56" spans="2:12" x14ac:dyDescent="0.3">
      <c r="B56" s="2"/>
      <c r="C56" s="2"/>
      <c r="D56" s="2"/>
      <c r="E56" s="2"/>
      <c r="F56" s="2"/>
      <c r="G56" s="2"/>
      <c r="H56" s="10" t="s">
        <v>196</v>
      </c>
      <c r="I56" s="191">
        <f>MEDIAN(I54:L54)</f>
        <v>2.5826337918517965</v>
      </c>
      <c r="J56" s="10"/>
      <c r="K56" s="10"/>
      <c r="L56" s="10"/>
    </row>
    <row r="58" spans="2:12" x14ac:dyDescent="0.3">
      <c r="B58" s="96" t="str">
        <f>"Calculate intrinsic growth of"&amp;" - "&amp;'Data Sheet'!$B$1</f>
        <v>Calculate intrinsic growth of - TATA MOTORS LTD</v>
      </c>
      <c r="C58" s="96"/>
      <c r="D58" s="96"/>
      <c r="E58" s="96"/>
      <c r="F58" s="96"/>
      <c r="G58" s="96"/>
      <c r="H58" s="97">
        <f>'Raw data'!$J$37</f>
        <v>43891</v>
      </c>
      <c r="I58" s="97">
        <f>'Raw data'!$K$37</f>
        <v>44256</v>
      </c>
      <c r="J58" s="97">
        <f>'Raw data'!$L$37</f>
        <v>44621</v>
      </c>
      <c r="K58" s="97">
        <f>'Raw data'!$M$37</f>
        <v>44986</v>
      </c>
      <c r="L58" s="97">
        <f>'Raw data'!$N$37</f>
        <v>45352</v>
      </c>
    </row>
    <row r="60" spans="2:12" x14ac:dyDescent="0.3">
      <c r="B60" s="106" t="str">
        <f>B54</f>
        <v>Reinvestmet rate</v>
      </c>
      <c r="C60" s="101"/>
      <c r="D60" s="101"/>
      <c r="E60" s="101"/>
      <c r="F60" s="101"/>
      <c r="G60" s="101"/>
      <c r="H60" s="101"/>
      <c r="I60" s="112">
        <f>I54</f>
        <v>-10.927951376542593</v>
      </c>
      <c r="J60" s="112">
        <f t="shared" ref="J60:L60" si="12">J54</f>
        <v>9.1958179488155487</v>
      </c>
      <c r="K60" s="112">
        <f t="shared" si="12"/>
        <v>3.3864340298100317</v>
      </c>
      <c r="L60" s="112">
        <f t="shared" si="12"/>
        <v>1.7788335538935611</v>
      </c>
    </row>
    <row r="61" spans="2:12" x14ac:dyDescent="0.3">
      <c r="B61" s="113" t="s">
        <v>251</v>
      </c>
      <c r="C61" s="109"/>
      <c r="D61" s="109"/>
      <c r="E61" s="109"/>
      <c r="F61" s="109"/>
      <c r="G61" s="109"/>
      <c r="H61" s="109"/>
      <c r="I61" s="114">
        <f>I42</f>
        <v>-2.7038803215013656E-2</v>
      </c>
      <c r="J61" s="114">
        <f t="shared" ref="J61:L61" si="13">J42</f>
        <v>1.913087804256404E-2</v>
      </c>
      <c r="K61" s="114">
        <f t="shared" si="13"/>
        <v>0.13232806751356124</v>
      </c>
      <c r="L61" s="114">
        <f t="shared" si="13"/>
        <v>0.43223596476075304</v>
      </c>
    </row>
    <row r="62" spans="2:12" ht="15" thickBot="1" x14ac:dyDescent="0.35">
      <c r="B62" s="98" t="s">
        <v>258</v>
      </c>
      <c r="C62" s="98"/>
      <c r="D62" s="98"/>
      <c r="E62" s="98"/>
      <c r="F62" s="98"/>
      <c r="G62" s="98"/>
      <c r="H62" s="98"/>
      <c r="I62" s="115">
        <f>I61*I60</f>
        <v>0.29547872681357279</v>
      </c>
      <c r="J62" s="115">
        <f t="shared" ref="J62:L62" si="14">J61*J60</f>
        <v>0.17592407168041166</v>
      </c>
      <c r="K62" s="115">
        <f t="shared" si="14"/>
        <v>0.44812027092692314</v>
      </c>
      <c r="L62" s="115">
        <f t="shared" si="14"/>
        <v>0.76887583731598241</v>
      </c>
    </row>
  </sheetData>
  <pageMargins left="0.7" right="0.7" top="0.75" bottom="0.75" header="0.3" footer="0.3"/>
  <ignoredErrors>
    <ignoredError sqref="H46:L46" formulaRange="1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AA0C-301B-4AD1-80BA-B38EF0BF2C9A}">
  <sheetPr>
    <tabColor theme="2" tint="-9.9978637043366805E-2"/>
  </sheetPr>
  <dimension ref="B2:K41"/>
  <sheetViews>
    <sheetView showGridLines="0" workbookViewId="0">
      <selection activeCell="N17" sqref="N17"/>
    </sheetView>
  </sheetViews>
  <sheetFormatPr defaultRowHeight="14.4" x14ac:dyDescent="0.3"/>
  <cols>
    <col min="1" max="1" width="1.88671875" customWidth="1"/>
    <col min="2" max="2" width="10.109375" bestFit="1" customWidth="1"/>
    <col min="3" max="3" width="14.44140625" bestFit="1" customWidth="1"/>
    <col min="4" max="4" width="8" bestFit="1" customWidth="1"/>
    <col min="5" max="6" width="10.88671875" bestFit="1" customWidth="1"/>
    <col min="8" max="8" width="9" customWidth="1"/>
    <col min="10" max="10" width="11.5546875" bestFit="1" customWidth="1"/>
    <col min="11" max="11" width="13.21875" bestFit="1" customWidth="1"/>
  </cols>
  <sheetData>
    <row r="2" spans="2:11" x14ac:dyDescent="0.3">
      <c r="B2" s="86"/>
      <c r="C2" s="86"/>
      <c r="D2" s="86"/>
      <c r="E2" s="86"/>
      <c r="F2" s="86"/>
      <c r="G2" s="86"/>
      <c r="H2" s="86"/>
      <c r="I2" s="86"/>
      <c r="J2" s="86"/>
      <c r="K2" s="86"/>
    </row>
    <row r="3" spans="2:11" x14ac:dyDescent="0.3"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2:11" x14ac:dyDescent="0.3"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2:11" x14ac:dyDescent="0.3">
      <c r="B5" s="86"/>
      <c r="C5" s="86"/>
      <c r="D5" s="86"/>
      <c r="E5" s="86"/>
      <c r="F5" s="86"/>
      <c r="G5" s="86"/>
      <c r="H5" s="86"/>
      <c r="I5" s="86"/>
      <c r="J5" s="86"/>
      <c r="K5" s="86"/>
    </row>
    <row r="7" spans="2:11" x14ac:dyDescent="0.3">
      <c r="B7" s="129" t="s">
        <v>275</v>
      </c>
      <c r="C7" s="128"/>
      <c r="D7" s="128"/>
      <c r="E7" s="128"/>
      <c r="F7" s="128"/>
      <c r="G7" s="128"/>
      <c r="H7" s="128"/>
      <c r="I7" s="128"/>
      <c r="J7" s="128"/>
      <c r="K7" s="128"/>
    </row>
    <row r="8" spans="2:11" x14ac:dyDescent="0.3">
      <c r="B8" s="31" t="s">
        <v>276</v>
      </c>
      <c r="C8" s="130"/>
    </row>
    <row r="9" spans="2:11" x14ac:dyDescent="0.3">
      <c r="B9" s="31"/>
      <c r="C9" s="130"/>
    </row>
    <row r="10" spans="2:11" x14ac:dyDescent="0.3">
      <c r="B10" s="131" t="s">
        <v>279</v>
      </c>
      <c r="C10" s="131"/>
      <c r="D10" s="131"/>
      <c r="E10" s="131"/>
      <c r="F10" s="131"/>
      <c r="G10" s="131"/>
      <c r="H10" s="131"/>
      <c r="I10" s="131"/>
      <c r="J10" s="131"/>
      <c r="K10" s="131"/>
    </row>
    <row r="11" spans="2:11" x14ac:dyDescent="0.3">
      <c r="B11" s="165" t="s">
        <v>277</v>
      </c>
      <c r="C11" s="166" t="s">
        <v>278</v>
      </c>
      <c r="D11" s="166" t="s">
        <v>280</v>
      </c>
      <c r="E11" s="167" t="s">
        <v>282</v>
      </c>
      <c r="F11" s="166" t="s">
        <v>284</v>
      </c>
      <c r="G11" s="166" t="s">
        <v>285</v>
      </c>
      <c r="H11" s="166" t="s">
        <v>283</v>
      </c>
      <c r="I11" s="166" t="s">
        <v>288</v>
      </c>
      <c r="J11" s="166" t="s">
        <v>289</v>
      </c>
      <c r="K11" s="168" t="s">
        <v>290</v>
      </c>
    </row>
    <row r="12" spans="2:11" x14ac:dyDescent="0.3">
      <c r="B12" s="169"/>
      <c r="C12" s="170"/>
      <c r="D12" s="170"/>
      <c r="E12" s="170"/>
      <c r="F12" s="170"/>
      <c r="G12" s="170" t="s">
        <v>286</v>
      </c>
      <c r="H12" s="170" t="s">
        <v>287</v>
      </c>
      <c r="I12" s="170"/>
      <c r="J12" s="170"/>
      <c r="K12" s="171"/>
    </row>
    <row r="13" spans="2:11" x14ac:dyDescent="0.3">
      <c r="B13" s="157">
        <v>1</v>
      </c>
      <c r="C13" s="158" t="str">
        <f>'Raw data'!C83</f>
        <v>Maruti Suzuki</v>
      </c>
      <c r="D13" s="159" t="s">
        <v>281</v>
      </c>
      <c r="E13" s="160">
        <f>'Raw data'!E83</f>
        <v>384925.42</v>
      </c>
      <c r="F13" s="160">
        <f>'Raw data'!F83</f>
        <v>118.6</v>
      </c>
      <c r="G13" s="161">
        <f>F13/E13</f>
        <v>3.0811163367698607E-4</v>
      </c>
      <c r="H13" s="161">
        <f>F13/(F13+E13)</f>
        <v>3.0801673013906307E-4</v>
      </c>
      <c r="I13" s="162">
        <v>0.3</v>
      </c>
      <c r="J13" s="163">
        <f>'Beta benchmarking'!T8</f>
        <v>0.52430901948472697</v>
      </c>
      <c r="K13" s="164">
        <f>J13/(1+(1-I13)*G13)</f>
        <v>0.52419596187280137</v>
      </c>
    </row>
    <row r="14" spans="2:11" x14ac:dyDescent="0.3">
      <c r="B14" s="157">
        <v>2</v>
      </c>
      <c r="C14" s="158" t="str">
        <f>'Raw data'!C84</f>
        <v>M &amp; M</v>
      </c>
      <c r="D14" s="159" t="s">
        <v>281</v>
      </c>
      <c r="E14" s="160">
        <f>'Raw data'!E84</f>
        <v>365005.23</v>
      </c>
      <c r="F14" s="160">
        <f>'Raw data'!F84</f>
        <v>106625.52</v>
      </c>
      <c r="G14" s="161">
        <f t="shared" ref="G14:G16" si="0">F14/E14</f>
        <v>0.29212052660176951</v>
      </c>
      <c r="H14" s="161">
        <f t="shared" ref="H14:H16" si="1">F14/(F14+E14)</f>
        <v>0.22607838865468377</v>
      </c>
      <c r="I14" s="162">
        <v>0.3</v>
      </c>
      <c r="J14" s="163">
        <f>'Beta benchmarking'!T9</f>
        <v>1.1519167541014637</v>
      </c>
      <c r="K14" s="164">
        <f t="shared" ref="K14:K16" si="2">J14/(1+(1-I14)*G14)</f>
        <v>0.95635674825739025</v>
      </c>
    </row>
    <row r="15" spans="2:11" x14ac:dyDescent="0.3">
      <c r="B15" s="176">
        <v>3</v>
      </c>
      <c r="C15" s="177" t="str">
        <f>'Raw data'!C85</f>
        <v>Tata Motors</v>
      </c>
      <c r="D15" s="178" t="s">
        <v>281</v>
      </c>
      <c r="E15" s="179">
        <f>'Raw data'!E85</f>
        <v>358267.87</v>
      </c>
      <c r="F15" s="179">
        <f>'Raw data'!F85</f>
        <v>107262.5</v>
      </c>
      <c r="G15" s="180">
        <f t="shared" si="0"/>
        <v>0.2993919047220171</v>
      </c>
      <c r="H15" s="180">
        <f t="shared" si="1"/>
        <v>0.23040924268807639</v>
      </c>
      <c r="I15" s="181">
        <v>0.3</v>
      </c>
      <c r="J15" s="182">
        <f>'Beta benchmarking'!T10</f>
        <v>1.1678305096011143</v>
      </c>
      <c r="K15" s="183">
        <f t="shared" si="2"/>
        <v>0.96548883143855746</v>
      </c>
    </row>
    <row r="16" spans="2:11" x14ac:dyDescent="0.3">
      <c r="B16" s="157">
        <v>4</v>
      </c>
      <c r="C16" s="158" t="str">
        <f>'Raw data'!C86</f>
        <v>Bajaj Auto</v>
      </c>
      <c r="D16" s="159" t="s">
        <v>281</v>
      </c>
      <c r="E16" s="160">
        <f>'Raw data'!E86</f>
        <v>270485.55</v>
      </c>
      <c r="F16" s="160">
        <f>'Raw data'!F86</f>
        <v>1911.74</v>
      </c>
      <c r="G16" s="161">
        <f t="shared" si="0"/>
        <v>7.0678082433608749E-3</v>
      </c>
      <c r="H16" s="161">
        <f t="shared" si="1"/>
        <v>7.0182049167963464E-3</v>
      </c>
      <c r="I16" s="162">
        <v>0.3</v>
      </c>
      <c r="J16" s="163">
        <f>'Beta benchmarking'!T11</f>
        <v>0.65106970526786156</v>
      </c>
      <c r="K16" s="164">
        <f t="shared" si="2"/>
        <v>0.64786441823481544</v>
      </c>
    </row>
    <row r="18" spans="2:11" x14ac:dyDescent="0.3">
      <c r="F18" s="134" t="s">
        <v>291</v>
      </c>
      <c r="G18" s="135">
        <f>AVERAGE(G13:G16)</f>
        <v>0.14972208780020613</v>
      </c>
      <c r="H18" s="135">
        <f>AVERAGE(H13:H16)</f>
        <v>0.11595346324742388</v>
      </c>
      <c r="I18" s="135">
        <f t="shared" ref="I18:K18" si="3">AVERAGE(I13:I16)</f>
        <v>0.3</v>
      </c>
      <c r="J18" s="136">
        <f t="shared" si="3"/>
        <v>0.87378149711379161</v>
      </c>
      <c r="K18" s="136">
        <f t="shared" si="3"/>
        <v>0.77347648995089113</v>
      </c>
    </row>
    <row r="19" spans="2:11" x14ac:dyDescent="0.3">
      <c r="F19" s="110" t="s">
        <v>196</v>
      </c>
      <c r="G19" s="137">
        <f>MEDIAN(G13:G16)</f>
        <v>0.14959416742256518</v>
      </c>
      <c r="H19" s="137">
        <f t="shared" ref="H19:K19" si="4">MEDIAN(H13:H16)</f>
        <v>0.11654829678574007</v>
      </c>
      <c r="I19" s="137">
        <f t="shared" si="4"/>
        <v>0.3</v>
      </c>
      <c r="J19" s="138">
        <f t="shared" si="4"/>
        <v>0.90149322968466261</v>
      </c>
      <c r="K19" s="138">
        <f t="shared" si="4"/>
        <v>0.80211058324610285</v>
      </c>
    </row>
    <row r="22" spans="2:11" x14ac:dyDescent="0.3">
      <c r="B22" s="2" t="s">
        <v>292</v>
      </c>
      <c r="G22" s="156" t="s">
        <v>295</v>
      </c>
      <c r="H22" s="153"/>
      <c r="I22" s="153"/>
      <c r="J22" s="153"/>
      <c r="K22" s="153"/>
    </row>
    <row r="23" spans="2:11" x14ac:dyDescent="0.3">
      <c r="B23" s="105" t="s">
        <v>293</v>
      </c>
      <c r="C23" s="105"/>
      <c r="D23" s="105"/>
      <c r="E23" s="142">
        <f>9985/F15</f>
        <v>9.308938352173407E-2</v>
      </c>
      <c r="G23" s="101" t="s">
        <v>296</v>
      </c>
      <c r="H23" s="101"/>
      <c r="I23" s="101"/>
      <c r="J23" s="101"/>
      <c r="K23" s="108">
        <v>6.9800000000000001E-2</v>
      </c>
    </row>
    <row r="24" spans="2:11" x14ac:dyDescent="0.3">
      <c r="B24" t="s">
        <v>254</v>
      </c>
      <c r="E24" s="132">
        <v>0.3</v>
      </c>
      <c r="G24" s="101" t="s">
        <v>297</v>
      </c>
      <c r="H24" s="101"/>
      <c r="I24" s="101"/>
      <c r="J24" s="101"/>
      <c r="K24" s="143">
        <f>'Market return '!G13-WACC!K23</f>
        <v>0.19754736842105261</v>
      </c>
    </row>
    <row r="25" spans="2:11" ht="15" thickBot="1" x14ac:dyDescent="0.35">
      <c r="B25" s="140" t="s">
        <v>294</v>
      </c>
      <c r="C25" s="140"/>
      <c r="D25" s="140"/>
      <c r="E25" s="141">
        <f>E23/(1-E24)</f>
        <v>0.13298483360247726</v>
      </c>
      <c r="G25" s="109" t="s">
        <v>298</v>
      </c>
      <c r="H25" s="109"/>
      <c r="I25" s="109"/>
      <c r="J25" s="109"/>
      <c r="K25" s="154">
        <f>K33</f>
        <v>0.73465895836992756</v>
      </c>
    </row>
    <row r="26" spans="2:11" x14ac:dyDescent="0.3">
      <c r="G26" s="103" t="s">
        <v>323</v>
      </c>
      <c r="H26" s="103"/>
      <c r="I26" s="103"/>
      <c r="J26" s="103"/>
      <c r="K26" s="146">
        <f>K23+(K24*K25)</f>
        <v>0.21492994391293083</v>
      </c>
    </row>
    <row r="28" spans="2:11" x14ac:dyDescent="0.3">
      <c r="B28" s="139" t="s">
        <v>300</v>
      </c>
      <c r="C28" s="139"/>
      <c r="D28" s="139"/>
      <c r="E28" s="139"/>
    </row>
    <row r="29" spans="2:11" x14ac:dyDescent="0.3">
      <c r="D29" s="121" t="s">
        <v>303</v>
      </c>
      <c r="E29" s="121" t="s">
        <v>304</v>
      </c>
      <c r="G29" s="156" t="s">
        <v>298</v>
      </c>
      <c r="H29" s="153"/>
      <c r="I29" s="153"/>
      <c r="J29" s="153"/>
      <c r="K29" s="153"/>
    </row>
    <row r="30" spans="2:11" x14ac:dyDescent="0.3">
      <c r="B30" s="101" t="s">
        <v>301</v>
      </c>
      <c r="C30" s="102">
        <f>F15</f>
        <v>107262.5</v>
      </c>
      <c r="D30" s="143">
        <f>C30/C32</f>
        <v>0.23040924268807639</v>
      </c>
      <c r="E30" s="143">
        <f>H18</f>
        <v>0.11595346324742388</v>
      </c>
      <c r="G30" s="101" t="s">
        <v>299</v>
      </c>
      <c r="H30" s="101"/>
      <c r="I30" s="101"/>
      <c r="J30" s="101"/>
      <c r="K30" s="147">
        <f>K19</f>
        <v>0.80211058324610285</v>
      </c>
    </row>
    <row r="31" spans="2:11" x14ac:dyDescent="0.3">
      <c r="B31" s="101" t="s">
        <v>302</v>
      </c>
      <c r="C31" s="102">
        <f>E15</f>
        <v>358267.87</v>
      </c>
      <c r="D31" s="143">
        <f>C31/C32</f>
        <v>0.76959075731192361</v>
      </c>
      <c r="E31" s="143">
        <f>E32-E30</f>
        <v>0.88404653675257616</v>
      </c>
      <c r="G31" s="101" t="s">
        <v>306</v>
      </c>
      <c r="H31" s="101"/>
      <c r="I31" s="101"/>
      <c r="J31" s="101"/>
      <c r="K31" s="143">
        <f>E33</f>
        <v>0.13116217125103283</v>
      </c>
    </row>
    <row r="32" spans="2:11" x14ac:dyDescent="0.3">
      <c r="B32" s="109"/>
      <c r="C32" s="144">
        <f>SUM(C30:C31)</f>
        <v>465530.37</v>
      </c>
      <c r="D32" s="145">
        <f>SUM(D30:D31)</f>
        <v>1</v>
      </c>
      <c r="E32" s="145">
        <v>1</v>
      </c>
      <c r="G32" t="s">
        <v>254</v>
      </c>
      <c r="K32" s="132">
        <f>E24</f>
        <v>0.3</v>
      </c>
    </row>
    <row r="33" spans="2:11" x14ac:dyDescent="0.3">
      <c r="B33" s="103" t="s">
        <v>305</v>
      </c>
      <c r="C33" s="103"/>
      <c r="D33" s="146">
        <f>D30/D31</f>
        <v>0.29939190472201704</v>
      </c>
      <c r="E33" s="146">
        <f>E30/E31</f>
        <v>0.13116217125103283</v>
      </c>
      <c r="G33" s="103" t="s">
        <v>289</v>
      </c>
      <c r="H33" s="103"/>
      <c r="I33" s="103"/>
      <c r="J33" s="103"/>
      <c r="K33" s="155">
        <f>K30/(1+(1-K32)*K31)</f>
        <v>0.73465895836992756</v>
      </c>
    </row>
    <row r="35" spans="2:11" x14ac:dyDescent="0.3">
      <c r="B35" s="156" t="s">
        <v>319</v>
      </c>
      <c r="C35" s="153"/>
      <c r="D35" s="153"/>
      <c r="E35" s="153"/>
    </row>
    <row r="36" spans="2:11" x14ac:dyDescent="0.3">
      <c r="B36" s="101" t="s">
        <v>295</v>
      </c>
      <c r="C36" s="101"/>
      <c r="D36" s="101"/>
      <c r="E36" s="143">
        <f>K26</f>
        <v>0.21492994391293083</v>
      </c>
    </row>
    <row r="37" spans="2:11" x14ac:dyDescent="0.3">
      <c r="B37" s="101" t="s">
        <v>320</v>
      </c>
      <c r="C37" s="101"/>
      <c r="D37" s="101"/>
      <c r="E37" s="143">
        <f>E31</f>
        <v>0.88404653675257616</v>
      </c>
    </row>
    <row r="38" spans="2:11" x14ac:dyDescent="0.3">
      <c r="B38" s="101"/>
      <c r="C38" s="101"/>
      <c r="D38" s="101"/>
      <c r="E38" s="101"/>
    </row>
    <row r="39" spans="2:11" x14ac:dyDescent="0.3">
      <c r="B39" s="101" t="s">
        <v>322</v>
      </c>
      <c r="C39" s="101"/>
      <c r="D39" s="101"/>
      <c r="E39" s="143">
        <f>E25</f>
        <v>0.13298483360247726</v>
      </c>
    </row>
    <row r="40" spans="2:11" x14ac:dyDescent="0.3">
      <c r="B40" s="110" t="s">
        <v>321</v>
      </c>
      <c r="C40" s="110"/>
      <c r="D40" s="110"/>
      <c r="E40" s="137">
        <f>E30</f>
        <v>0.11595346324742388</v>
      </c>
    </row>
    <row r="41" spans="2:11" x14ac:dyDescent="0.3">
      <c r="B41" s="173" t="s">
        <v>318</v>
      </c>
      <c r="C41" s="173"/>
      <c r="D41" s="173"/>
      <c r="E41" s="175">
        <f>(E36*E37)+(E39*E40)</f>
        <v>0.20542812457624157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CC7A-90A5-42E2-9892-D84817A1EA37}">
  <sheetPr>
    <tabColor theme="2" tint="-9.9978637043366805E-2"/>
  </sheetPr>
  <dimension ref="B2:K34"/>
  <sheetViews>
    <sheetView showGridLines="0" workbookViewId="0">
      <selection activeCell="G21" sqref="G21"/>
    </sheetView>
  </sheetViews>
  <sheetFormatPr defaultRowHeight="14.4" x14ac:dyDescent="0.3"/>
  <cols>
    <col min="1" max="1" width="1.88671875" customWidth="1"/>
  </cols>
  <sheetData>
    <row r="2" spans="2:11" x14ac:dyDescent="0.3">
      <c r="B2" s="86"/>
      <c r="C2" s="86"/>
      <c r="D2" s="86"/>
      <c r="E2" s="86"/>
      <c r="F2" s="86"/>
      <c r="G2" s="86"/>
      <c r="H2" s="86"/>
      <c r="I2" s="86"/>
      <c r="J2" s="86"/>
      <c r="K2" s="86"/>
    </row>
    <row r="3" spans="2:11" x14ac:dyDescent="0.3"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2:11" x14ac:dyDescent="0.3"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2:11" x14ac:dyDescent="0.3">
      <c r="B5" s="86"/>
      <c r="C5" s="86"/>
      <c r="D5" s="86"/>
      <c r="E5" s="86"/>
      <c r="F5" s="86"/>
      <c r="G5" s="86"/>
      <c r="H5" s="86"/>
      <c r="I5" s="86"/>
      <c r="J5" s="86"/>
      <c r="K5" s="86"/>
    </row>
    <row r="7" spans="2:11" x14ac:dyDescent="0.3">
      <c r="B7" s="196" t="s">
        <v>307</v>
      </c>
      <c r="C7" s="196"/>
      <c r="D7" s="196"/>
      <c r="E7" s="196"/>
      <c r="F7" s="196"/>
      <c r="G7" s="196"/>
      <c r="H7" s="196"/>
      <c r="I7" s="196"/>
      <c r="J7" s="196"/>
      <c r="K7" s="196"/>
    </row>
    <row r="9" spans="2:11" x14ac:dyDescent="0.3">
      <c r="B9" s="187" t="s">
        <v>198</v>
      </c>
      <c r="C9" s="188" t="s">
        <v>314</v>
      </c>
    </row>
    <row r="10" spans="2:11" x14ac:dyDescent="0.3">
      <c r="B10" s="186">
        <f>'Raw data'!C90</f>
        <v>2024</v>
      </c>
      <c r="C10" s="133"/>
    </row>
    <row r="11" spans="2:11" x14ac:dyDescent="0.3">
      <c r="B11" s="184">
        <f>'Raw data'!C91</f>
        <v>2023</v>
      </c>
      <c r="C11" s="185">
        <f>'Raw data'!D91</f>
        <v>0.19420000000000001</v>
      </c>
      <c r="E11" s="125" t="s">
        <v>315</v>
      </c>
      <c r="F11" s="125"/>
      <c r="G11" s="172">
        <f>AVERAGE(C11:C34)</f>
        <v>0.25574736842105261</v>
      </c>
    </row>
    <row r="12" spans="2:11" x14ac:dyDescent="0.3">
      <c r="B12" s="184">
        <f>'Raw data'!C92</f>
        <v>2022</v>
      </c>
      <c r="C12" s="185">
        <f>'Raw data'!D92</f>
        <v>4.3200000000000002E-2</v>
      </c>
      <c r="E12" s="125" t="s">
        <v>316</v>
      </c>
      <c r="F12" s="125"/>
      <c r="G12" s="172">
        <v>1.1599999999999999E-2</v>
      </c>
    </row>
    <row r="13" spans="2:11" x14ac:dyDescent="0.3">
      <c r="B13" s="184">
        <f>'Raw data'!C93</f>
        <v>2021</v>
      </c>
      <c r="C13" s="185">
        <f>'Raw data'!D93</f>
        <v>0.2412</v>
      </c>
      <c r="E13" s="173" t="s">
        <v>317</v>
      </c>
      <c r="F13" s="173"/>
      <c r="G13" s="174">
        <f>SUM(G11:G12)</f>
        <v>0.26734736842105261</v>
      </c>
    </row>
    <row r="14" spans="2:11" x14ac:dyDescent="0.3">
      <c r="B14" s="184">
        <f>'Raw data'!C94</f>
        <v>2020</v>
      </c>
      <c r="C14" s="185">
        <f>'Raw data'!D94</f>
        <v>0.14899999999999999</v>
      </c>
      <c r="G14" s="152"/>
    </row>
    <row r="15" spans="2:11" x14ac:dyDescent="0.3">
      <c r="B15" s="184">
        <f>'Raw data'!C95</f>
        <v>2019</v>
      </c>
      <c r="C15" s="185">
        <f>'Raw data'!D95</f>
        <v>0.1202</v>
      </c>
    </row>
    <row r="16" spans="2:11" x14ac:dyDescent="0.3">
      <c r="B16" s="184">
        <f>'Raw data'!C96</f>
        <v>2018</v>
      </c>
      <c r="C16" s="185">
        <f>'Raw data'!D96</f>
        <v>3.15E-2</v>
      </c>
    </row>
    <row r="17" spans="2:3" x14ac:dyDescent="0.3">
      <c r="B17" s="184">
        <f>'Raw data'!C97</f>
        <v>2017</v>
      </c>
      <c r="C17" s="185">
        <f>'Raw data'!D97</f>
        <v>0.28649999999999998</v>
      </c>
    </row>
    <row r="18" spans="2:3" x14ac:dyDescent="0.3">
      <c r="B18" s="184">
        <f>'Raw data'!C98</f>
        <v>2016</v>
      </c>
      <c r="C18" s="185">
        <f>'Raw data'!D98</f>
        <v>3.0099999999999998E-2</v>
      </c>
    </row>
    <row r="19" spans="2:3" x14ac:dyDescent="0.3">
      <c r="B19" s="184">
        <f>'Raw data'!C99</f>
        <v>2015</v>
      </c>
      <c r="C19" s="185" t="str">
        <f>'Raw data'!D99</f>
        <v>−4.06%</v>
      </c>
    </row>
    <row r="20" spans="2:3" x14ac:dyDescent="0.3">
      <c r="B20" s="184">
        <f>'Raw data'!C100</f>
        <v>2014</v>
      </c>
      <c r="C20" s="185">
        <f>'Raw data'!D100</f>
        <v>0.31390000000000001</v>
      </c>
    </row>
    <row r="21" spans="2:3" x14ac:dyDescent="0.3">
      <c r="B21" s="184">
        <f>'Raw data'!C101</f>
        <v>2013</v>
      </c>
      <c r="C21" s="185">
        <f>'Raw data'!D101</f>
        <v>6.7599999999999993E-2</v>
      </c>
    </row>
    <row r="22" spans="2:3" x14ac:dyDescent="0.3">
      <c r="B22" s="184">
        <f>'Raw data'!C102</f>
        <v>2012</v>
      </c>
      <c r="C22" s="185">
        <f>'Raw data'!D102</f>
        <v>0.27700000000000002</v>
      </c>
    </row>
    <row r="23" spans="2:3" x14ac:dyDescent="0.3">
      <c r="B23" s="184">
        <f>'Raw data'!C103</f>
        <v>2011</v>
      </c>
      <c r="C23" s="185" t="str">
        <f>'Raw data'!D103</f>
        <v>−24.62%</v>
      </c>
    </row>
    <row r="24" spans="2:3" x14ac:dyDescent="0.3">
      <c r="B24" s="184">
        <f>'Raw data'!C104</f>
        <v>2010</v>
      </c>
      <c r="C24" s="185">
        <f>'Raw data'!D104</f>
        <v>0.17949999999999999</v>
      </c>
    </row>
    <row r="25" spans="2:3" x14ac:dyDescent="0.3">
      <c r="B25" s="184">
        <f>'Raw data'!C105</f>
        <v>2009</v>
      </c>
      <c r="C25" s="185">
        <f>'Raw data'!D105</f>
        <v>0.75760000000000005</v>
      </c>
    </row>
    <row r="26" spans="2:3" x14ac:dyDescent="0.3">
      <c r="B26" s="184">
        <f>'Raw data'!C106</f>
        <v>2008</v>
      </c>
      <c r="C26" s="185" t="str">
        <f>'Raw data'!D106</f>
        <v>−51.79%</v>
      </c>
    </row>
    <row r="27" spans="2:3" x14ac:dyDescent="0.3">
      <c r="B27" s="184">
        <f>'Raw data'!C107</f>
        <v>2007</v>
      </c>
      <c r="C27" s="185">
        <f>'Raw data'!D107</f>
        <v>0.54769999999999996</v>
      </c>
    </row>
    <row r="28" spans="2:3" x14ac:dyDescent="0.3">
      <c r="B28" s="184">
        <f>'Raw data'!C108</f>
        <v>2006</v>
      </c>
      <c r="C28" s="185">
        <f>'Raw data'!D108</f>
        <v>0.39829999999999999</v>
      </c>
    </row>
    <row r="29" spans="2:3" x14ac:dyDescent="0.3">
      <c r="B29" s="184">
        <f>'Raw data'!C109</f>
        <v>2005</v>
      </c>
      <c r="C29" s="185">
        <f>'Raw data'!D109</f>
        <v>0.3634</v>
      </c>
    </row>
    <row r="30" spans="2:3" x14ac:dyDescent="0.3">
      <c r="B30" s="184">
        <f>'Raw data'!C110</f>
        <v>2004</v>
      </c>
      <c r="C30" s="185">
        <f>'Raw data'!D110</f>
        <v>0.10680000000000001</v>
      </c>
    </row>
    <row r="31" spans="2:3" x14ac:dyDescent="0.3">
      <c r="B31" s="184">
        <f>'Raw data'!C111</f>
        <v>2003</v>
      </c>
      <c r="C31" s="185">
        <f>'Raw data'!D111</f>
        <v>0.71899999999999997</v>
      </c>
    </row>
    <row r="32" spans="2:3" x14ac:dyDescent="0.3">
      <c r="B32" s="184">
        <f>'Raw data'!C112</f>
        <v>2002</v>
      </c>
      <c r="C32" s="185">
        <f>'Raw data'!D112</f>
        <v>3.2500000000000001E-2</v>
      </c>
    </row>
    <row r="33" spans="2:3" x14ac:dyDescent="0.3">
      <c r="B33" s="184">
        <f>'Raw data'!C113</f>
        <v>2001</v>
      </c>
      <c r="C33" s="185" t="str">
        <f>'Raw data'!D113</f>
        <v>−16.18%</v>
      </c>
    </row>
    <row r="34" spans="2:3" x14ac:dyDescent="0.3">
      <c r="B34" s="184">
        <f>'Raw data'!C114</f>
        <v>2000</v>
      </c>
      <c r="C34" s="185" t="str">
        <f>'Raw data'!D114</f>
        <v>−14.65%</v>
      </c>
    </row>
  </sheetData>
  <mergeCells count="1">
    <mergeCell ref="B7:K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CC1D-BA8E-4BAE-B815-42D4BFC55C6A}">
  <sheetPr>
    <tabColor theme="2" tint="-9.9978637043366805E-2"/>
  </sheetPr>
  <dimension ref="B2:T114"/>
  <sheetViews>
    <sheetView showGridLines="0" workbookViewId="0">
      <selection activeCell="U14" sqref="U14"/>
    </sheetView>
  </sheetViews>
  <sheetFormatPr defaultRowHeight="14.4" x14ac:dyDescent="0.3"/>
  <cols>
    <col min="1" max="1" width="1.88671875" customWidth="1"/>
    <col min="2" max="2" width="12.77734375" customWidth="1"/>
    <col min="5" max="5" width="1.88671875" customWidth="1"/>
    <col min="8" max="8" width="1.88671875" customWidth="1"/>
    <col min="11" max="11" width="1.88671875" customWidth="1"/>
    <col min="14" max="14" width="1.88671875" customWidth="1"/>
    <col min="19" max="19" width="11.88671875" bestFit="1" customWidth="1"/>
  </cols>
  <sheetData>
    <row r="2" spans="2:20" x14ac:dyDescent="0.3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</row>
    <row r="3" spans="2:20" x14ac:dyDescent="0.3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</row>
    <row r="4" spans="2:20" x14ac:dyDescent="0.3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</row>
    <row r="5" spans="2:20" x14ac:dyDescent="0.3"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</row>
    <row r="6" spans="2:20" x14ac:dyDescent="0.3">
      <c r="B6" s="198" t="s">
        <v>273</v>
      </c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</row>
    <row r="7" spans="2:20" x14ac:dyDescent="0.3">
      <c r="C7" s="197" t="str">
        <f>'Raw data'!C85</f>
        <v>Tata Motors</v>
      </c>
      <c r="D7" s="197"/>
      <c r="F7" s="197" t="str">
        <f>'Raw data'!C83</f>
        <v>Maruti Suzuki</v>
      </c>
      <c r="G7" s="197"/>
      <c r="I7" s="197" t="str">
        <f>'Raw data'!C84</f>
        <v>M &amp; M</v>
      </c>
      <c r="J7" s="197"/>
      <c r="L7" s="197" t="str">
        <f>'Raw data'!C86</f>
        <v>Bajaj Auto</v>
      </c>
      <c r="M7" s="197"/>
      <c r="O7" s="197" t="s">
        <v>272</v>
      </c>
      <c r="P7" s="197"/>
      <c r="R7" s="124" t="s">
        <v>259</v>
      </c>
      <c r="S7" s="125" t="s">
        <v>260</v>
      </c>
      <c r="T7" s="126" t="s">
        <v>274</v>
      </c>
    </row>
    <row r="8" spans="2:20" x14ac:dyDescent="0.3">
      <c r="B8" s="20" t="s">
        <v>269</v>
      </c>
      <c r="C8" s="121" t="s">
        <v>270</v>
      </c>
      <c r="D8" s="121" t="s">
        <v>271</v>
      </c>
      <c r="F8" s="121" t="s">
        <v>270</v>
      </c>
      <c r="G8" s="121" t="s">
        <v>271</v>
      </c>
      <c r="I8" s="121" t="s">
        <v>270</v>
      </c>
      <c r="J8" s="121" t="s">
        <v>271</v>
      </c>
      <c r="L8" s="121" t="s">
        <v>270</v>
      </c>
      <c r="M8" s="121" t="s">
        <v>271</v>
      </c>
      <c r="O8" s="121" t="s">
        <v>270</v>
      </c>
      <c r="P8" s="121" t="s">
        <v>271</v>
      </c>
      <c r="R8" s="124">
        <v>1</v>
      </c>
      <c r="S8" s="125" t="s">
        <v>265</v>
      </c>
      <c r="T8" s="127">
        <f>SLOPE(G10:G114,P10:P114)</f>
        <v>0.52430901948472697</v>
      </c>
    </row>
    <row r="9" spans="2:20" x14ac:dyDescent="0.3">
      <c r="B9" s="120">
        <v>44732</v>
      </c>
      <c r="C9" s="122">
        <v>406.77301</v>
      </c>
      <c r="F9" s="122">
        <v>8355.2001949999994</v>
      </c>
      <c r="I9" s="122">
        <v>1050.1864009999999</v>
      </c>
      <c r="L9" s="122">
        <v>3669.6403810000002</v>
      </c>
      <c r="O9" s="122">
        <v>15699.25</v>
      </c>
      <c r="R9" s="124">
        <v>2</v>
      </c>
      <c r="S9" s="125" t="s">
        <v>266</v>
      </c>
      <c r="T9" s="127">
        <f>SLOPE(J10:J114,P10:P114)</f>
        <v>1.1519167541014637</v>
      </c>
    </row>
    <row r="10" spans="2:20" x14ac:dyDescent="0.3">
      <c r="B10" s="120">
        <v>44739</v>
      </c>
      <c r="C10" s="122">
        <v>410.152039</v>
      </c>
      <c r="D10" s="5">
        <f>C10/C9-1</f>
        <v>8.3069154465287287E-3</v>
      </c>
      <c r="F10" s="122">
        <v>8396.5996090000008</v>
      </c>
      <c r="G10" s="5">
        <f t="shared" ref="G10:G73" si="0">F10/F9-1</f>
        <v>4.9549278334199975E-3</v>
      </c>
      <c r="I10" s="122">
        <v>1084.766357</v>
      </c>
      <c r="J10" s="5">
        <f t="shared" ref="J10:J73" si="1">I10/I9-1</f>
        <v>3.292744599156161E-2</v>
      </c>
      <c r="L10" s="122">
        <v>3487.4960940000001</v>
      </c>
      <c r="M10" s="5">
        <f t="shared" ref="M10:M73" si="2">L10/L9-1</f>
        <v>-4.963545963334004E-2</v>
      </c>
      <c r="O10" s="122">
        <v>15752.049805000001</v>
      </c>
      <c r="P10" s="5">
        <f t="shared" ref="P10:P73" si="3">O10/O9-1</f>
        <v>3.3632055671448668E-3</v>
      </c>
      <c r="R10" s="124">
        <v>3</v>
      </c>
      <c r="S10" s="125" t="s">
        <v>267</v>
      </c>
      <c r="T10" s="127">
        <f>SLOPE(D10:D114,P10:P114)</f>
        <v>1.1678305096011143</v>
      </c>
    </row>
    <row r="11" spans="2:20" x14ac:dyDescent="0.3">
      <c r="B11" s="120">
        <v>44746</v>
      </c>
      <c r="C11" s="122">
        <v>438.823914</v>
      </c>
      <c r="D11" s="5">
        <f t="shared" ref="D11:D74" si="4">C11/C10-1</f>
        <v>6.9905479611671595E-2</v>
      </c>
      <c r="F11" s="122">
        <v>8475.4501949999994</v>
      </c>
      <c r="G11" s="5">
        <f t="shared" si="0"/>
        <v>9.3907759893041565E-3</v>
      </c>
      <c r="I11" s="122">
        <v>1110.4810789999999</v>
      </c>
      <c r="J11" s="5">
        <f t="shared" si="1"/>
        <v>2.3705309289933973E-2</v>
      </c>
      <c r="L11" s="122">
        <v>3680.8046880000002</v>
      </c>
      <c r="M11" s="5">
        <f t="shared" si="2"/>
        <v>5.5429049607417236E-2</v>
      </c>
      <c r="O11" s="122">
        <v>16220.599609000001</v>
      </c>
      <c r="P11" s="5">
        <f t="shared" si="3"/>
        <v>2.9745322659611828E-2</v>
      </c>
      <c r="R11" s="124">
        <v>4</v>
      </c>
      <c r="S11" s="125" t="s">
        <v>268</v>
      </c>
      <c r="T11" s="127">
        <f>SLOPE(M10:M114,P10:P114)</f>
        <v>0.65106970526786156</v>
      </c>
    </row>
    <row r="12" spans="2:20" x14ac:dyDescent="0.3">
      <c r="B12" s="120">
        <v>44753</v>
      </c>
      <c r="C12" s="122">
        <v>437.48226899999997</v>
      </c>
      <c r="D12" s="5">
        <f t="shared" si="4"/>
        <v>-3.0573652829686271E-3</v>
      </c>
      <c r="F12" s="122">
        <v>8780.75</v>
      </c>
      <c r="G12" s="5">
        <f t="shared" si="0"/>
        <v>3.602166232775561E-2</v>
      </c>
      <c r="I12" s="122">
        <v>1148.5876459999999</v>
      </c>
      <c r="J12" s="5">
        <f t="shared" si="1"/>
        <v>3.4315368105430011E-2</v>
      </c>
      <c r="L12" s="122">
        <v>3766.126221</v>
      </c>
      <c r="M12" s="5">
        <f t="shared" si="2"/>
        <v>2.3180130496508466E-2</v>
      </c>
      <c r="O12" s="122">
        <v>16049.200194999999</v>
      </c>
      <c r="P12" s="5">
        <f t="shared" si="3"/>
        <v>-1.0566774233481513E-2</v>
      </c>
    </row>
    <row r="13" spans="2:20" x14ac:dyDescent="0.3">
      <c r="B13" s="120">
        <v>44760</v>
      </c>
      <c r="C13" s="122">
        <v>452.09149200000002</v>
      </c>
      <c r="D13" s="5">
        <f t="shared" si="4"/>
        <v>3.3393863100769527E-2</v>
      </c>
      <c r="F13" s="122">
        <v>8826.0498050000006</v>
      </c>
      <c r="G13" s="5">
        <f t="shared" si="0"/>
        <v>5.1589904051476676E-3</v>
      </c>
      <c r="I13" s="122">
        <v>1168.8510739999999</v>
      </c>
      <c r="J13" s="5">
        <f t="shared" si="1"/>
        <v>1.7642038960255402E-2</v>
      </c>
      <c r="L13" s="122">
        <v>3902.5539549999999</v>
      </c>
      <c r="M13" s="5">
        <f t="shared" si="2"/>
        <v>3.6224949986879418E-2</v>
      </c>
      <c r="O13" s="122">
        <v>16719.449218999998</v>
      </c>
      <c r="P13" s="5">
        <f t="shared" si="3"/>
        <v>4.1762144895470144E-2</v>
      </c>
    </row>
    <row r="14" spans="2:20" x14ac:dyDescent="0.3">
      <c r="B14" s="120">
        <v>44767</v>
      </c>
      <c r="C14" s="122">
        <v>446.82421900000003</v>
      </c>
      <c r="D14" s="5">
        <f t="shared" si="4"/>
        <v>-1.1650900521702368E-2</v>
      </c>
      <c r="F14" s="122">
        <v>8772.4501949999994</v>
      </c>
      <c r="G14" s="5">
        <f t="shared" si="0"/>
        <v>-6.0728877792686209E-3</v>
      </c>
      <c r="I14" s="122">
        <v>1152.3736570000001</v>
      </c>
      <c r="J14" s="5">
        <f t="shared" si="1"/>
        <v>-1.4097105582160596E-2</v>
      </c>
      <c r="L14" s="122">
        <v>3766.4628910000001</v>
      </c>
      <c r="M14" s="5">
        <f t="shared" si="2"/>
        <v>-3.4872308126743023E-2</v>
      </c>
      <c r="O14" s="122">
        <v>17158.25</v>
      </c>
      <c r="P14" s="5">
        <f t="shared" si="3"/>
        <v>2.6244930395275645E-2</v>
      </c>
    </row>
    <row r="15" spans="2:20" x14ac:dyDescent="0.3">
      <c r="B15" s="120">
        <v>44774</v>
      </c>
      <c r="C15" s="122">
        <v>462.37759399999999</v>
      </c>
      <c r="D15" s="5">
        <f t="shared" si="4"/>
        <v>3.480871076059544E-2</v>
      </c>
      <c r="F15" s="122">
        <v>8836.0498050000006</v>
      </c>
      <c r="G15" s="5">
        <f t="shared" si="0"/>
        <v>7.2499254582545358E-3</v>
      </c>
      <c r="I15" s="122">
        <v>1223.082764</v>
      </c>
      <c r="J15" s="5">
        <f t="shared" si="1"/>
        <v>6.1359530886950786E-2</v>
      </c>
      <c r="L15" s="122">
        <v>3864.2001949999999</v>
      </c>
      <c r="M15" s="5">
        <f t="shared" si="2"/>
        <v>2.5949360667682164E-2</v>
      </c>
      <c r="O15" s="122">
        <v>17397.5</v>
      </c>
      <c r="P15" s="5">
        <f t="shared" si="3"/>
        <v>1.3943729692713402E-2</v>
      </c>
    </row>
    <row r="16" spans="2:20" x14ac:dyDescent="0.3">
      <c r="B16" s="120">
        <v>44781</v>
      </c>
      <c r="C16" s="122">
        <v>474.601654</v>
      </c>
      <c r="D16" s="5">
        <f t="shared" si="4"/>
        <v>2.64373969643521E-2</v>
      </c>
      <c r="F16" s="122">
        <v>8699.1503909999992</v>
      </c>
      <c r="G16" s="5">
        <f t="shared" si="0"/>
        <v>-1.5493282294825383E-2</v>
      </c>
      <c r="I16" s="122">
        <v>1246.388428</v>
      </c>
      <c r="J16" s="5">
        <f t="shared" si="1"/>
        <v>1.9054854410490263E-2</v>
      </c>
      <c r="L16" s="122">
        <v>3884.7485350000002</v>
      </c>
      <c r="M16" s="5">
        <f t="shared" si="2"/>
        <v>5.317617867363289E-3</v>
      </c>
      <c r="O16" s="122">
        <v>17698.150390999999</v>
      </c>
      <c r="P16" s="5">
        <f t="shared" si="3"/>
        <v>1.7281241040379314E-2</v>
      </c>
    </row>
    <row r="17" spans="2:16" x14ac:dyDescent="0.3">
      <c r="B17" s="120">
        <v>44788</v>
      </c>
      <c r="C17" s="122">
        <v>468.09210200000001</v>
      </c>
      <c r="D17" s="5">
        <f t="shared" si="4"/>
        <v>-1.3715822406299427E-2</v>
      </c>
      <c r="F17" s="122">
        <v>8777.5</v>
      </c>
      <c r="G17" s="5">
        <f t="shared" si="0"/>
        <v>9.0065817325173381E-3</v>
      </c>
      <c r="I17" s="122">
        <v>1226.546509</v>
      </c>
      <c r="J17" s="5">
        <f t="shared" si="1"/>
        <v>-1.5919530825425743E-2</v>
      </c>
      <c r="L17" s="122">
        <v>3918.7233890000002</v>
      </c>
      <c r="M17" s="5">
        <f t="shared" si="2"/>
        <v>8.7457022491677083E-3</v>
      </c>
      <c r="O17" s="122">
        <v>17758.449218999998</v>
      </c>
      <c r="P17" s="5">
        <f t="shared" si="3"/>
        <v>3.4070694771959342E-3</v>
      </c>
    </row>
    <row r="18" spans="2:16" x14ac:dyDescent="0.3">
      <c r="B18" s="120">
        <v>44795</v>
      </c>
      <c r="C18" s="122">
        <v>462.178833</v>
      </c>
      <c r="D18" s="5">
        <f t="shared" si="4"/>
        <v>-1.263270406557726E-2</v>
      </c>
      <c r="F18" s="122">
        <v>8719.2001949999994</v>
      </c>
      <c r="G18" s="5">
        <f t="shared" si="0"/>
        <v>-6.6419601253204785E-3</v>
      </c>
      <c r="I18" s="122">
        <v>1261.430908</v>
      </c>
      <c r="J18" s="5">
        <f t="shared" si="1"/>
        <v>2.8441154692487869E-2</v>
      </c>
      <c r="L18" s="122">
        <v>3900.3884280000002</v>
      </c>
      <c r="M18" s="5">
        <f t="shared" si="2"/>
        <v>-4.6788096989613948E-3</v>
      </c>
      <c r="O18" s="122">
        <v>17558.900390999999</v>
      </c>
      <c r="P18" s="5">
        <f t="shared" si="3"/>
        <v>-1.1236838619134604E-2</v>
      </c>
    </row>
    <row r="19" spans="2:16" x14ac:dyDescent="0.3">
      <c r="B19" s="120">
        <v>44802</v>
      </c>
      <c r="C19" s="122">
        <v>458.89923099999999</v>
      </c>
      <c r="D19" s="5">
        <f t="shared" si="4"/>
        <v>-7.0959588926047257E-3</v>
      </c>
      <c r="F19" s="122">
        <v>8920.0996090000008</v>
      </c>
      <c r="G19" s="5">
        <f t="shared" si="0"/>
        <v>2.304103696520321E-2</v>
      </c>
      <c r="I19" s="122">
        <v>1302.30249</v>
      </c>
      <c r="J19" s="5">
        <f t="shared" si="1"/>
        <v>3.2400967616055931E-2</v>
      </c>
      <c r="L19" s="122">
        <v>3880.4174800000001</v>
      </c>
      <c r="M19" s="5">
        <f t="shared" si="2"/>
        <v>-5.1202459366952446E-3</v>
      </c>
      <c r="O19" s="122">
        <v>17539.449218999998</v>
      </c>
      <c r="P19" s="5">
        <f t="shared" si="3"/>
        <v>-1.1077670905844661E-3</v>
      </c>
    </row>
    <row r="20" spans="2:16" x14ac:dyDescent="0.3">
      <c r="B20" s="120">
        <v>44809</v>
      </c>
      <c r="C20" s="122">
        <v>443.14703400000002</v>
      </c>
      <c r="D20" s="5">
        <f t="shared" si="4"/>
        <v>-3.4326047933603943E-2</v>
      </c>
      <c r="F20" s="122">
        <v>8945.7001949999994</v>
      </c>
      <c r="G20" s="5">
        <f t="shared" si="0"/>
        <v>2.8699888030587761E-3</v>
      </c>
      <c r="I20" s="122">
        <v>1287.755005</v>
      </c>
      <c r="J20" s="5">
        <f t="shared" si="1"/>
        <v>-1.1170588332362064E-2</v>
      </c>
      <c r="L20" s="122">
        <v>3705.3955080000001</v>
      </c>
      <c r="M20" s="5">
        <f t="shared" si="2"/>
        <v>-4.5103902583182864E-2</v>
      </c>
      <c r="O20" s="122">
        <v>17833.349609000001</v>
      </c>
      <c r="P20" s="5">
        <f t="shared" si="3"/>
        <v>1.6756534730955508E-2</v>
      </c>
    </row>
    <row r="21" spans="2:16" x14ac:dyDescent="0.3">
      <c r="B21" s="120">
        <v>44816</v>
      </c>
      <c r="C21" s="122">
        <v>429.82977299999999</v>
      </c>
      <c r="D21" s="5">
        <f t="shared" si="4"/>
        <v>-3.0051562976273982E-2</v>
      </c>
      <c r="F21" s="122">
        <v>9225.5996090000008</v>
      </c>
      <c r="G21" s="5">
        <f t="shared" si="0"/>
        <v>3.1288709424494687E-2</v>
      </c>
      <c r="I21" s="122">
        <v>1237.1354980000001</v>
      </c>
      <c r="J21" s="5">
        <f t="shared" si="1"/>
        <v>-3.9308336448670933E-2</v>
      </c>
      <c r="L21" s="122">
        <v>3555.9746089999999</v>
      </c>
      <c r="M21" s="5">
        <f t="shared" si="2"/>
        <v>-4.0325222686052875E-2</v>
      </c>
      <c r="O21" s="122">
        <v>17530.849609000001</v>
      </c>
      <c r="P21" s="5">
        <f t="shared" si="3"/>
        <v>-1.6962601341440453E-2</v>
      </c>
    </row>
    <row r="22" spans="2:16" x14ac:dyDescent="0.3">
      <c r="B22" s="120">
        <v>44823</v>
      </c>
      <c r="C22" s="122">
        <v>420.48782299999999</v>
      </c>
      <c r="D22" s="5">
        <f t="shared" si="4"/>
        <v>-2.1734069128803712E-2</v>
      </c>
      <c r="F22" s="122">
        <v>9343.9003909999992</v>
      </c>
      <c r="G22" s="5">
        <f t="shared" si="0"/>
        <v>1.282309952890115E-2</v>
      </c>
      <c r="I22" s="122">
        <v>1259.1053469999999</v>
      </c>
      <c r="J22" s="5">
        <f t="shared" si="1"/>
        <v>1.7758644089929554E-2</v>
      </c>
      <c r="L22" s="122">
        <v>3559.439453</v>
      </c>
      <c r="M22" s="5">
        <f t="shared" si="2"/>
        <v>9.7437253664045542E-4</v>
      </c>
      <c r="O22" s="122">
        <v>17327.349609000001</v>
      </c>
      <c r="P22" s="5">
        <f t="shared" si="3"/>
        <v>-1.1608108251383698E-2</v>
      </c>
    </row>
    <row r="23" spans="2:16" x14ac:dyDescent="0.3">
      <c r="B23" s="120">
        <v>44830</v>
      </c>
      <c r="C23" s="122">
        <v>402.10205100000002</v>
      </c>
      <c r="D23" s="5">
        <f t="shared" si="4"/>
        <v>-4.3724861920674374E-2</v>
      </c>
      <c r="F23" s="122">
        <v>8823.5498050000006</v>
      </c>
      <c r="G23" s="5">
        <f t="shared" si="0"/>
        <v>-5.5688798491601799E-2</v>
      </c>
      <c r="I23" s="122">
        <v>1255.0477289999999</v>
      </c>
      <c r="J23" s="5">
        <f t="shared" si="1"/>
        <v>-3.2226199417451085E-3</v>
      </c>
      <c r="L23" s="122">
        <v>3394.6677249999998</v>
      </c>
      <c r="M23" s="5">
        <f t="shared" si="2"/>
        <v>-4.6291482177376442E-2</v>
      </c>
      <c r="O23" s="122">
        <v>17094.349609000001</v>
      </c>
      <c r="P23" s="5">
        <f t="shared" si="3"/>
        <v>-1.3446949779265527E-2</v>
      </c>
    </row>
    <row r="24" spans="2:16" x14ac:dyDescent="0.3">
      <c r="B24" s="120">
        <v>44837</v>
      </c>
      <c r="C24" s="122">
        <v>409.60543799999999</v>
      </c>
      <c r="D24" s="5">
        <f t="shared" si="4"/>
        <v>1.8660404694130772E-2</v>
      </c>
      <c r="F24" s="122">
        <v>8782.9501949999994</v>
      </c>
      <c r="G24" s="5">
        <f t="shared" si="0"/>
        <v>-4.6012784987051747E-3</v>
      </c>
      <c r="I24" s="122">
        <v>1226.0020750000001</v>
      </c>
      <c r="J24" s="5">
        <f t="shared" si="1"/>
        <v>-2.314306725461579E-2</v>
      </c>
      <c r="L24" s="122">
        <v>3466.5146479999999</v>
      </c>
      <c r="M24" s="5">
        <f t="shared" si="2"/>
        <v>2.1164640789696154E-2</v>
      </c>
      <c r="O24" s="122">
        <v>17314.650390999999</v>
      </c>
      <c r="P24" s="5">
        <f t="shared" si="3"/>
        <v>1.2887345060733635E-2</v>
      </c>
    </row>
    <row r="25" spans="2:16" x14ac:dyDescent="0.3">
      <c r="B25" s="120">
        <v>44844</v>
      </c>
      <c r="C25" s="122">
        <v>393.80361900000003</v>
      </c>
      <c r="D25" s="5">
        <f t="shared" si="4"/>
        <v>-3.8578147490317183E-2</v>
      </c>
      <c r="F25" s="122">
        <v>8617.2998050000006</v>
      </c>
      <c r="G25" s="5">
        <f t="shared" si="0"/>
        <v>-1.8860449657826961E-2</v>
      </c>
      <c r="I25" s="122">
        <v>1217.540894</v>
      </c>
      <c r="J25" s="5">
        <f t="shared" si="1"/>
        <v>-6.9014410110196378E-3</v>
      </c>
      <c r="L25" s="122">
        <v>3434.9941410000001</v>
      </c>
      <c r="M25" s="5">
        <f t="shared" si="2"/>
        <v>-9.0928526778865093E-3</v>
      </c>
      <c r="O25" s="122">
        <v>17185.699218999998</v>
      </c>
      <c r="P25" s="5">
        <f t="shared" si="3"/>
        <v>-7.4475180894804094E-3</v>
      </c>
    </row>
    <row r="26" spans="2:16" x14ac:dyDescent="0.3">
      <c r="B26" s="120">
        <v>44851</v>
      </c>
      <c r="C26" s="122">
        <v>395.592468</v>
      </c>
      <c r="D26" s="5">
        <f t="shared" si="4"/>
        <v>4.5424899967716481E-3</v>
      </c>
      <c r="F26" s="122">
        <v>8699.8496090000008</v>
      </c>
      <c r="G26" s="5">
        <f t="shared" si="0"/>
        <v>9.5795441574519913E-3</v>
      </c>
      <c r="I26" s="122">
        <v>1243.716553</v>
      </c>
      <c r="J26" s="5">
        <f t="shared" si="1"/>
        <v>2.1498792466842609E-2</v>
      </c>
      <c r="L26" s="122">
        <v>3531.4321289999998</v>
      </c>
      <c r="M26" s="5">
        <f t="shared" si="2"/>
        <v>2.807515356399537E-2</v>
      </c>
      <c r="O26" s="122">
        <v>17576.300781000002</v>
      </c>
      <c r="P26" s="5">
        <f t="shared" si="3"/>
        <v>2.2728290366455628E-2</v>
      </c>
    </row>
    <row r="27" spans="2:16" x14ac:dyDescent="0.3">
      <c r="B27" s="120">
        <v>44858</v>
      </c>
      <c r="C27" s="122">
        <v>407.36932400000001</v>
      </c>
      <c r="D27" s="5">
        <f t="shared" si="4"/>
        <v>2.9770172469512302E-2</v>
      </c>
      <c r="F27" s="122">
        <v>9494.0996090000008</v>
      </c>
      <c r="G27" s="5">
        <f t="shared" si="0"/>
        <v>9.1294681597524185E-2</v>
      </c>
      <c r="I27" s="122">
        <v>1298.0471190000001</v>
      </c>
      <c r="J27" s="5">
        <f t="shared" si="1"/>
        <v>4.3684041889567204E-2</v>
      </c>
      <c r="L27" s="122">
        <v>3530.7583009999998</v>
      </c>
      <c r="M27" s="5">
        <f t="shared" si="2"/>
        <v>-1.9080870745513678E-4</v>
      </c>
      <c r="O27" s="122">
        <v>17786.800781000002</v>
      </c>
      <c r="P27" s="5">
        <f t="shared" si="3"/>
        <v>1.197635399068453E-2</v>
      </c>
    </row>
    <row r="28" spans="2:16" x14ac:dyDescent="0.3">
      <c r="B28" s="120">
        <v>44865</v>
      </c>
      <c r="C28" s="122">
        <v>422.72393799999998</v>
      </c>
      <c r="D28" s="5">
        <f t="shared" si="4"/>
        <v>3.7692121363561482E-2</v>
      </c>
      <c r="F28" s="122">
        <v>9226.5498050000006</v>
      </c>
      <c r="G28" s="5">
        <f t="shared" si="0"/>
        <v>-2.818064008369725E-2</v>
      </c>
      <c r="I28" s="122">
        <v>1324.4207759999999</v>
      </c>
      <c r="J28" s="5">
        <f t="shared" si="1"/>
        <v>2.0317950414864505E-2</v>
      </c>
      <c r="L28" s="122">
        <v>3629.4580080000001</v>
      </c>
      <c r="M28" s="5">
        <f t="shared" si="2"/>
        <v>2.7954251915812467E-2</v>
      </c>
      <c r="O28" s="122">
        <v>18117.150390999999</v>
      </c>
      <c r="P28" s="5">
        <f t="shared" si="3"/>
        <v>1.8572739081492262E-2</v>
      </c>
    </row>
    <row r="29" spans="2:16" x14ac:dyDescent="0.3">
      <c r="B29" s="120">
        <v>44872</v>
      </c>
      <c r="C29" s="122">
        <v>420.88537600000001</v>
      </c>
      <c r="D29" s="5">
        <f t="shared" si="4"/>
        <v>-4.349320761673936E-3</v>
      </c>
      <c r="F29" s="122">
        <v>9088.2998050000006</v>
      </c>
      <c r="G29" s="5">
        <f t="shared" si="0"/>
        <v>-1.4983932555707957E-2</v>
      </c>
      <c r="I29" s="122">
        <v>1273.7517089999999</v>
      </c>
      <c r="J29" s="5">
        <f t="shared" si="1"/>
        <v>-3.8257529569288518E-2</v>
      </c>
      <c r="L29" s="122">
        <v>3586.532471</v>
      </c>
      <c r="M29" s="5">
        <f t="shared" si="2"/>
        <v>-1.1826982680439913E-2</v>
      </c>
      <c r="O29" s="122">
        <v>18349.699218999998</v>
      </c>
      <c r="P29" s="5">
        <f t="shared" si="3"/>
        <v>1.2835839134808014E-2</v>
      </c>
    </row>
    <row r="30" spans="2:16" x14ac:dyDescent="0.3">
      <c r="B30" s="120">
        <v>44879</v>
      </c>
      <c r="C30" s="122">
        <v>421.18347199999999</v>
      </c>
      <c r="D30" s="5">
        <f t="shared" si="4"/>
        <v>7.0825934327545248E-4</v>
      </c>
      <c r="F30" s="122">
        <v>8844.9501949999994</v>
      </c>
      <c r="G30" s="5">
        <f t="shared" si="0"/>
        <v>-2.6776142427225036E-2</v>
      </c>
      <c r="I30" s="122">
        <v>1214.423462</v>
      </c>
      <c r="J30" s="5">
        <f t="shared" si="1"/>
        <v>-4.6577560273954433E-2</v>
      </c>
      <c r="L30" s="122">
        <v>3494.8588869999999</v>
      </c>
      <c r="M30" s="5">
        <f t="shared" si="2"/>
        <v>-2.556050579250424E-2</v>
      </c>
      <c r="O30" s="122">
        <v>18307.650390999999</v>
      </c>
      <c r="P30" s="5">
        <f t="shared" si="3"/>
        <v>-2.2915268254892762E-3</v>
      </c>
    </row>
    <row r="31" spans="2:16" x14ac:dyDescent="0.3">
      <c r="B31" s="120">
        <v>44886</v>
      </c>
      <c r="C31" s="122">
        <v>430.52548200000001</v>
      </c>
      <c r="D31" s="5">
        <f t="shared" si="4"/>
        <v>2.218038128523725E-2</v>
      </c>
      <c r="F31" s="122">
        <v>9016.5996090000008</v>
      </c>
      <c r="G31" s="5">
        <f t="shared" si="0"/>
        <v>1.9406487342012779E-2</v>
      </c>
      <c r="I31" s="122">
        <v>1247.7246090000001</v>
      </c>
      <c r="J31" s="5">
        <f t="shared" si="1"/>
        <v>2.7421363339898974E-2</v>
      </c>
      <c r="L31" s="122">
        <v>3501.211182</v>
      </c>
      <c r="M31" s="5">
        <f t="shared" si="2"/>
        <v>1.817611298593258E-3</v>
      </c>
      <c r="O31" s="122">
        <v>18512.75</v>
      </c>
      <c r="P31" s="5">
        <f t="shared" si="3"/>
        <v>1.1202945469224623E-2</v>
      </c>
    </row>
    <row r="32" spans="2:16" x14ac:dyDescent="0.3">
      <c r="B32" s="120">
        <v>44893</v>
      </c>
      <c r="C32" s="122">
        <v>432.711884</v>
      </c>
      <c r="D32" s="5">
        <f t="shared" si="4"/>
        <v>5.078449688606268E-3</v>
      </c>
      <c r="F32" s="122">
        <v>8815.0996090000008</v>
      </c>
      <c r="G32" s="5">
        <f t="shared" si="0"/>
        <v>-2.234767082247624E-2</v>
      </c>
      <c r="I32" s="122">
        <v>1251.485107</v>
      </c>
      <c r="J32" s="5">
        <f t="shared" si="1"/>
        <v>3.0138846127381047E-3</v>
      </c>
      <c r="L32" s="122">
        <v>3521.8076169999999</v>
      </c>
      <c r="M32" s="5">
        <f t="shared" si="2"/>
        <v>5.8826600080246205E-3</v>
      </c>
      <c r="O32" s="122">
        <v>18696.099609000001</v>
      </c>
      <c r="P32" s="5">
        <f t="shared" si="3"/>
        <v>9.9039639707769744E-3</v>
      </c>
    </row>
    <row r="33" spans="2:16" x14ac:dyDescent="0.3">
      <c r="B33" s="120">
        <v>44900</v>
      </c>
      <c r="C33" s="122">
        <v>410.74832199999997</v>
      </c>
      <c r="D33" s="5">
        <f t="shared" si="4"/>
        <v>-5.0757935735363358E-2</v>
      </c>
      <c r="F33" s="122">
        <v>8614.7998050000006</v>
      </c>
      <c r="G33" s="5">
        <f t="shared" si="0"/>
        <v>-2.2722352881355823E-2</v>
      </c>
      <c r="I33" s="122">
        <v>1252.2768550000001</v>
      </c>
      <c r="J33" s="5">
        <f t="shared" si="1"/>
        <v>6.3264676149277221E-4</v>
      </c>
      <c r="L33" s="122">
        <v>3482.0102539999998</v>
      </c>
      <c r="M33" s="5">
        <f t="shared" si="2"/>
        <v>-1.130026603608203E-2</v>
      </c>
      <c r="O33" s="122">
        <v>18496.599609000001</v>
      </c>
      <c r="P33" s="5">
        <f t="shared" si="3"/>
        <v>-1.0670674855838058E-2</v>
      </c>
    </row>
    <row r="34" spans="2:16" x14ac:dyDescent="0.3">
      <c r="B34" s="120">
        <v>44907</v>
      </c>
      <c r="C34" s="122">
        <v>418.99710099999999</v>
      </c>
      <c r="D34" s="5">
        <f t="shared" si="4"/>
        <v>2.0082319411155236E-2</v>
      </c>
      <c r="F34" s="122">
        <v>8484.6503909999992</v>
      </c>
      <c r="G34" s="5">
        <f t="shared" si="0"/>
        <v>-1.5107653914889885E-2</v>
      </c>
      <c r="I34" s="122">
        <v>1238.6198730000001</v>
      </c>
      <c r="J34" s="5">
        <f t="shared" si="1"/>
        <v>-1.0905721003683255E-2</v>
      </c>
      <c r="L34" s="122">
        <v>3414.9272460000002</v>
      </c>
      <c r="M34" s="5">
        <f t="shared" si="2"/>
        <v>-1.9265597487238106E-2</v>
      </c>
      <c r="O34" s="122">
        <v>18269</v>
      </c>
      <c r="P34" s="5">
        <f t="shared" si="3"/>
        <v>-1.2304943276668867E-2</v>
      </c>
    </row>
    <row r="35" spans="2:16" x14ac:dyDescent="0.3">
      <c r="B35" s="120">
        <v>44914</v>
      </c>
      <c r="C35" s="122">
        <v>376.01409899999999</v>
      </c>
      <c r="D35" s="5">
        <f t="shared" si="4"/>
        <v>-0.10258544008398762</v>
      </c>
      <c r="F35" s="122">
        <v>8143.2998049999997</v>
      </c>
      <c r="G35" s="5">
        <f t="shared" si="0"/>
        <v>-4.0231544055378321E-2</v>
      </c>
      <c r="I35" s="122">
        <v>1211.8999020000001</v>
      </c>
      <c r="J35" s="5">
        <f t="shared" si="1"/>
        <v>-2.1572373883589346E-2</v>
      </c>
      <c r="L35" s="122">
        <v>3410.2592770000001</v>
      </c>
      <c r="M35" s="5">
        <f t="shared" si="2"/>
        <v>-1.3669307319702506E-3</v>
      </c>
      <c r="O35" s="122">
        <v>17806.800781000002</v>
      </c>
      <c r="P35" s="5">
        <f t="shared" si="3"/>
        <v>-2.529964524604511E-2</v>
      </c>
    </row>
    <row r="36" spans="2:16" x14ac:dyDescent="0.3">
      <c r="B36" s="120">
        <v>44921</v>
      </c>
      <c r="C36" s="122">
        <v>385.55484000000001</v>
      </c>
      <c r="D36" s="5">
        <f t="shared" si="4"/>
        <v>2.5373359736704959E-2</v>
      </c>
      <c r="F36" s="122">
        <v>8402.6503909999992</v>
      </c>
      <c r="G36" s="5">
        <f t="shared" si="0"/>
        <v>3.1848340624860416E-2</v>
      </c>
      <c r="I36" s="122">
        <v>1236.244751</v>
      </c>
      <c r="J36" s="5">
        <f t="shared" si="1"/>
        <v>2.0088168139813734E-2</v>
      </c>
      <c r="L36" s="122">
        <v>3480.1333009999998</v>
      </c>
      <c r="M36" s="5">
        <f t="shared" si="2"/>
        <v>2.0489358234799138E-2</v>
      </c>
      <c r="O36" s="122">
        <v>18105.300781000002</v>
      </c>
      <c r="P36" s="5">
        <f t="shared" si="3"/>
        <v>1.6763258244484991E-2</v>
      </c>
    </row>
    <row r="37" spans="2:16" x14ac:dyDescent="0.3">
      <c r="B37" s="120">
        <v>44928</v>
      </c>
      <c r="C37" s="122">
        <v>379.641571</v>
      </c>
      <c r="D37" s="5">
        <f t="shared" si="4"/>
        <v>-1.5337037397844644E-2</v>
      </c>
      <c r="F37" s="122">
        <v>8384.9501949999994</v>
      </c>
      <c r="G37" s="5">
        <f t="shared" si="0"/>
        <v>-2.1065015413420651E-3</v>
      </c>
      <c r="I37" s="122">
        <v>1251.781982</v>
      </c>
      <c r="J37" s="5">
        <f t="shared" si="1"/>
        <v>1.2568086527713795E-2</v>
      </c>
      <c r="L37" s="122">
        <v>3502.9916990000002</v>
      </c>
      <c r="M37" s="5">
        <f t="shared" si="2"/>
        <v>6.5682535762157102E-3</v>
      </c>
      <c r="O37" s="122">
        <v>17859.449218999998</v>
      </c>
      <c r="P37" s="5">
        <f t="shared" si="3"/>
        <v>-1.3578982474458767E-2</v>
      </c>
    </row>
    <row r="38" spans="2:16" x14ac:dyDescent="0.3">
      <c r="B38" s="120">
        <v>44935</v>
      </c>
      <c r="C38" s="122">
        <v>408.95944200000002</v>
      </c>
      <c r="D38" s="5">
        <f t="shared" si="4"/>
        <v>7.7225133493086462E-2</v>
      </c>
      <c r="F38" s="122">
        <v>8452.6503909999992</v>
      </c>
      <c r="G38" s="5">
        <f t="shared" si="0"/>
        <v>8.0740128951952705E-3</v>
      </c>
      <c r="I38" s="122">
        <v>1314.3760990000001</v>
      </c>
      <c r="J38" s="5">
        <f t="shared" si="1"/>
        <v>5.0004008605389894E-2</v>
      </c>
      <c r="L38" s="122">
        <v>3469.2094729999999</v>
      </c>
      <c r="M38" s="5">
        <f t="shared" si="2"/>
        <v>-9.6438213112649551E-3</v>
      </c>
      <c r="O38" s="122">
        <v>17956.599609000001</v>
      </c>
      <c r="P38" s="5">
        <f t="shared" si="3"/>
        <v>5.4397192661825855E-3</v>
      </c>
    </row>
    <row r="39" spans="2:16" x14ac:dyDescent="0.3">
      <c r="B39" s="120">
        <v>44942</v>
      </c>
      <c r="C39" s="122">
        <v>400.66098</v>
      </c>
      <c r="D39" s="5">
        <f t="shared" si="4"/>
        <v>-2.0291650339253064E-2</v>
      </c>
      <c r="F39" s="122">
        <v>8443.5996090000008</v>
      </c>
      <c r="G39" s="5">
        <f t="shared" si="0"/>
        <v>-1.0707626106996049E-3</v>
      </c>
      <c r="I39" s="122">
        <v>1301.11499</v>
      </c>
      <c r="J39" s="5">
        <f t="shared" si="1"/>
        <v>-1.0089280389448119E-2</v>
      </c>
      <c r="L39" s="122">
        <v>3438.8439939999998</v>
      </c>
      <c r="M39" s="5">
        <f t="shared" si="2"/>
        <v>-8.752852555121593E-3</v>
      </c>
      <c r="O39" s="122">
        <v>18027.650390999999</v>
      </c>
      <c r="P39" s="5">
        <f t="shared" si="3"/>
        <v>3.9568060516528281E-3</v>
      </c>
    </row>
    <row r="40" spans="2:16" x14ac:dyDescent="0.3">
      <c r="B40" s="120">
        <v>44949</v>
      </c>
      <c r="C40" s="122">
        <v>442.84893799999998</v>
      </c>
      <c r="D40" s="5">
        <f t="shared" si="4"/>
        <v>0.10529589879204115</v>
      </c>
      <c r="F40" s="122">
        <v>8734.8496090000008</v>
      </c>
      <c r="G40" s="5">
        <f t="shared" si="0"/>
        <v>3.4493582534344425E-2</v>
      </c>
      <c r="I40" s="122">
        <v>1306.508423</v>
      </c>
      <c r="J40" s="5">
        <f t="shared" si="1"/>
        <v>4.1452393074035143E-3</v>
      </c>
      <c r="L40" s="122">
        <v>3789.8508299999999</v>
      </c>
      <c r="M40" s="5">
        <f t="shared" si="2"/>
        <v>0.10207117176947467</v>
      </c>
      <c r="O40" s="122">
        <v>17604.349609000001</v>
      </c>
      <c r="P40" s="5">
        <f t="shared" si="3"/>
        <v>-2.3480640727941093E-2</v>
      </c>
    </row>
    <row r="41" spans="2:16" x14ac:dyDescent="0.3">
      <c r="B41" s="120">
        <v>44956</v>
      </c>
      <c r="C41" s="122">
        <v>442.69986</v>
      </c>
      <c r="D41" s="5">
        <f t="shared" si="4"/>
        <v>-3.3663397878569423E-4</v>
      </c>
      <c r="F41" s="122">
        <v>8943.0996090000008</v>
      </c>
      <c r="G41" s="5">
        <f t="shared" si="0"/>
        <v>2.3841280539670384E-2</v>
      </c>
      <c r="I41" s="122">
        <v>1373.6053469999999</v>
      </c>
      <c r="J41" s="5">
        <f t="shared" si="1"/>
        <v>5.1355906183851552E-2</v>
      </c>
      <c r="L41" s="122">
        <v>3707.6572270000001</v>
      </c>
      <c r="M41" s="5">
        <f t="shared" si="2"/>
        <v>-2.1687820098185706E-2</v>
      </c>
      <c r="O41" s="122">
        <v>17854.050781000002</v>
      </c>
      <c r="P41" s="5">
        <f t="shared" si="3"/>
        <v>1.4184061186352848E-2</v>
      </c>
    </row>
    <row r="42" spans="2:16" x14ac:dyDescent="0.3">
      <c r="B42" s="120">
        <v>44963</v>
      </c>
      <c r="C42" s="122">
        <v>443.097351</v>
      </c>
      <c r="D42" s="5">
        <f t="shared" si="4"/>
        <v>8.9787920872619331E-4</v>
      </c>
      <c r="F42" s="122">
        <v>8814.25</v>
      </c>
      <c r="G42" s="5">
        <f t="shared" si="0"/>
        <v>-1.4407712608985324E-2</v>
      </c>
      <c r="I42" s="122">
        <v>1351.2891850000001</v>
      </c>
      <c r="J42" s="5">
        <f t="shared" si="1"/>
        <v>-1.6246414626107208E-2</v>
      </c>
      <c r="L42" s="122">
        <v>3688.2158199999999</v>
      </c>
      <c r="M42" s="5">
        <f t="shared" si="2"/>
        <v>-5.2435826209671355E-3</v>
      </c>
      <c r="O42" s="122">
        <v>17856.5</v>
      </c>
      <c r="P42" s="5">
        <f t="shared" si="3"/>
        <v>1.371800175793414E-4</v>
      </c>
    </row>
    <row r="43" spans="2:16" x14ac:dyDescent="0.3">
      <c r="B43" s="120">
        <v>44970</v>
      </c>
      <c r="C43" s="122">
        <v>437.18408199999999</v>
      </c>
      <c r="D43" s="5">
        <f t="shared" si="4"/>
        <v>-1.3345304336969566E-2</v>
      </c>
      <c r="F43" s="122">
        <v>8807.0498050000006</v>
      </c>
      <c r="G43" s="5">
        <f t="shared" si="0"/>
        <v>-8.1688118671463528E-4</v>
      </c>
      <c r="I43" s="122">
        <v>1327.587524</v>
      </c>
      <c r="J43" s="5">
        <f t="shared" si="1"/>
        <v>-1.7540036036031825E-2</v>
      </c>
      <c r="L43" s="122">
        <v>3747.695068</v>
      </c>
      <c r="M43" s="5">
        <f t="shared" si="2"/>
        <v>1.6126835007177043E-2</v>
      </c>
      <c r="O43" s="122">
        <v>17944.199218999998</v>
      </c>
      <c r="P43" s="5">
        <f t="shared" si="3"/>
        <v>4.9113330719905424E-3</v>
      </c>
    </row>
    <row r="44" spans="2:16" x14ac:dyDescent="0.3">
      <c r="B44" s="120">
        <v>44977</v>
      </c>
      <c r="C44" s="122">
        <v>425.10913099999999</v>
      </c>
      <c r="D44" s="5">
        <f t="shared" si="4"/>
        <v>-2.7619832233507502E-2</v>
      </c>
      <c r="F44" s="122">
        <v>8659.5</v>
      </c>
      <c r="G44" s="5">
        <f t="shared" si="0"/>
        <v>-1.6753601747117708E-2</v>
      </c>
      <c r="I44" s="122">
        <v>1266.9232179999999</v>
      </c>
      <c r="J44" s="5">
        <f t="shared" si="1"/>
        <v>-4.5695146198135084E-2</v>
      </c>
      <c r="L44" s="122">
        <v>3706.0690920000002</v>
      </c>
      <c r="M44" s="5">
        <f t="shared" si="2"/>
        <v>-1.1107087221536971E-2</v>
      </c>
      <c r="O44" s="122">
        <v>17465.800781000002</v>
      </c>
      <c r="P44" s="5">
        <f t="shared" si="3"/>
        <v>-2.6660339208308015E-2</v>
      </c>
    </row>
    <row r="45" spans="2:16" x14ac:dyDescent="0.3">
      <c r="B45" s="120">
        <v>44984</v>
      </c>
      <c r="C45" s="122">
        <v>425.357574</v>
      </c>
      <c r="D45" s="5">
        <f t="shared" si="4"/>
        <v>5.8442169758987639E-4</v>
      </c>
      <c r="F45" s="122">
        <v>8596.5996090000008</v>
      </c>
      <c r="G45" s="5">
        <f t="shared" si="0"/>
        <v>-7.2637439805992576E-3</v>
      </c>
      <c r="I45" s="122">
        <v>1255.4436040000001</v>
      </c>
      <c r="J45" s="5">
        <f t="shared" si="1"/>
        <v>-9.0610179345531616E-3</v>
      </c>
      <c r="L45" s="122">
        <v>3593.6547850000002</v>
      </c>
      <c r="M45" s="5">
        <f t="shared" si="2"/>
        <v>-3.0332490897878817E-2</v>
      </c>
      <c r="O45" s="122">
        <v>17594.349609000001</v>
      </c>
      <c r="P45" s="5">
        <f t="shared" si="3"/>
        <v>7.3600305884538031E-3</v>
      </c>
    </row>
    <row r="46" spans="2:16" x14ac:dyDescent="0.3">
      <c r="B46" s="120">
        <v>44991</v>
      </c>
      <c r="C46" s="122">
        <v>433.15911899999998</v>
      </c>
      <c r="D46" s="5">
        <f t="shared" si="4"/>
        <v>1.8341145137337866E-2</v>
      </c>
      <c r="F46" s="122">
        <v>8598.0498050000006</v>
      </c>
      <c r="G46" s="5">
        <f t="shared" si="0"/>
        <v>1.6869414256315274E-4</v>
      </c>
      <c r="I46" s="122">
        <v>1213.978149</v>
      </c>
      <c r="J46" s="5">
        <f t="shared" si="1"/>
        <v>-3.3028528615611119E-2</v>
      </c>
      <c r="L46" s="122">
        <v>3678.4948730000001</v>
      </c>
      <c r="M46" s="5">
        <f t="shared" si="2"/>
        <v>2.3608302153597105E-2</v>
      </c>
      <c r="O46" s="122">
        <v>17412.900390999999</v>
      </c>
      <c r="P46" s="5">
        <f t="shared" si="3"/>
        <v>-1.0312925571695164E-2</v>
      </c>
    </row>
    <row r="47" spans="2:16" x14ac:dyDescent="0.3">
      <c r="B47" s="120">
        <v>44998</v>
      </c>
      <c r="C47" s="122">
        <v>416.41314699999998</v>
      </c>
      <c r="D47" s="5">
        <f t="shared" si="4"/>
        <v>-3.8660093405536666E-2</v>
      </c>
      <c r="F47" s="122">
        <v>8310.75</v>
      </c>
      <c r="G47" s="5">
        <f t="shared" si="0"/>
        <v>-3.3414531378141987E-2</v>
      </c>
      <c r="I47" s="122">
        <v>1159.350586</v>
      </c>
      <c r="J47" s="5">
        <f t="shared" si="1"/>
        <v>-4.4998802527869919E-2</v>
      </c>
      <c r="L47" s="122">
        <v>3677.147461</v>
      </c>
      <c r="M47" s="5">
        <f t="shared" si="2"/>
        <v>-3.6629438031576811E-4</v>
      </c>
      <c r="O47" s="122">
        <v>17100.050781000002</v>
      </c>
      <c r="P47" s="5">
        <f t="shared" si="3"/>
        <v>-1.7966542217268788E-2</v>
      </c>
    </row>
    <row r="48" spans="2:16" x14ac:dyDescent="0.3">
      <c r="B48" s="120">
        <v>45005</v>
      </c>
      <c r="C48" s="122">
        <v>413.92855800000001</v>
      </c>
      <c r="D48" s="5">
        <f t="shared" si="4"/>
        <v>-5.9666439878277577E-3</v>
      </c>
      <c r="F48" s="122">
        <v>8236.25</v>
      </c>
      <c r="G48" s="5">
        <f t="shared" si="0"/>
        <v>-8.9642932346659654E-3</v>
      </c>
      <c r="I48" s="122">
        <v>1138.865356</v>
      </c>
      <c r="J48" s="5">
        <f t="shared" si="1"/>
        <v>-1.7669573162228946E-2</v>
      </c>
      <c r="L48" s="122">
        <v>3682.0078130000002</v>
      </c>
      <c r="M48" s="5">
        <f t="shared" si="2"/>
        <v>1.3217723932883452E-3</v>
      </c>
      <c r="O48" s="122">
        <v>16945.050781000002</v>
      </c>
      <c r="P48" s="5">
        <f t="shared" si="3"/>
        <v>-9.0643005675878907E-3</v>
      </c>
    </row>
    <row r="49" spans="2:16" x14ac:dyDescent="0.3">
      <c r="B49" s="120">
        <v>45012</v>
      </c>
      <c r="C49" s="122">
        <v>418.20202599999999</v>
      </c>
      <c r="D49" s="5">
        <f t="shared" si="4"/>
        <v>1.0324168065736661E-2</v>
      </c>
      <c r="F49" s="122">
        <v>8292.6503909999992</v>
      </c>
      <c r="G49" s="5">
        <f t="shared" si="0"/>
        <v>6.8478240704203941E-3</v>
      </c>
      <c r="I49" s="122">
        <v>1146.68335</v>
      </c>
      <c r="J49" s="5">
        <f t="shared" si="1"/>
        <v>6.8647219434778695E-3</v>
      </c>
      <c r="L49" s="122">
        <v>3738.0227049999999</v>
      </c>
      <c r="M49" s="5">
        <f t="shared" si="2"/>
        <v>1.5213137734860105E-2</v>
      </c>
      <c r="O49" s="122">
        <v>17359.75</v>
      </c>
      <c r="P49" s="5">
        <f t="shared" si="3"/>
        <v>2.4473176525678486E-2</v>
      </c>
    </row>
    <row r="50" spans="2:16" x14ac:dyDescent="0.3">
      <c r="B50" s="120">
        <v>45019</v>
      </c>
      <c r="C50" s="122">
        <v>434.94799799999998</v>
      </c>
      <c r="D50" s="5">
        <f t="shared" si="4"/>
        <v>4.0042780663142929E-2</v>
      </c>
      <c r="F50" s="122">
        <v>8514.3496090000008</v>
      </c>
      <c r="G50" s="5">
        <f t="shared" si="0"/>
        <v>2.6734422355561005E-2</v>
      </c>
      <c r="I50" s="122">
        <v>1159.1032709999999</v>
      </c>
      <c r="J50" s="5">
        <f t="shared" si="1"/>
        <v>1.0831168866278551E-2</v>
      </c>
      <c r="L50" s="122">
        <v>3881.4282229999999</v>
      </c>
      <c r="M50" s="5">
        <f t="shared" si="2"/>
        <v>3.8364003998204721E-2</v>
      </c>
      <c r="O50" s="122">
        <v>17599.150390999999</v>
      </c>
      <c r="P50" s="5">
        <f t="shared" si="3"/>
        <v>1.3790543700226143E-2</v>
      </c>
    </row>
    <row r="51" spans="2:16" x14ac:dyDescent="0.3">
      <c r="B51" s="120">
        <v>45026</v>
      </c>
      <c r="C51" s="122">
        <v>466.60134900000003</v>
      </c>
      <c r="D51" s="5">
        <f t="shared" si="4"/>
        <v>7.2775024015629741E-2</v>
      </c>
      <c r="F51" s="122">
        <v>8672.75</v>
      </c>
      <c r="G51" s="5">
        <f t="shared" si="0"/>
        <v>1.8603933156863039E-2</v>
      </c>
      <c r="I51" s="122">
        <v>1192.057861</v>
      </c>
      <c r="J51" s="5">
        <f t="shared" si="1"/>
        <v>2.8431107757610707E-2</v>
      </c>
      <c r="L51" s="122">
        <v>4127.767578</v>
      </c>
      <c r="M51" s="5">
        <f t="shared" si="2"/>
        <v>6.3466162671842907E-2</v>
      </c>
      <c r="O51" s="122">
        <v>17828</v>
      </c>
      <c r="P51" s="5">
        <f t="shared" si="3"/>
        <v>1.3003446411653519E-2</v>
      </c>
    </row>
    <row r="52" spans="2:16" x14ac:dyDescent="0.3">
      <c r="B52" s="120">
        <v>45033</v>
      </c>
      <c r="C52" s="122">
        <v>468.290863</v>
      </c>
      <c r="D52" s="5">
        <f t="shared" si="4"/>
        <v>3.6208939464510426E-3</v>
      </c>
      <c r="F52" s="122">
        <v>8557.7998050000006</v>
      </c>
      <c r="G52" s="5">
        <f t="shared" si="0"/>
        <v>-1.3254180623216372E-2</v>
      </c>
      <c r="I52" s="122">
        <v>1200.1728519999999</v>
      </c>
      <c r="J52" s="5">
        <f t="shared" si="1"/>
        <v>6.8075479097904346E-3</v>
      </c>
      <c r="L52" s="122">
        <v>4147.3056640000004</v>
      </c>
      <c r="M52" s="5">
        <f t="shared" si="2"/>
        <v>4.733329973357403E-3</v>
      </c>
      <c r="O52" s="122">
        <v>17624.050781000002</v>
      </c>
      <c r="P52" s="5">
        <f t="shared" si="3"/>
        <v>-1.1439826060130054E-2</v>
      </c>
    </row>
    <row r="53" spans="2:16" x14ac:dyDescent="0.3">
      <c r="B53" s="120">
        <v>45040</v>
      </c>
      <c r="C53" s="122">
        <v>481.95599399999998</v>
      </c>
      <c r="D53" s="5">
        <f t="shared" si="4"/>
        <v>2.9180861895227617E-2</v>
      </c>
      <c r="F53" s="122">
        <v>8589.9003909999992</v>
      </c>
      <c r="G53" s="5">
        <f t="shared" si="0"/>
        <v>3.7510325938265865E-3</v>
      </c>
      <c r="I53" s="122">
        <v>1214.1761469999999</v>
      </c>
      <c r="J53" s="5">
        <f t="shared" si="1"/>
        <v>1.1667731841013218E-2</v>
      </c>
      <c r="L53" s="122">
        <v>4263.1372069999998</v>
      </c>
      <c r="M53" s="5">
        <f t="shared" si="2"/>
        <v>2.7929347963294715E-2</v>
      </c>
      <c r="O53" s="122">
        <v>18065</v>
      </c>
      <c r="P53" s="5">
        <f t="shared" si="3"/>
        <v>2.5019742877464557E-2</v>
      </c>
    </row>
    <row r="54" spans="2:16" x14ac:dyDescent="0.3">
      <c r="B54" s="120">
        <v>45047</v>
      </c>
      <c r="C54" s="122">
        <v>474.154449</v>
      </c>
      <c r="D54" s="5">
        <f t="shared" si="4"/>
        <v>-1.6187255884610896E-2</v>
      </c>
      <c r="F54" s="122">
        <v>8927.1503909999992</v>
      </c>
      <c r="G54" s="5">
        <f t="shared" si="0"/>
        <v>3.9261223605497442E-2</v>
      </c>
      <c r="I54" s="122">
        <v>1198.638794</v>
      </c>
      <c r="J54" s="5">
        <f t="shared" si="1"/>
        <v>-1.2796621839746947E-2</v>
      </c>
      <c r="L54" s="122">
        <v>4291.8662109999996</v>
      </c>
      <c r="M54" s="5">
        <f t="shared" si="2"/>
        <v>6.7389348747273203E-3</v>
      </c>
      <c r="O54" s="122">
        <v>18069</v>
      </c>
      <c r="P54" s="5">
        <f t="shared" si="3"/>
        <v>2.2142264046509652E-4</v>
      </c>
    </row>
    <row r="55" spans="2:16" x14ac:dyDescent="0.3">
      <c r="B55" s="120">
        <v>45054</v>
      </c>
      <c r="C55" s="122">
        <v>512.76458700000001</v>
      </c>
      <c r="D55" s="5">
        <f t="shared" si="4"/>
        <v>8.1429454224102527E-2</v>
      </c>
      <c r="F55" s="122">
        <v>9296.2998050000006</v>
      </c>
      <c r="G55" s="5">
        <f t="shared" si="0"/>
        <v>4.1351315686600554E-2</v>
      </c>
      <c r="I55" s="122">
        <v>1262.7172849999999</v>
      </c>
      <c r="J55" s="5">
        <f t="shared" si="1"/>
        <v>5.3459383528012161E-2</v>
      </c>
      <c r="L55" s="122">
        <v>4369.3920900000003</v>
      </c>
      <c r="M55" s="5">
        <f t="shared" si="2"/>
        <v>1.8063442611818248E-2</v>
      </c>
      <c r="O55" s="122">
        <v>18314.800781000002</v>
      </c>
      <c r="P55" s="5">
        <f t="shared" si="3"/>
        <v>1.3603452376999448E-2</v>
      </c>
    </row>
    <row r="56" spans="2:16" x14ac:dyDescent="0.3">
      <c r="B56" s="120">
        <v>45061</v>
      </c>
      <c r="C56" s="122">
        <v>521.70898399999999</v>
      </c>
      <c r="D56" s="5">
        <f t="shared" si="4"/>
        <v>1.7443476454430007E-2</v>
      </c>
      <c r="F56" s="122">
        <v>9106.7001949999994</v>
      </c>
      <c r="G56" s="5">
        <f t="shared" si="0"/>
        <v>-2.0395169473560348E-2</v>
      </c>
      <c r="I56" s="122">
        <v>1247.3287350000001</v>
      </c>
      <c r="J56" s="5">
        <f t="shared" si="1"/>
        <v>-1.2186853053175684E-2</v>
      </c>
      <c r="L56" s="122">
        <v>4313.6171880000002</v>
      </c>
      <c r="M56" s="5">
        <f t="shared" si="2"/>
        <v>-1.276491119385903E-2</v>
      </c>
      <c r="O56" s="122">
        <v>18203.400390999999</v>
      </c>
      <c r="P56" s="5">
        <f t="shared" si="3"/>
        <v>-6.0825335384249168E-3</v>
      </c>
    </row>
    <row r="57" spans="2:16" x14ac:dyDescent="0.3">
      <c r="B57" s="120">
        <v>45068</v>
      </c>
      <c r="C57" s="122">
        <v>515.249146</v>
      </c>
      <c r="D57" s="5">
        <f t="shared" si="4"/>
        <v>-1.2382071611019008E-2</v>
      </c>
      <c r="F57" s="122">
        <v>9397.1503909999992</v>
      </c>
      <c r="G57" s="5">
        <f t="shared" si="0"/>
        <v>3.1894120788062308E-2</v>
      </c>
      <c r="I57" s="122">
        <v>1268.5561520000001</v>
      </c>
      <c r="J57" s="5">
        <f t="shared" si="1"/>
        <v>1.701830191541287E-2</v>
      </c>
      <c r="L57" s="122">
        <v>4437.8701170000004</v>
      </c>
      <c r="M57" s="5">
        <f t="shared" si="2"/>
        <v>2.8804811272001185E-2</v>
      </c>
      <c r="O57" s="122">
        <v>18499.349609000001</v>
      </c>
      <c r="P57" s="5">
        <f t="shared" si="3"/>
        <v>1.6257908502980811E-2</v>
      </c>
    </row>
    <row r="58" spans="2:16" x14ac:dyDescent="0.3">
      <c r="B58" s="120">
        <v>45075</v>
      </c>
      <c r="C58" s="122">
        <v>532.59143100000006</v>
      </c>
      <c r="D58" s="5">
        <f t="shared" si="4"/>
        <v>3.3658056756876276E-2</v>
      </c>
      <c r="F58" s="122">
        <v>9488.7998050000006</v>
      </c>
      <c r="G58" s="5">
        <f t="shared" si="0"/>
        <v>9.7528942484284009E-3</v>
      </c>
      <c r="I58" s="122">
        <v>1327.4886469999999</v>
      </c>
      <c r="J58" s="5">
        <f t="shared" si="1"/>
        <v>4.6456355051439413E-2</v>
      </c>
      <c r="L58" s="122">
        <v>4491.4790039999998</v>
      </c>
      <c r="M58" s="5">
        <f t="shared" si="2"/>
        <v>1.2079868402331551E-2</v>
      </c>
      <c r="O58" s="122">
        <v>18534.099609000001</v>
      </c>
      <c r="P58" s="5">
        <f t="shared" si="3"/>
        <v>1.8784444174779757E-3</v>
      </c>
    </row>
    <row r="59" spans="2:16" x14ac:dyDescent="0.3">
      <c r="B59" s="120">
        <v>45082</v>
      </c>
      <c r="C59" s="122">
        <v>558.82843000000003</v>
      </c>
      <c r="D59" s="5">
        <f t="shared" si="4"/>
        <v>4.9262901114907276E-2</v>
      </c>
      <c r="F59" s="122">
        <v>9626.8496090000008</v>
      </c>
      <c r="G59" s="5">
        <f t="shared" si="0"/>
        <v>1.4548710778707452E-2</v>
      </c>
      <c r="I59" s="122">
        <v>1356.435303</v>
      </c>
      <c r="J59" s="5">
        <f t="shared" si="1"/>
        <v>2.1805577068713111E-2</v>
      </c>
      <c r="L59" s="122">
        <v>4565.4912109999996</v>
      </c>
      <c r="M59" s="5">
        <f t="shared" si="2"/>
        <v>1.6478359786183283E-2</v>
      </c>
      <c r="O59" s="122">
        <v>18563.400390999999</v>
      </c>
      <c r="P59" s="5">
        <f t="shared" si="3"/>
        <v>1.5809120819534339E-3</v>
      </c>
    </row>
    <row r="60" spans="2:16" x14ac:dyDescent="0.3">
      <c r="B60" s="120">
        <v>45089</v>
      </c>
      <c r="C60" s="122">
        <v>566.282104</v>
      </c>
      <c r="D60" s="5">
        <f t="shared" si="4"/>
        <v>1.3338036506123974E-2</v>
      </c>
      <c r="F60" s="122">
        <v>9602.5996090000008</v>
      </c>
      <c r="G60" s="5">
        <f t="shared" si="0"/>
        <v>-2.5189964510642371E-3</v>
      </c>
      <c r="I60" s="122">
        <v>1389.290894</v>
      </c>
      <c r="J60" s="5">
        <f t="shared" si="1"/>
        <v>2.4222011125288434E-2</v>
      </c>
      <c r="L60" s="122">
        <v>4468.4282229999999</v>
      </c>
      <c r="M60" s="5">
        <f t="shared" si="2"/>
        <v>-2.1260141245292075E-2</v>
      </c>
      <c r="O60" s="122">
        <v>18826</v>
      </c>
      <c r="P60" s="5">
        <f t="shared" si="3"/>
        <v>1.4146094113625551E-2</v>
      </c>
    </row>
    <row r="61" spans="2:16" x14ac:dyDescent="0.3">
      <c r="B61" s="120">
        <v>45096</v>
      </c>
      <c r="C61" s="122">
        <v>556.19482400000004</v>
      </c>
      <c r="D61" s="5">
        <f t="shared" si="4"/>
        <v>-1.7813171083365109E-2</v>
      </c>
      <c r="F61" s="122">
        <v>9323.5498050000006</v>
      </c>
      <c r="G61" s="5">
        <f t="shared" si="0"/>
        <v>-2.9059818732675491E-2</v>
      </c>
      <c r="I61" s="122">
        <v>1359.0083010000001</v>
      </c>
      <c r="J61" s="5">
        <f t="shared" si="1"/>
        <v>-2.1797157910400822E-2</v>
      </c>
      <c r="L61" s="122">
        <v>4445.7626950000003</v>
      </c>
      <c r="M61" s="5">
        <f t="shared" si="2"/>
        <v>-5.0723715071296915E-3</v>
      </c>
      <c r="O61" s="122">
        <v>18665.5</v>
      </c>
      <c r="P61" s="5">
        <f t="shared" si="3"/>
        <v>-8.5254435355359703E-3</v>
      </c>
    </row>
    <row r="62" spans="2:16" x14ac:dyDescent="0.3">
      <c r="B62" s="120">
        <v>45103</v>
      </c>
      <c r="C62" s="122">
        <v>591.87316899999996</v>
      </c>
      <c r="D62" s="5">
        <f t="shared" si="4"/>
        <v>6.4147207885558943E-2</v>
      </c>
      <c r="F62" s="122">
        <v>9786.75</v>
      </c>
      <c r="G62" s="5">
        <f t="shared" si="0"/>
        <v>4.9680669346732653E-2</v>
      </c>
      <c r="I62" s="122">
        <v>1438.525024</v>
      </c>
      <c r="J62" s="5">
        <f t="shared" si="1"/>
        <v>5.8510844224784364E-2</v>
      </c>
      <c r="L62" s="122">
        <v>4516.0214839999999</v>
      </c>
      <c r="M62" s="5">
        <f t="shared" si="2"/>
        <v>1.5803540094260438E-2</v>
      </c>
      <c r="O62" s="122">
        <v>19189.050781000002</v>
      </c>
      <c r="P62" s="5">
        <f t="shared" si="3"/>
        <v>2.804911633762841E-2</v>
      </c>
    </row>
    <row r="63" spans="2:16" x14ac:dyDescent="0.3">
      <c r="B63" s="120">
        <v>45110</v>
      </c>
      <c r="C63" s="122">
        <v>614.38330099999996</v>
      </c>
      <c r="D63" s="5">
        <f t="shared" si="4"/>
        <v>3.8032019660617422E-2</v>
      </c>
      <c r="F63" s="122">
        <v>9850.5</v>
      </c>
      <c r="G63" s="5">
        <f t="shared" si="0"/>
        <v>6.5139091118093795E-3</v>
      </c>
      <c r="I63" s="122">
        <v>1547.9285890000001</v>
      </c>
      <c r="J63" s="5">
        <f t="shared" si="1"/>
        <v>7.6052597747510609E-2</v>
      </c>
      <c r="L63" s="122">
        <v>4790.1625979999999</v>
      </c>
      <c r="M63" s="5">
        <f t="shared" si="2"/>
        <v>6.0704120866401201E-2</v>
      </c>
      <c r="O63" s="122">
        <v>19331.800781000002</v>
      </c>
      <c r="P63" s="5">
        <f t="shared" si="3"/>
        <v>7.4391381642151533E-3</v>
      </c>
    </row>
    <row r="64" spans="2:16" x14ac:dyDescent="0.3">
      <c r="B64" s="120">
        <v>45117</v>
      </c>
      <c r="C64" s="122">
        <v>621.04193099999998</v>
      </c>
      <c r="D64" s="5">
        <f t="shared" si="4"/>
        <v>1.0837908499729876E-2</v>
      </c>
      <c r="F64" s="122">
        <v>9603.7998050000006</v>
      </c>
      <c r="G64" s="5">
        <f t="shared" si="0"/>
        <v>-2.5044433785087028E-2</v>
      </c>
      <c r="I64" s="122">
        <v>1530.5111079999999</v>
      </c>
      <c r="J64" s="5">
        <f t="shared" si="1"/>
        <v>-1.1252121786349489E-2</v>
      </c>
      <c r="L64" s="122">
        <v>4819.7221680000002</v>
      </c>
      <c r="M64" s="5">
        <f t="shared" si="2"/>
        <v>6.1708907360142895E-3</v>
      </c>
      <c r="O64" s="122">
        <v>19564.5</v>
      </c>
      <c r="P64" s="5">
        <f t="shared" si="3"/>
        <v>1.2037120681933855E-2</v>
      </c>
    </row>
    <row r="65" spans="2:16" x14ac:dyDescent="0.3">
      <c r="B65" s="120">
        <v>45124</v>
      </c>
      <c r="C65" s="122">
        <v>621.88671899999997</v>
      </c>
      <c r="D65" s="5">
        <f t="shared" si="4"/>
        <v>1.36027530160443E-3</v>
      </c>
      <c r="F65" s="122">
        <v>9768.0996090000008</v>
      </c>
      <c r="G65" s="5">
        <f t="shared" si="0"/>
        <v>1.7107791430061026E-2</v>
      </c>
      <c r="I65" s="122">
        <v>1523.5</v>
      </c>
      <c r="J65" s="5">
        <f t="shared" si="1"/>
        <v>-4.5808932475908115E-3</v>
      </c>
      <c r="L65" s="122">
        <v>4823.392578</v>
      </c>
      <c r="M65" s="5">
        <f t="shared" si="2"/>
        <v>7.6153974691095527E-4</v>
      </c>
      <c r="O65" s="122">
        <v>19745</v>
      </c>
      <c r="P65" s="5">
        <f t="shared" si="3"/>
        <v>9.225893838329613E-3</v>
      </c>
    </row>
    <row r="66" spans="2:16" x14ac:dyDescent="0.3">
      <c r="B66" s="120">
        <v>45131</v>
      </c>
      <c r="C66" s="122">
        <v>631.37768600000004</v>
      </c>
      <c r="D66" s="5">
        <f t="shared" si="4"/>
        <v>1.5261568883898402E-2</v>
      </c>
      <c r="F66" s="122">
        <v>9668.9003909999992</v>
      </c>
      <c r="G66" s="5">
        <f t="shared" si="0"/>
        <v>-1.0155426538505319E-2</v>
      </c>
      <c r="I66" s="122">
        <v>1467.8000489999999</v>
      </c>
      <c r="J66" s="5">
        <f t="shared" si="1"/>
        <v>-3.6560519199212327E-2</v>
      </c>
      <c r="L66" s="122">
        <v>4855.5805659999996</v>
      </c>
      <c r="M66" s="5">
        <f t="shared" si="2"/>
        <v>6.6733087716750461E-3</v>
      </c>
      <c r="O66" s="122">
        <v>19646.050781000002</v>
      </c>
      <c r="P66" s="5">
        <f t="shared" si="3"/>
        <v>-5.0113557356291638E-3</v>
      </c>
    </row>
    <row r="67" spans="2:16" x14ac:dyDescent="0.3">
      <c r="B67" s="120">
        <v>45138</v>
      </c>
      <c r="C67" s="122">
        <v>613.10797100000002</v>
      </c>
      <c r="D67" s="5">
        <f t="shared" si="4"/>
        <v>-2.893626969262264E-2</v>
      </c>
      <c r="F67" s="122">
        <v>9463.2998050000006</v>
      </c>
      <c r="G67" s="5">
        <f t="shared" si="0"/>
        <v>-2.1264112534593482E-2</v>
      </c>
      <c r="I67" s="122">
        <v>1464.650024</v>
      </c>
      <c r="J67" s="5">
        <f t="shared" si="1"/>
        <v>-2.1460859073727523E-3</v>
      </c>
      <c r="L67" s="122">
        <v>4671.2294920000004</v>
      </c>
      <c r="M67" s="5">
        <f t="shared" si="2"/>
        <v>-3.796684484876478E-2</v>
      </c>
      <c r="O67" s="122">
        <v>19517</v>
      </c>
      <c r="P67" s="5">
        <f t="shared" si="3"/>
        <v>-6.568789953694365E-3</v>
      </c>
    </row>
    <row r="68" spans="2:16" x14ac:dyDescent="0.3">
      <c r="B68" s="120">
        <v>45145</v>
      </c>
      <c r="C68" s="122">
        <v>609.91784700000005</v>
      </c>
      <c r="D68" s="5">
        <f t="shared" si="4"/>
        <v>-5.2032009872531315E-3</v>
      </c>
      <c r="F68" s="122">
        <v>9355.25</v>
      </c>
      <c r="G68" s="5">
        <f t="shared" si="0"/>
        <v>-1.1417772576845953E-2</v>
      </c>
      <c r="I68" s="122">
        <v>1546.4499510000001</v>
      </c>
      <c r="J68" s="5">
        <f t="shared" si="1"/>
        <v>5.5849469606809032E-2</v>
      </c>
      <c r="L68" s="122">
        <v>4559.388672</v>
      </c>
      <c r="M68" s="5">
        <f t="shared" si="2"/>
        <v>-2.3942480280949585E-2</v>
      </c>
      <c r="O68" s="122">
        <v>19428.300781000002</v>
      </c>
      <c r="P68" s="5">
        <f t="shared" si="3"/>
        <v>-4.5447158374749552E-3</v>
      </c>
    </row>
    <row r="69" spans="2:16" x14ac:dyDescent="0.3">
      <c r="B69" s="120">
        <v>45152</v>
      </c>
      <c r="C69" s="122">
        <v>613.90551800000003</v>
      </c>
      <c r="D69" s="5">
        <f t="shared" si="4"/>
        <v>6.5380460985264843E-3</v>
      </c>
      <c r="F69" s="122">
        <v>9464.0996090000008</v>
      </c>
      <c r="G69" s="5">
        <f t="shared" si="0"/>
        <v>1.1635136313834504E-2</v>
      </c>
      <c r="I69" s="122">
        <v>1552.650024</v>
      </c>
      <c r="J69" s="5">
        <f t="shared" si="1"/>
        <v>4.0092296527221016E-3</v>
      </c>
      <c r="L69" s="122">
        <v>4576.548828</v>
      </c>
      <c r="M69" s="5">
        <f t="shared" si="2"/>
        <v>3.7636966783252124E-3</v>
      </c>
      <c r="O69" s="122">
        <v>19310.150390999999</v>
      </c>
      <c r="P69" s="5">
        <f t="shared" si="3"/>
        <v>-6.0813547891717112E-3</v>
      </c>
    </row>
    <row r="70" spans="2:16" x14ac:dyDescent="0.3">
      <c r="B70" s="120">
        <v>45159</v>
      </c>
      <c r="C70" s="122">
        <v>603.23840299999995</v>
      </c>
      <c r="D70" s="5">
        <f t="shared" si="4"/>
        <v>-1.7375825248731602E-2</v>
      </c>
      <c r="F70" s="122">
        <v>9508.5</v>
      </c>
      <c r="G70" s="5">
        <f t="shared" si="0"/>
        <v>4.6914543204696901E-3</v>
      </c>
      <c r="I70" s="122">
        <v>1520.0500489999999</v>
      </c>
      <c r="J70" s="5">
        <f t="shared" si="1"/>
        <v>-2.0996344634069408E-2</v>
      </c>
      <c r="L70" s="122">
        <v>4551.6020509999998</v>
      </c>
      <c r="M70" s="5">
        <f t="shared" si="2"/>
        <v>-5.4510020405271753E-3</v>
      </c>
      <c r="O70" s="122">
        <v>19265.800781000002</v>
      </c>
      <c r="P70" s="5">
        <f t="shared" si="3"/>
        <v>-2.2966993576947203E-3</v>
      </c>
    </row>
    <row r="71" spans="2:16" x14ac:dyDescent="0.3">
      <c r="B71" s="120">
        <v>45166</v>
      </c>
      <c r="C71" s="122">
        <v>609.31970200000001</v>
      </c>
      <c r="D71" s="5">
        <f t="shared" si="4"/>
        <v>1.0081087294437463E-2</v>
      </c>
      <c r="F71" s="122">
        <v>10331.799805000001</v>
      </c>
      <c r="G71" s="5">
        <f t="shared" si="0"/>
        <v>8.6585665983067939E-2</v>
      </c>
      <c r="I71" s="122">
        <v>1591.9499510000001</v>
      </c>
      <c r="J71" s="5">
        <f t="shared" si="1"/>
        <v>4.7301009626164126E-2</v>
      </c>
      <c r="L71" s="122">
        <v>4625.0546880000002</v>
      </c>
      <c r="M71" s="5">
        <f t="shared" si="2"/>
        <v>1.6137754614084177E-2</v>
      </c>
      <c r="O71" s="122">
        <v>19435.300781000002</v>
      </c>
      <c r="P71" s="5">
        <f t="shared" si="3"/>
        <v>8.797973254616176E-3</v>
      </c>
    </row>
    <row r="72" spans="2:16" x14ac:dyDescent="0.3">
      <c r="B72" s="120">
        <v>45173</v>
      </c>
      <c r="C72" s="122">
        <v>625.32031300000006</v>
      </c>
      <c r="D72" s="5">
        <f t="shared" si="4"/>
        <v>2.625979587970062E-2</v>
      </c>
      <c r="F72" s="122">
        <v>10332.549805000001</v>
      </c>
      <c r="G72" s="5">
        <f t="shared" si="0"/>
        <v>7.2591418160961041E-5</v>
      </c>
      <c r="I72" s="122">
        <v>1567.5500489999999</v>
      </c>
      <c r="J72" s="5">
        <f t="shared" si="1"/>
        <v>-1.5327053457097062E-2</v>
      </c>
      <c r="L72" s="122">
        <v>4721.6196289999998</v>
      </c>
      <c r="M72" s="5">
        <f t="shared" si="2"/>
        <v>2.0878659283866119E-2</v>
      </c>
      <c r="O72" s="122">
        <v>19819.949218999998</v>
      </c>
      <c r="P72" s="5">
        <f t="shared" si="3"/>
        <v>1.9791226404688889E-2</v>
      </c>
    </row>
    <row r="73" spans="2:16" x14ac:dyDescent="0.3">
      <c r="B73" s="120">
        <v>45180</v>
      </c>
      <c r="C73" s="122">
        <v>632.298767</v>
      </c>
      <c r="D73" s="5">
        <f t="shared" si="4"/>
        <v>1.115980698998964E-2</v>
      </c>
      <c r="F73" s="122">
        <v>10527.849609000001</v>
      </c>
      <c r="G73" s="5">
        <f t="shared" si="0"/>
        <v>1.8901414238089886E-2</v>
      </c>
      <c r="I73" s="122">
        <v>1601.099976</v>
      </c>
      <c r="J73" s="5">
        <f t="shared" si="1"/>
        <v>2.1402778827637858E-2</v>
      </c>
      <c r="L73" s="122">
        <v>5090.7197269999997</v>
      </c>
      <c r="M73" s="5">
        <f t="shared" si="2"/>
        <v>7.8172349109403516E-2</v>
      </c>
      <c r="O73" s="122">
        <v>20192.349609000001</v>
      </c>
      <c r="P73" s="5">
        <f t="shared" si="3"/>
        <v>1.8789169734249711E-2</v>
      </c>
    </row>
    <row r="74" spans="2:16" x14ac:dyDescent="0.3">
      <c r="B74" s="120">
        <v>45187</v>
      </c>
      <c r="C74" s="122">
        <v>618.54125999999997</v>
      </c>
      <c r="D74" s="5">
        <f t="shared" si="4"/>
        <v>-2.1757921599742769E-2</v>
      </c>
      <c r="F74" s="122">
        <v>10536.450194999999</v>
      </c>
      <c r="G74" s="5">
        <f t="shared" ref="G74:G114" si="5">F74/F73-1</f>
        <v>8.1693663183091125E-4</v>
      </c>
      <c r="I74" s="122">
        <v>1607.150024</v>
      </c>
      <c r="J74" s="5">
        <f t="shared" ref="J74:J114" si="6">I74/I73-1</f>
        <v>3.7786822126590902E-3</v>
      </c>
      <c r="L74" s="122">
        <v>4959.7338870000003</v>
      </c>
      <c r="M74" s="5">
        <f t="shared" ref="M74:M114" si="7">L74/L73-1</f>
        <v>-2.5730318505904126E-2</v>
      </c>
      <c r="O74" s="122">
        <v>19674.25</v>
      </c>
      <c r="P74" s="5">
        <f t="shared" ref="P74:P114" si="8">O74/O73-1</f>
        <v>-2.5658213087251469E-2</v>
      </c>
    </row>
    <row r="75" spans="2:16" x14ac:dyDescent="0.3">
      <c r="B75" s="120">
        <v>45194</v>
      </c>
      <c r="C75" s="122">
        <v>628.26122999999995</v>
      </c>
      <c r="D75" s="5">
        <f t="shared" ref="D75:D114" si="9">C75/C74-1</f>
        <v>1.5714343777163631E-2</v>
      </c>
      <c r="F75" s="122">
        <v>10601.700194999999</v>
      </c>
      <c r="G75" s="5">
        <f t="shared" si="5"/>
        <v>6.1927877788445773E-3</v>
      </c>
      <c r="I75" s="122">
        <v>1554.25</v>
      </c>
      <c r="J75" s="5">
        <f t="shared" si="6"/>
        <v>-3.2915423706579849E-2</v>
      </c>
      <c r="L75" s="122">
        <v>5021.6313479999999</v>
      </c>
      <c r="M75" s="5">
        <f t="shared" si="7"/>
        <v>1.2479996388967463E-2</v>
      </c>
      <c r="O75" s="122">
        <v>19638.300781000002</v>
      </c>
      <c r="P75" s="5">
        <f t="shared" si="8"/>
        <v>-1.8272218254824502E-3</v>
      </c>
    </row>
    <row r="76" spans="2:16" x14ac:dyDescent="0.3">
      <c r="B76" s="120">
        <v>45201</v>
      </c>
      <c r="C76" s="122">
        <v>620.53509499999996</v>
      </c>
      <c r="D76" s="5">
        <f t="shared" si="9"/>
        <v>-1.2297647270069545E-2</v>
      </c>
      <c r="F76" s="122">
        <v>10300.650390999999</v>
      </c>
      <c r="G76" s="5">
        <f t="shared" si="5"/>
        <v>-2.8396370248423231E-2</v>
      </c>
      <c r="I76" s="122">
        <v>1548.849976</v>
      </c>
      <c r="J76" s="5">
        <f t="shared" si="6"/>
        <v>-3.4743599806981162E-3</v>
      </c>
      <c r="L76" s="122">
        <v>4977.7875979999999</v>
      </c>
      <c r="M76" s="5">
        <f t="shared" si="7"/>
        <v>-8.7309774377328786E-3</v>
      </c>
      <c r="O76" s="122">
        <v>19653.5</v>
      </c>
      <c r="P76" s="5">
        <f t="shared" si="8"/>
        <v>7.7395794928980521E-4</v>
      </c>
    </row>
    <row r="77" spans="2:16" x14ac:dyDescent="0.3">
      <c r="B77" s="120">
        <v>45208</v>
      </c>
      <c r="C77" s="122">
        <v>665.04766800000004</v>
      </c>
      <c r="D77" s="5">
        <f t="shared" si="9"/>
        <v>7.1732563329073518E-2</v>
      </c>
      <c r="F77" s="122">
        <v>10725.650390999999</v>
      </c>
      <c r="G77" s="5">
        <f t="shared" si="5"/>
        <v>4.1259530599284888E-2</v>
      </c>
      <c r="I77" s="122">
        <v>1562.4499510000001</v>
      </c>
      <c r="J77" s="5">
        <f t="shared" si="6"/>
        <v>8.7806922624764638E-3</v>
      </c>
      <c r="L77" s="122">
        <v>5012.3066410000001</v>
      </c>
      <c r="M77" s="5">
        <f t="shared" si="7"/>
        <v>6.9346154934111226E-3</v>
      </c>
      <c r="O77" s="122">
        <v>19751.050781000002</v>
      </c>
      <c r="P77" s="5">
        <f t="shared" si="8"/>
        <v>4.96353224616497E-3</v>
      </c>
    </row>
    <row r="78" spans="2:16" x14ac:dyDescent="0.3">
      <c r="B78" s="120">
        <v>45215</v>
      </c>
      <c r="C78" s="122">
        <v>661.15972899999997</v>
      </c>
      <c r="D78" s="5">
        <f t="shared" si="9"/>
        <v>-5.8461057561366436E-3</v>
      </c>
      <c r="F78" s="122">
        <v>10727</v>
      </c>
      <c r="G78" s="5">
        <f t="shared" si="5"/>
        <v>1.2583003834754081E-4</v>
      </c>
      <c r="I78" s="122">
        <v>1558.25</v>
      </c>
      <c r="J78" s="5">
        <f t="shared" si="6"/>
        <v>-2.6880547420491396E-3</v>
      </c>
      <c r="L78" s="122">
        <v>5443.8491210000002</v>
      </c>
      <c r="M78" s="5">
        <f t="shared" si="7"/>
        <v>8.6096584049754732E-2</v>
      </c>
      <c r="O78" s="122">
        <v>19542.650390999999</v>
      </c>
      <c r="P78" s="5">
        <f t="shared" si="8"/>
        <v>-1.0551357105540893E-2</v>
      </c>
    </row>
    <row r="79" spans="2:16" x14ac:dyDescent="0.3">
      <c r="B79" s="120">
        <v>45222</v>
      </c>
      <c r="C79" s="122">
        <v>639.07781999999997</v>
      </c>
      <c r="D79" s="5">
        <f t="shared" si="9"/>
        <v>-3.3398750757852036E-2</v>
      </c>
      <c r="F79" s="122">
        <v>10552.900390999999</v>
      </c>
      <c r="G79" s="5">
        <f t="shared" si="5"/>
        <v>-1.6230037195861025E-2</v>
      </c>
      <c r="I79" s="122">
        <v>1510.8000489999999</v>
      </c>
      <c r="J79" s="5">
        <f t="shared" si="6"/>
        <v>-3.0450794801861081E-2</v>
      </c>
      <c r="L79" s="122">
        <v>5330.3715819999998</v>
      </c>
      <c r="M79" s="5">
        <f t="shared" si="7"/>
        <v>-2.0845092594916625E-2</v>
      </c>
      <c r="O79" s="122">
        <v>19047.25</v>
      </c>
      <c r="P79" s="5">
        <f t="shared" si="8"/>
        <v>-2.5349703396840506E-2</v>
      </c>
    </row>
    <row r="80" spans="2:16" x14ac:dyDescent="0.3">
      <c r="B80" s="120">
        <v>45229</v>
      </c>
      <c r="C80" s="122">
        <v>645.50799600000005</v>
      </c>
      <c r="D80" s="5">
        <f t="shared" si="9"/>
        <v>1.0061647891332015E-2</v>
      </c>
      <c r="F80" s="122">
        <v>10272.200194999999</v>
      </c>
      <c r="G80" s="5">
        <f t="shared" si="5"/>
        <v>-2.6599340996281362E-2</v>
      </c>
      <c r="I80" s="122">
        <v>1469</v>
      </c>
      <c r="J80" s="5">
        <f t="shared" si="6"/>
        <v>-2.7667492483646305E-2</v>
      </c>
      <c r="L80" s="122">
        <v>5315.9384769999997</v>
      </c>
      <c r="M80" s="5">
        <f t="shared" si="7"/>
        <v>-2.7077108561697205E-3</v>
      </c>
      <c r="O80" s="122">
        <v>19230.599609000001</v>
      </c>
      <c r="P80" s="5">
        <f t="shared" si="8"/>
        <v>9.6260409770438926E-3</v>
      </c>
    </row>
    <row r="81" spans="2:16" x14ac:dyDescent="0.3">
      <c r="B81" s="120">
        <v>45236</v>
      </c>
      <c r="C81" s="122">
        <v>649.04705799999999</v>
      </c>
      <c r="D81" s="5">
        <f t="shared" si="9"/>
        <v>5.4825997848675367E-3</v>
      </c>
      <c r="F81" s="122">
        <v>10431.25</v>
      </c>
      <c r="G81" s="5">
        <f t="shared" si="5"/>
        <v>1.5483518815902597E-2</v>
      </c>
      <c r="I81" s="122">
        <v>1524.099976</v>
      </c>
      <c r="J81" s="5">
        <f t="shared" si="6"/>
        <v>3.7508492852280417E-2</v>
      </c>
      <c r="L81" s="122">
        <v>5384.5307620000003</v>
      </c>
      <c r="M81" s="5">
        <f t="shared" si="7"/>
        <v>1.2903137479256532E-2</v>
      </c>
      <c r="O81" s="122">
        <v>19425.349609000001</v>
      </c>
      <c r="P81" s="5">
        <f t="shared" si="8"/>
        <v>1.0127089324289962E-2</v>
      </c>
    </row>
    <row r="82" spans="2:16" x14ac:dyDescent="0.3">
      <c r="B82" s="120">
        <v>45243</v>
      </c>
      <c r="C82" s="122">
        <v>679.45324700000003</v>
      </c>
      <c r="D82" s="5">
        <f t="shared" si="9"/>
        <v>4.684743367252131E-2</v>
      </c>
      <c r="F82" s="122">
        <v>10524.099609000001</v>
      </c>
      <c r="G82" s="5">
        <f t="shared" si="5"/>
        <v>8.9011009227082383E-3</v>
      </c>
      <c r="I82" s="122">
        <v>1584.5500489999999</v>
      </c>
      <c r="J82" s="5">
        <f t="shared" si="6"/>
        <v>3.9662800309629986E-2</v>
      </c>
      <c r="L82" s="122">
        <v>5584.40625</v>
      </c>
      <c r="M82" s="5">
        <f t="shared" si="7"/>
        <v>3.7120316854826418E-2</v>
      </c>
      <c r="O82" s="122">
        <v>19731.800781000002</v>
      </c>
      <c r="P82" s="5">
        <f t="shared" si="8"/>
        <v>1.5775838178892609E-2</v>
      </c>
    </row>
    <row r="83" spans="2:16" x14ac:dyDescent="0.3">
      <c r="B83" s="120">
        <v>45250</v>
      </c>
      <c r="C83" s="122">
        <v>671.62744099999998</v>
      </c>
      <c r="D83" s="5">
        <f t="shared" si="9"/>
        <v>-1.1517799104726389E-2</v>
      </c>
      <c r="F83" s="122">
        <v>10518.099609000001</v>
      </c>
      <c r="G83" s="5">
        <f t="shared" si="5"/>
        <v>-5.7012003144374379E-4</v>
      </c>
      <c r="I83" s="122">
        <v>1553.1999510000001</v>
      </c>
      <c r="J83" s="5">
        <f t="shared" si="6"/>
        <v>-1.9784858180897924E-2</v>
      </c>
      <c r="L83" s="122">
        <v>5881.9873049999997</v>
      </c>
      <c r="M83" s="5">
        <f t="shared" si="7"/>
        <v>5.3287859385229952E-2</v>
      </c>
      <c r="O83" s="122">
        <v>19794.699218999998</v>
      </c>
      <c r="P83" s="5">
        <f t="shared" si="8"/>
        <v>3.1876684088845142E-3</v>
      </c>
    </row>
    <row r="84" spans="2:16" x14ac:dyDescent="0.3">
      <c r="B84" s="120">
        <v>45257</v>
      </c>
      <c r="C84" s="122">
        <v>703.27972399999999</v>
      </c>
      <c r="D84" s="5">
        <f t="shared" si="9"/>
        <v>4.7127739380142364E-2</v>
      </c>
      <c r="F84" s="122">
        <v>10584.049805000001</v>
      </c>
      <c r="G84" s="5">
        <f t="shared" si="5"/>
        <v>6.270162714904215E-3</v>
      </c>
      <c r="I84" s="122">
        <v>1625.5</v>
      </c>
      <c r="J84" s="5">
        <f t="shared" si="6"/>
        <v>4.6549093021443166E-2</v>
      </c>
      <c r="L84" s="122">
        <v>5997.845703</v>
      </c>
      <c r="M84" s="5">
        <f t="shared" si="7"/>
        <v>1.9697151998528506E-2</v>
      </c>
      <c r="O84" s="122">
        <v>20267.900390999999</v>
      </c>
      <c r="P84" s="5">
        <f t="shared" si="8"/>
        <v>2.390544896715574E-2</v>
      </c>
    </row>
    <row r="85" spans="2:16" x14ac:dyDescent="0.3">
      <c r="B85" s="120">
        <v>45264</v>
      </c>
      <c r="C85" s="122">
        <v>712.35174600000005</v>
      </c>
      <c r="D85" s="5">
        <f t="shared" si="9"/>
        <v>1.2899592708860874E-2</v>
      </c>
      <c r="F85" s="122">
        <v>10600.900390999999</v>
      </c>
      <c r="G85" s="5">
        <f t="shared" si="5"/>
        <v>1.592073573958297E-3</v>
      </c>
      <c r="I85" s="122">
        <v>1668.5500489999999</v>
      </c>
      <c r="J85" s="5">
        <f t="shared" si="6"/>
        <v>2.6484188864964509E-2</v>
      </c>
      <c r="L85" s="122">
        <v>6024.3803710000002</v>
      </c>
      <c r="M85" s="5">
        <f t="shared" si="7"/>
        <v>4.4240331135441124E-3</v>
      </c>
      <c r="O85" s="122">
        <v>20969.400390999999</v>
      </c>
      <c r="P85" s="5">
        <f t="shared" si="8"/>
        <v>3.4611379889724736E-2</v>
      </c>
    </row>
    <row r="86" spans="2:16" x14ac:dyDescent="0.3">
      <c r="B86" s="120">
        <v>45271</v>
      </c>
      <c r="C86" s="122">
        <v>730.14685099999997</v>
      </c>
      <c r="D86" s="5">
        <f t="shared" si="9"/>
        <v>2.49807838612357E-2</v>
      </c>
      <c r="F86" s="122">
        <v>10286.650390999999</v>
      </c>
      <c r="G86" s="5">
        <f t="shared" si="5"/>
        <v>-2.9643708402995017E-2</v>
      </c>
      <c r="I86" s="122">
        <v>1724.9499510000001</v>
      </c>
      <c r="J86" s="5">
        <f t="shared" si="6"/>
        <v>3.3801744235242959E-2</v>
      </c>
      <c r="L86" s="122">
        <v>6219.3452150000003</v>
      </c>
      <c r="M86" s="5">
        <f t="shared" si="7"/>
        <v>3.2362638477895E-2</v>
      </c>
      <c r="O86" s="122">
        <v>21456.650390999999</v>
      </c>
      <c r="P86" s="5">
        <f t="shared" si="8"/>
        <v>2.3236239039487572E-2</v>
      </c>
    </row>
    <row r="87" spans="2:16" x14ac:dyDescent="0.3">
      <c r="B87" s="120">
        <v>45278</v>
      </c>
      <c r="C87" s="122">
        <v>722.47051999999996</v>
      </c>
      <c r="D87" s="5">
        <f t="shared" si="9"/>
        <v>-1.0513406980371953E-2</v>
      </c>
      <c r="F87" s="122">
        <v>10214.900390999999</v>
      </c>
      <c r="G87" s="5">
        <f t="shared" si="5"/>
        <v>-6.9750596426194633E-3</v>
      </c>
      <c r="I87" s="122">
        <v>1634.25</v>
      </c>
      <c r="J87" s="5">
        <f t="shared" si="6"/>
        <v>-5.258120732570748E-2</v>
      </c>
      <c r="L87" s="122">
        <v>6314.4716799999997</v>
      </c>
      <c r="M87" s="5">
        <f t="shared" si="7"/>
        <v>1.5295254035838202E-2</v>
      </c>
      <c r="O87" s="122">
        <v>21349.400390999999</v>
      </c>
      <c r="P87" s="5">
        <f t="shared" si="8"/>
        <v>-4.9984502727874469E-3</v>
      </c>
    </row>
    <row r="88" spans="2:16" x14ac:dyDescent="0.3">
      <c r="B88" s="120">
        <v>45285</v>
      </c>
      <c r="C88" s="122">
        <v>777.55053699999996</v>
      </c>
      <c r="D88" s="5">
        <f t="shared" si="9"/>
        <v>7.6238428385977608E-2</v>
      </c>
      <c r="F88" s="122">
        <v>10299.400390999999</v>
      </c>
      <c r="G88" s="5">
        <f t="shared" si="5"/>
        <v>8.2722294653454487E-3</v>
      </c>
      <c r="I88" s="122">
        <v>1729.400024</v>
      </c>
      <c r="J88" s="5">
        <f t="shared" si="6"/>
        <v>5.8222440875019155E-2</v>
      </c>
      <c r="L88" s="122">
        <v>6746.1630859999996</v>
      </c>
      <c r="M88" s="5">
        <f t="shared" si="7"/>
        <v>6.8365403770406896E-2</v>
      </c>
      <c r="O88" s="122">
        <v>21731.400390999999</v>
      </c>
      <c r="P88" s="5">
        <f t="shared" si="8"/>
        <v>1.7892774176507364E-2</v>
      </c>
    </row>
    <row r="89" spans="2:16" x14ac:dyDescent="0.3">
      <c r="B89" s="120">
        <v>45292</v>
      </c>
      <c r="C89" s="122">
        <v>788.51672399999995</v>
      </c>
      <c r="D89" s="5">
        <f t="shared" si="9"/>
        <v>1.4103503860096955E-2</v>
      </c>
      <c r="F89" s="122">
        <v>10018.799805000001</v>
      </c>
      <c r="G89" s="5">
        <f t="shared" si="5"/>
        <v>-2.7244361355754032E-2</v>
      </c>
      <c r="I89" s="122">
        <v>1642</v>
      </c>
      <c r="J89" s="5">
        <f t="shared" si="6"/>
        <v>-5.0537771936563836E-2</v>
      </c>
      <c r="L89" s="122">
        <v>6911.9653319999998</v>
      </c>
      <c r="M89" s="5">
        <f t="shared" si="7"/>
        <v>2.4577266201002645E-2</v>
      </c>
      <c r="O89" s="122">
        <v>21710.800781000002</v>
      </c>
      <c r="P89" s="5">
        <f t="shared" si="8"/>
        <v>-9.4791912299074799E-4</v>
      </c>
    </row>
    <row r="90" spans="2:16" x14ac:dyDescent="0.3">
      <c r="B90" s="120">
        <v>45299</v>
      </c>
      <c r="C90" s="122">
        <v>813.93823199999997</v>
      </c>
      <c r="D90" s="5">
        <f t="shared" si="9"/>
        <v>3.2239656086229029E-2</v>
      </c>
      <c r="F90" s="122">
        <v>9962.2998050000006</v>
      </c>
      <c r="G90" s="5">
        <f t="shared" si="5"/>
        <v>-5.6393980416499234E-3</v>
      </c>
      <c r="I90" s="122">
        <v>1624.4499510000001</v>
      </c>
      <c r="J90" s="5">
        <f t="shared" si="6"/>
        <v>-1.068821498172956E-2</v>
      </c>
      <c r="L90" s="122">
        <v>7241.3378910000001</v>
      </c>
      <c r="M90" s="5">
        <f t="shared" si="7"/>
        <v>4.7652518955082046E-2</v>
      </c>
      <c r="O90" s="122">
        <v>21894.550781000002</v>
      </c>
      <c r="P90" s="5">
        <f t="shared" si="8"/>
        <v>8.4635293674109047E-3</v>
      </c>
    </row>
    <row r="91" spans="2:16" x14ac:dyDescent="0.3">
      <c r="B91" s="120">
        <v>45306</v>
      </c>
      <c r="C91" s="122">
        <v>821.01641800000004</v>
      </c>
      <c r="D91" s="5">
        <f t="shared" si="9"/>
        <v>8.6962200836881998E-3</v>
      </c>
      <c r="F91" s="122">
        <v>9974.0996090000008</v>
      </c>
      <c r="G91" s="5">
        <f t="shared" si="5"/>
        <v>1.18444578370136E-3</v>
      </c>
      <c r="I91" s="122">
        <v>1655.5500489999999</v>
      </c>
      <c r="J91" s="5">
        <f t="shared" si="6"/>
        <v>1.9145002270371414E-2</v>
      </c>
      <c r="L91" s="122">
        <v>7056.6391599999997</v>
      </c>
      <c r="M91" s="5">
        <f t="shared" si="7"/>
        <v>-2.5506161123838189E-2</v>
      </c>
      <c r="O91" s="122">
        <v>21622.400390999999</v>
      </c>
      <c r="P91" s="5">
        <f t="shared" si="8"/>
        <v>-1.2430051327482539E-2</v>
      </c>
    </row>
    <row r="92" spans="2:16" x14ac:dyDescent="0.3">
      <c r="B92" s="120">
        <v>45313</v>
      </c>
      <c r="C92" s="122">
        <v>809.35235599999999</v>
      </c>
      <c r="D92" s="5">
        <f t="shared" si="9"/>
        <v>-1.420685597057092E-2</v>
      </c>
      <c r="F92" s="122">
        <v>9886.7998050000006</v>
      </c>
      <c r="G92" s="5">
        <f t="shared" si="5"/>
        <v>-8.7526501060032347E-3</v>
      </c>
      <c r="I92" s="122">
        <v>1635.5</v>
      </c>
      <c r="J92" s="5">
        <f t="shared" si="6"/>
        <v>-1.2110808134197293E-2</v>
      </c>
      <c r="L92" s="122">
        <v>7535.5961909999996</v>
      </c>
      <c r="M92" s="5">
        <f t="shared" si="7"/>
        <v>6.7873249593791041E-2</v>
      </c>
      <c r="O92" s="122">
        <v>21352.599609000001</v>
      </c>
      <c r="P92" s="5">
        <f t="shared" si="8"/>
        <v>-1.2477836739731241E-2</v>
      </c>
    </row>
    <row r="93" spans="2:16" x14ac:dyDescent="0.3">
      <c r="B93" s="120">
        <v>45320</v>
      </c>
      <c r="C93" s="122">
        <v>876.04656999999997</v>
      </c>
      <c r="D93" s="5">
        <f t="shared" si="9"/>
        <v>8.2404423123715542E-2</v>
      </c>
      <c r="F93" s="122">
        <v>10652.049805000001</v>
      </c>
      <c r="G93" s="5">
        <f t="shared" si="5"/>
        <v>7.7401182899748289E-2</v>
      </c>
      <c r="I93" s="122">
        <v>1660.75</v>
      </c>
      <c r="J93" s="5">
        <f t="shared" si="6"/>
        <v>1.5438703760317862E-2</v>
      </c>
      <c r="L93" s="122">
        <v>7674.4174800000001</v>
      </c>
      <c r="M93" s="5">
        <f t="shared" si="7"/>
        <v>1.8422071125015815E-2</v>
      </c>
      <c r="O93" s="122">
        <v>21853.800781000002</v>
      </c>
      <c r="P93" s="5">
        <f t="shared" si="8"/>
        <v>2.3472606669810325E-2</v>
      </c>
    </row>
    <row r="94" spans="2:16" x14ac:dyDescent="0.3">
      <c r="B94" s="120">
        <v>45327</v>
      </c>
      <c r="C94" s="122">
        <v>912.18505900000002</v>
      </c>
      <c r="D94" s="5">
        <f t="shared" si="9"/>
        <v>4.1251789844916731E-2</v>
      </c>
      <c r="F94" s="122">
        <v>10730.349609000001</v>
      </c>
      <c r="G94" s="5">
        <f t="shared" si="5"/>
        <v>7.3506794873645642E-3</v>
      </c>
      <c r="I94" s="122">
        <v>1646.400024</v>
      </c>
      <c r="J94" s="5">
        <f t="shared" si="6"/>
        <v>-8.6406599427969466E-3</v>
      </c>
      <c r="L94" s="122">
        <v>7719.7983400000003</v>
      </c>
      <c r="M94" s="5">
        <f t="shared" si="7"/>
        <v>5.9132644423196545E-3</v>
      </c>
      <c r="O94" s="122">
        <v>21782.5</v>
      </c>
      <c r="P94" s="5">
        <f t="shared" si="8"/>
        <v>-3.2626261085894059E-3</v>
      </c>
    </row>
    <row r="95" spans="2:16" x14ac:dyDescent="0.3">
      <c r="B95" s="120">
        <v>45334</v>
      </c>
      <c r="C95" s="122">
        <v>935.71246299999996</v>
      </c>
      <c r="D95" s="5">
        <f t="shared" si="9"/>
        <v>2.5792358434145291E-2</v>
      </c>
      <c r="F95" s="122">
        <v>11367.650390999999</v>
      </c>
      <c r="G95" s="5">
        <f t="shared" si="5"/>
        <v>5.9392359543016804E-2</v>
      </c>
      <c r="I95" s="122">
        <v>1835.5500489999999</v>
      </c>
      <c r="J95" s="5">
        <f t="shared" si="6"/>
        <v>0.11488703974897407</v>
      </c>
      <c r="L95" s="122">
        <v>8258.6679690000001</v>
      </c>
      <c r="M95" s="5">
        <f t="shared" si="7"/>
        <v>6.9803588807217487E-2</v>
      </c>
      <c r="O95" s="122">
        <v>22040.699218999998</v>
      </c>
      <c r="P95" s="5">
        <f t="shared" si="8"/>
        <v>1.1853516308963474E-2</v>
      </c>
    </row>
    <row r="96" spans="2:16" x14ac:dyDescent="0.3">
      <c r="B96" s="120">
        <v>45341</v>
      </c>
      <c r="C96" s="122">
        <v>934.51617399999998</v>
      </c>
      <c r="D96" s="5">
        <f t="shared" si="9"/>
        <v>-1.2784792842926995E-3</v>
      </c>
      <c r="F96" s="122">
        <v>11539.150390999999</v>
      </c>
      <c r="G96" s="5">
        <f t="shared" si="5"/>
        <v>1.5086670868746932E-2</v>
      </c>
      <c r="I96" s="122">
        <v>1929.9499510000001</v>
      </c>
      <c r="J96" s="5">
        <f t="shared" si="6"/>
        <v>5.142867232164483E-2</v>
      </c>
      <c r="L96" s="122">
        <v>8362.078125</v>
      </c>
      <c r="M96" s="5">
        <f t="shared" si="7"/>
        <v>1.2521408584067473E-2</v>
      </c>
      <c r="O96" s="122">
        <v>22212.699218999998</v>
      </c>
      <c r="P96" s="5">
        <f t="shared" si="8"/>
        <v>7.803745166656384E-3</v>
      </c>
    </row>
    <row r="97" spans="2:16" x14ac:dyDescent="0.3">
      <c r="B97" s="120">
        <v>45348</v>
      </c>
      <c r="C97" s="122">
        <v>974.39312700000005</v>
      </c>
      <c r="D97" s="5">
        <f t="shared" si="9"/>
        <v>4.2671228288446938E-2</v>
      </c>
      <c r="F97" s="122">
        <v>11570.900390999999</v>
      </c>
      <c r="G97" s="5">
        <f t="shared" si="5"/>
        <v>2.7515024004509669E-3</v>
      </c>
      <c r="I97" s="122">
        <v>1972.9499510000001</v>
      </c>
      <c r="J97" s="5">
        <f t="shared" si="6"/>
        <v>2.2280370523453108E-2</v>
      </c>
      <c r="L97" s="122">
        <v>7977.9008789999998</v>
      </c>
      <c r="M97" s="5">
        <f t="shared" si="7"/>
        <v>-4.594279558946357E-2</v>
      </c>
      <c r="O97" s="122">
        <v>22338.75</v>
      </c>
      <c r="P97" s="5">
        <f t="shared" si="8"/>
        <v>5.6747169606556902E-3</v>
      </c>
    </row>
    <row r="98" spans="2:16" x14ac:dyDescent="0.3">
      <c r="B98" s="120">
        <v>45355</v>
      </c>
      <c r="C98" s="122">
        <v>1036.1026609999999</v>
      </c>
      <c r="D98" s="5">
        <f t="shared" si="9"/>
        <v>6.3331249256646238E-2</v>
      </c>
      <c r="F98" s="122">
        <v>11502.900390999999</v>
      </c>
      <c r="G98" s="5">
        <f t="shared" si="5"/>
        <v>-5.8768114582414821E-3</v>
      </c>
      <c r="I98" s="122">
        <v>1897.5500489999999</v>
      </c>
      <c r="J98" s="5">
        <f t="shared" si="6"/>
        <v>-3.8216834624610341E-2</v>
      </c>
      <c r="L98" s="122">
        <v>8807.0615230000003</v>
      </c>
      <c r="M98" s="5">
        <f t="shared" si="7"/>
        <v>0.10393218173248764</v>
      </c>
      <c r="O98" s="122">
        <v>22493.550781000002</v>
      </c>
      <c r="P98" s="5">
        <f t="shared" si="8"/>
        <v>6.9296975435062524E-3</v>
      </c>
    </row>
    <row r="99" spans="2:16" x14ac:dyDescent="0.3">
      <c r="B99" s="120">
        <v>45362</v>
      </c>
      <c r="C99" s="122">
        <v>942.94012499999997</v>
      </c>
      <c r="D99" s="5">
        <f t="shared" si="9"/>
        <v>-8.99163176649731E-2</v>
      </c>
      <c r="F99" s="122">
        <v>11477.799805000001</v>
      </c>
      <c r="G99" s="5">
        <f t="shared" si="5"/>
        <v>-2.182109306939406E-3</v>
      </c>
      <c r="I99" s="122">
        <v>1799.5</v>
      </c>
      <c r="J99" s="5">
        <f t="shared" si="6"/>
        <v>-5.1671917192208872E-2</v>
      </c>
      <c r="L99" s="122">
        <v>8278.9042969999991</v>
      </c>
      <c r="M99" s="5">
        <f t="shared" si="7"/>
        <v>-5.9969744121884161E-2</v>
      </c>
      <c r="O99" s="122">
        <v>22023.349609000001</v>
      </c>
      <c r="P99" s="5">
        <f t="shared" si="8"/>
        <v>-2.0903821569921877E-2</v>
      </c>
    </row>
    <row r="100" spans="2:16" x14ac:dyDescent="0.3">
      <c r="B100" s="120">
        <v>45369</v>
      </c>
      <c r="C100" s="122">
        <v>976.785706</v>
      </c>
      <c r="D100" s="5">
        <f t="shared" si="9"/>
        <v>3.5893669282553997E-2</v>
      </c>
      <c r="F100" s="122">
        <v>12336.200194999999</v>
      </c>
      <c r="G100" s="5">
        <f t="shared" si="5"/>
        <v>7.4787886579626539E-2</v>
      </c>
      <c r="I100" s="122">
        <v>1878.8000489999999</v>
      </c>
      <c r="J100" s="5">
        <f t="shared" si="6"/>
        <v>4.4067823839955444E-2</v>
      </c>
      <c r="L100" s="122">
        <v>8863.5507809999999</v>
      </c>
      <c r="M100" s="5">
        <f t="shared" si="7"/>
        <v>7.0618823823323629E-2</v>
      </c>
      <c r="O100" s="122">
        <v>22096.75</v>
      </c>
      <c r="P100" s="5">
        <f t="shared" si="8"/>
        <v>3.3328441087818739E-3</v>
      </c>
    </row>
    <row r="101" spans="2:16" x14ac:dyDescent="0.3">
      <c r="B101" s="120">
        <v>45376</v>
      </c>
      <c r="C101" s="122">
        <v>989.74572799999999</v>
      </c>
      <c r="D101" s="5">
        <f t="shared" si="9"/>
        <v>1.3268029948013904E-2</v>
      </c>
      <c r="F101" s="122">
        <v>12613.099609000001</v>
      </c>
      <c r="G101" s="5">
        <f t="shared" si="5"/>
        <v>2.24460862845135E-2</v>
      </c>
      <c r="I101" s="122">
        <v>1921.349976</v>
      </c>
      <c r="J101" s="5">
        <f t="shared" si="6"/>
        <v>2.2647395087437516E-2</v>
      </c>
      <c r="L101" s="122">
        <v>9071.1640630000002</v>
      </c>
      <c r="M101" s="5">
        <f t="shared" si="7"/>
        <v>2.3423263106366221E-2</v>
      </c>
      <c r="O101" s="122">
        <v>22326.900390999999</v>
      </c>
      <c r="P101" s="5">
        <f t="shared" si="8"/>
        <v>1.0415576544061889E-2</v>
      </c>
    </row>
    <row r="102" spans="2:16" x14ac:dyDescent="0.3">
      <c r="B102" s="120">
        <v>45383</v>
      </c>
      <c r="C102" s="122">
        <v>1004.001709</v>
      </c>
      <c r="D102" s="5">
        <f t="shared" si="9"/>
        <v>1.4403680255137274E-2</v>
      </c>
      <c r="F102" s="122">
        <v>12424.650390999999</v>
      </c>
      <c r="G102" s="5">
        <f t="shared" si="5"/>
        <v>-1.4940753965467346E-2</v>
      </c>
      <c r="I102" s="122">
        <v>2013.3000489999999</v>
      </c>
      <c r="J102" s="5">
        <f t="shared" si="6"/>
        <v>4.7857014155967548E-2</v>
      </c>
      <c r="L102" s="122">
        <v>8936.0126949999994</v>
      </c>
      <c r="M102" s="5">
        <f t="shared" si="7"/>
        <v>-1.4899010431446591E-2</v>
      </c>
      <c r="O102" s="122">
        <v>22513.699218999998</v>
      </c>
      <c r="P102" s="5">
        <f t="shared" si="8"/>
        <v>8.3665365424077098E-3</v>
      </c>
    </row>
    <row r="103" spans="2:16" x14ac:dyDescent="0.3">
      <c r="B103" s="120">
        <v>45390</v>
      </c>
      <c r="C103" s="122">
        <v>1015.366638</v>
      </c>
      <c r="D103" s="5">
        <f t="shared" si="9"/>
        <v>1.1319631130229491E-2</v>
      </c>
      <c r="F103" s="122">
        <v>12274.599609000001</v>
      </c>
      <c r="G103" s="5">
        <f t="shared" si="5"/>
        <v>-1.2076861503378056E-2</v>
      </c>
      <c r="I103" s="122">
        <v>2070.9499510000001</v>
      </c>
      <c r="J103" s="5">
        <f t="shared" si="6"/>
        <v>2.8634530669501945E-2</v>
      </c>
      <c r="L103" s="122">
        <v>8997.5625</v>
      </c>
      <c r="M103" s="5">
        <f t="shared" si="7"/>
        <v>6.887837685642495E-3</v>
      </c>
      <c r="O103" s="122">
        <v>22519.400390999999</v>
      </c>
      <c r="P103" s="5">
        <f t="shared" si="8"/>
        <v>2.5323124132303754E-4</v>
      </c>
    </row>
    <row r="104" spans="2:16" x14ac:dyDescent="0.3">
      <c r="B104" s="120">
        <v>45397</v>
      </c>
      <c r="C104" s="122">
        <v>960.23681599999998</v>
      </c>
      <c r="D104" s="5">
        <f t="shared" si="9"/>
        <v>-5.4295482968192643E-2</v>
      </c>
      <c r="F104" s="122">
        <v>12710.650390999999</v>
      </c>
      <c r="G104" s="5">
        <f t="shared" si="5"/>
        <v>3.5524644052770338E-2</v>
      </c>
      <c r="I104" s="122">
        <v>2082.8999020000001</v>
      </c>
      <c r="J104" s="5">
        <f t="shared" si="6"/>
        <v>5.7702751310961808E-3</v>
      </c>
      <c r="L104" s="122">
        <v>8724.5322269999997</v>
      </c>
      <c r="M104" s="5">
        <f t="shared" si="7"/>
        <v>-3.03449154145915E-2</v>
      </c>
      <c r="O104" s="122">
        <v>22147</v>
      </c>
      <c r="P104" s="5">
        <f t="shared" si="8"/>
        <v>-1.6536869744934735E-2</v>
      </c>
    </row>
    <row r="105" spans="2:16" x14ac:dyDescent="0.3">
      <c r="B105" s="120">
        <v>45404</v>
      </c>
      <c r="C105" s="122">
        <v>996.42511000000002</v>
      </c>
      <c r="D105" s="5">
        <f t="shared" si="9"/>
        <v>3.7686842867312054E-2</v>
      </c>
      <c r="F105" s="122">
        <v>12687.049805000001</v>
      </c>
      <c r="G105" s="5">
        <f t="shared" si="5"/>
        <v>-1.8567567570507704E-3</v>
      </c>
      <c r="I105" s="122">
        <v>2044.900024</v>
      </c>
      <c r="J105" s="5">
        <f t="shared" si="6"/>
        <v>-1.8243736995480431E-2</v>
      </c>
      <c r="L105" s="122">
        <v>8893.2109380000002</v>
      </c>
      <c r="M105" s="5">
        <f t="shared" si="7"/>
        <v>1.9333840097236044E-2</v>
      </c>
      <c r="O105" s="122">
        <v>22419.949218999998</v>
      </c>
      <c r="P105" s="5">
        <f t="shared" si="8"/>
        <v>1.2324433060911133E-2</v>
      </c>
    </row>
    <row r="106" spans="2:16" x14ac:dyDescent="0.3">
      <c r="B106" s="120">
        <v>45411</v>
      </c>
      <c r="C106" s="122">
        <v>1010.282349</v>
      </c>
      <c r="D106" s="5">
        <f t="shared" si="9"/>
        <v>1.3906954833765584E-2</v>
      </c>
      <c r="F106" s="122">
        <v>12491.150390999999</v>
      </c>
      <c r="G106" s="5">
        <f t="shared" si="5"/>
        <v>-1.5440895796184018E-2</v>
      </c>
      <c r="I106" s="122">
        <v>2193</v>
      </c>
      <c r="J106" s="5">
        <f t="shared" si="6"/>
        <v>7.2424066830564904E-2</v>
      </c>
      <c r="L106" s="122">
        <v>9025.3857420000004</v>
      </c>
      <c r="M106" s="5">
        <f t="shared" si="7"/>
        <v>1.486243887854144E-2</v>
      </c>
      <c r="O106" s="122">
        <v>22475.849609000001</v>
      </c>
      <c r="P106" s="5">
        <f t="shared" si="8"/>
        <v>2.4933325875970969E-3</v>
      </c>
    </row>
    <row r="107" spans="2:16" x14ac:dyDescent="0.3">
      <c r="B107" s="120">
        <v>45418</v>
      </c>
      <c r="C107" s="122">
        <v>1043.4300539999999</v>
      </c>
      <c r="D107" s="5">
        <f t="shared" si="9"/>
        <v>3.2810337657398714E-2</v>
      </c>
      <c r="F107" s="122">
        <v>12676.299805000001</v>
      </c>
      <c r="G107" s="5">
        <f t="shared" si="5"/>
        <v>1.4822446948793644E-2</v>
      </c>
      <c r="I107" s="122">
        <v>2193.0500489999999</v>
      </c>
      <c r="J107" s="5">
        <f t="shared" si="6"/>
        <v>2.2822161422686449E-5</v>
      </c>
      <c r="L107" s="122">
        <v>8910.71875</v>
      </c>
      <c r="M107" s="5">
        <f t="shared" si="7"/>
        <v>-1.2704940849939894E-2</v>
      </c>
      <c r="O107" s="122">
        <v>22055.199218999998</v>
      </c>
      <c r="P107" s="5">
        <f t="shared" si="8"/>
        <v>-1.8715661357315838E-2</v>
      </c>
    </row>
    <row r="108" spans="2:16" x14ac:dyDescent="0.3">
      <c r="B108" s="120">
        <v>45425</v>
      </c>
      <c r="C108" s="122">
        <v>951.01525900000001</v>
      </c>
      <c r="D108" s="5">
        <f t="shared" si="9"/>
        <v>-8.8568270240757196E-2</v>
      </c>
      <c r="F108" s="122">
        <v>12603.349609000001</v>
      </c>
      <c r="G108" s="5">
        <f t="shared" si="5"/>
        <v>-5.754849374201898E-3</v>
      </c>
      <c r="I108" s="122">
        <v>2503.6999510000001</v>
      </c>
      <c r="J108" s="5">
        <f t="shared" si="6"/>
        <v>0.1416519892656587</v>
      </c>
      <c r="L108" s="122">
        <v>8741.8408199999994</v>
      </c>
      <c r="M108" s="5">
        <f t="shared" si="7"/>
        <v>-1.8952223130148771E-2</v>
      </c>
      <c r="O108" s="122">
        <v>22466.099609000001</v>
      </c>
      <c r="P108" s="5">
        <f t="shared" si="8"/>
        <v>1.8630545383875763E-2</v>
      </c>
    </row>
    <row r="109" spans="2:16" x14ac:dyDescent="0.3">
      <c r="B109" s="120">
        <v>45432</v>
      </c>
      <c r="C109" s="122">
        <v>957.59491000000003</v>
      </c>
      <c r="D109" s="5">
        <f t="shared" si="9"/>
        <v>6.9185546054419955E-3</v>
      </c>
      <c r="F109" s="122">
        <v>12999.599609000001</v>
      </c>
      <c r="G109" s="5">
        <f t="shared" si="5"/>
        <v>3.144005461191357E-2</v>
      </c>
      <c r="I109" s="122">
        <v>2579.75</v>
      </c>
      <c r="J109" s="5">
        <f t="shared" si="6"/>
        <v>3.0375065099004672E-2</v>
      </c>
      <c r="L109" s="122">
        <v>8879.421875</v>
      </c>
      <c r="M109" s="5">
        <f t="shared" si="7"/>
        <v>1.573822468663999E-2</v>
      </c>
      <c r="O109" s="122">
        <v>22957.099609000001</v>
      </c>
      <c r="P109" s="5">
        <f t="shared" si="8"/>
        <v>2.1855151029567477E-2</v>
      </c>
    </row>
    <row r="110" spans="2:16" x14ac:dyDescent="0.3">
      <c r="B110" s="120">
        <v>45439</v>
      </c>
      <c r="C110" s="122">
        <v>920.16046100000005</v>
      </c>
      <c r="D110" s="5">
        <f t="shared" si="9"/>
        <v>-3.9092155366615255E-2</v>
      </c>
      <c r="F110" s="122">
        <v>12397.450194999999</v>
      </c>
      <c r="G110" s="5">
        <f t="shared" si="5"/>
        <v>-4.6320612335099542E-2</v>
      </c>
      <c r="I110" s="122">
        <v>2506.25</v>
      </c>
      <c r="J110" s="5">
        <f t="shared" si="6"/>
        <v>-2.8491132861711455E-2</v>
      </c>
      <c r="L110" s="122">
        <v>9009.2177730000003</v>
      </c>
      <c r="M110" s="5">
        <f t="shared" si="7"/>
        <v>1.4617606847292741E-2</v>
      </c>
      <c r="O110" s="122">
        <v>22530.699218999998</v>
      </c>
      <c r="P110" s="5">
        <f t="shared" si="8"/>
        <v>-1.8573791866671074E-2</v>
      </c>
    </row>
    <row r="111" spans="2:16" x14ac:dyDescent="0.3">
      <c r="B111" s="120">
        <v>45446</v>
      </c>
      <c r="C111" s="122">
        <v>967.51434300000005</v>
      </c>
      <c r="D111" s="5">
        <f t="shared" si="9"/>
        <v>5.1462635058821649E-2</v>
      </c>
      <c r="F111" s="122">
        <v>12813.799805000001</v>
      </c>
      <c r="G111" s="5">
        <f t="shared" si="5"/>
        <v>3.3583487205128604E-2</v>
      </c>
      <c r="I111" s="122">
        <v>2857.4499510000001</v>
      </c>
      <c r="J111" s="5">
        <f t="shared" si="6"/>
        <v>0.1401296562593517</v>
      </c>
      <c r="L111" s="122">
        <v>9644.8017579999996</v>
      </c>
      <c r="M111" s="5">
        <f t="shared" si="7"/>
        <v>7.0548187535748097E-2</v>
      </c>
      <c r="O111" s="122">
        <v>23290.150390999999</v>
      </c>
      <c r="P111" s="5">
        <f t="shared" si="8"/>
        <v>3.3707394724774575E-2</v>
      </c>
    </row>
    <row r="112" spans="2:16" x14ac:dyDescent="0.3">
      <c r="B112" s="120">
        <v>45453</v>
      </c>
      <c r="C112" s="122">
        <v>990.34387200000003</v>
      </c>
      <c r="D112" s="5">
        <f t="shared" si="9"/>
        <v>2.359606259604563E-2</v>
      </c>
      <c r="F112" s="122">
        <v>12851.200194999999</v>
      </c>
      <c r="G112" s="5">
        <f t="shared" si="5"/>
        <v>2.9187587264634107E-3</v>
      </c>
      <c r="I112" s="122">
        <v>2928.6000979999999</v>
      </c>
      <c r="J112" s="5">
        <f t="shared" si="6"/>
        <v>2.4899875140455219E-2</v>
      </c>
      <c r="L112" s="122">
        <v>9878.7988280000009</v>
      </c>
      <c r="M112" s="5">
        <f t="shared" si="7"/>
        <v>2.4261470154729681E-2</v>
      </c>
      <c r="O112" s="122">
        <v>23465.599609000001</v>
      </c>
      <c r="P112" s="5">
        <f t="shared" si="8"/>
        <v>7.5331938632650086E-3</v>
      </c>
    </row>
    <row r="113" spans="2:16" x14ac:dyDescent="0.3">
      <c r="B113" s="120">
        <v>45460</v>
      </c>
      <c r="C113" s="122">
        <v>985.90002400000003</v>
      </c>
      <c r="D113" s="5">
        <f t="shared" si="9"/>
        <v>-4.4871767530864082E-3</v>
      </c>
      <c r="F113" s="122">
        <v>12559.950194999999</v>
      </c>
      <c r="G113" s="5">
        <f t="shared" si="5"/>
        <v>-2.2663252893166841E-2</v>
      </c>
      <c r="I113" s="122">
        <v>2961.8999020000001</v>
      </c>
      <c r="J113" s="5">
        <f t="shared" si="6"/>
        <v>1.137055346776128E-2</v>
      </c>
      <c r="L113" s="122">
        <v>9917.3496090000008</v>
      </c>
      <c r="M113" s="5">
        <f t="shared" si="7"/>
        <v>3.9023753465585731E-3</v>
      </c>
      <c r="O113" s="122">
        <v>23557.900390999999</v>
      </c>
      <c r="P113" s="5">
        <f t="shared" si="8"/>
        <v>3.933450818985218E-3</v>
      </c>
    </row>
    <row r="114" spans="2:16" x14ac:dyDescent="0.3">
      <c r="B114" s="120">
        <v>45462</v>
      </c>
      <c r="C114" s="122">
        <v>977.34997599999997</v>
      </c>
      <c r="D114" s="5">
        <f t="shared" si="9"/>
        <v>-8.6723276111818626E-3</v>
      </c>
      <c r="F114" s="122">
        <v>12235.849609000001</v>
      </c>
      <c r="G114" s="5">
        <f t="shared" si="5"/>
        <v>-2.5804289106896361E-2</v>
      </c>
      <c r="I114" s="122">
        <v>2933.8500979999999</v>
      </c>
      <c r="J114" s="5">
        <f t="shared" si="6"/>
        <v>-9.470206599844877E-3</v>
      </c>
      <c r="L114" s="122">
        <v>9687.75</v>
      </c>
      <c r="M114" s="5">
        <f t="shared" si="7"/>
        <v>-2.3151307360551154E-2</v>
      </c>
      <c r="O114" s="122">
        <v>23516</v>
      </c>
      <c r="P114" s="5">
        <f t="shared" si="8"/>
        <v>-1.7786131320941534E-3</v>
      </c>
    </row>
  </sheetData>
  <mergeCells count="6">
    <mergeCell ref="L7:M7"/>
    <mergeCell ref="O7:P7"/>
    <mergeCell ref="B6:P6"/>
    <mergeCell ref="C7:D7"/>
    <mergeCell ref="F7:G7"/>
    <mergeCell ref="I7:J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B7DB-8B12-4A64-A0AA-F27FB49FAB4C}">
  <sheetPr>
    <tabColor theme="0" tint="-0.34998626667073579"/>
  </sheetPr>
  <dimension ref="B2:Q115"/>
  <sheetViews>
    <sheetView topLeftCell="A67" workbookViewId="0">
      <selection activeCell="G101" sqref="G101"/>
    </sheetView>
  </sheetViews>
  <sheetFormatPr defaultRowHeight="14.4" outlineLevelRow="1" x14ac:dyDescent="0.3"/>
  <cols>
    <col min="2" max="2" width="5.44140625" bestFit="1" customWidth="1"/>
    <col min="3" max="3" width="12.44140625" bestFit="1" customWidth="1"/>
    <col min="4" max="4" width="8" bestFit="1" customWidth="1"/>
    <col min="5" max="5" width="13.6640625" bestFit="1" customWidth="1"/>
    <col min="6" max="6" width="10.109375" bestFit="1" customWidth="1"/>
    <col min="7" max="7" width="8.5546875" bestFit="1" customWidth="1"/>
    <col min="8" max="14" width="7.88671875" bestFit="1" customWidth="1"/>
  </cols>
  <sheetData>
    <row r="2" spans="2:17" outlineLevel="1" x14ac:dyDescent="0.3">
      <c r="C2" s="25">
        <v>41334</v>
      </c>
      <c r="D2" s="25">
        <v>41699</v>
      </c>
      <c r="E2" s="25">
        <v>42064</v>
      </c>
      <c r="F2" s="25">
        <v>42430</v>
      </c>
      <c r="G2" s="25">
        <v>42795</v>
      </c>
      <c r="H2" s="25">
        <v>43160</v>
      </c>
      <c r="I2" s="25">
        <v>43525</v>
      </c>
      <c r="J2" s="25">
        <v>43891</v>
      </c>
      <c r="K2" s="25">
        <v>44256</v>
      </c>
      <c r="L2" s="25">
        <v>44621</v>
      </c>
      <c r="M2" s="25">
        <v>44986</v>
      </c>
      <c r="N2" s="25">
        <v>45352</v>
      </c>
    </row>
    <row r="3" spans="2:17" outlineLevel="1" x14ac:dyDescent="0.3">
      <c r="B3" t="s">
        <v>126</v>
      </c>
      <c r="C3" s="40">
        <v>22163</v>
      </c>
      <c r="D3" s="40">
        <v>36151</v>
      </c>
      <c r="E3" s="40">
        <v>35531</v>
      </c>
      <c r="F3" s="40">
        <v>37900</v>
      </c>
      <c r="G3" s="40">
        <v>30199</v>
      </c>
      <c r="H3" s="40">
        <v>23857</v>
      </c>
      <c r="I3" s="40">
        <v>18891</v>
      </c>
      <c r="J3" s="40">
        <v>26633</v>
      </c>
      <c r="K3" s="40">
        <v>29001</v>
      </c>
      <c r="L3" s="40">
        <v>14283</v>
      </c>
      <c r="M3" s="40">
        <v>35388</v>
      </c>
      <c r="N3" s="40">
        <v>67915</v>
      </c>
    </row>
    <row r="4" spans="2:17" outlineLevel="1" x14ac:dyDescent="0.3">
      <c r="B4" t="s">
        <v>127</v>
      </c>
      <c r="C4" s="40">
        <v>24406</v>
      </c>
      <c r="D4" s="40">
        <v>36303</v>
      </c>
      <c r="E4" s="40">
        <v>43397</v>
      </c>
      <c r="F4" s="40">
        <v>38626</v>
      </c>
      <c r="G4" s="40">
        <v>28840</v>
      </c>
      <c r="H4" s="40">
        <v>33312</v>
      </c>
      <c r="I4" s="40">
        <v>28771</v>
      </c>
      <c r="J4" s="40">
        <v>23352</v>
      </c>
      <c r="K4" s="40">
        <v>31198</v>
      </c>
      <c r="L4" s="40">
        <v>26943</v>
      </c>
      <c r="M4" s="40">
        <v>41694</v>
      </c>
      <c r="N4" s="40">
        <v>65106</v>
      </c>
    </row>
    <row r="5" spans="2:17" outlineLevel="1" x14ac:dyDescent="0.3">
      <c r="B5" t="s">
        <v>78</v>
      </c>
      <c r="C5" s="40">
        <v>-5177</v>
      </c>
      <c r="D5">
        <v>445</v>
      </c>
      <c r="E5" s="40">
        <v>-3179</v>
      </c>
      <c r="F5" s="40">
        <v>-2223</v>
      </c>
      <c r="G5" s="40">
        <v>-4152</v>
      </c>
      <c r="H5" s="40">
        <v>-10688</v>
      </c>
      <c r="I5" s="40">
        <v>-9109</v>
      </c>
      <c r="J5" s="40">
        <v>9950</v>
      </c>
      <c r="K5" s="40">
        <v>-5505</v>
      </c>
      <c r="L5">
        <v>185</v>
      </c>
      <c r="M5" s="40">
        <v>-2213</v>
      </c>
      <c r="N5" s="40">
        <v>-1875</v>
      </c>
    </row>
    <row r="6" spans="2:17" outlineLevel="1" x14ac:dyDescent="0.3">
      <c r="B6" t="s">
        <v>45</v>
      </c>
      <c r="C6" s="40">
        <v>-2656</v>
      </c>
      <c r="D6" s="40">
        <v>-2853</v>
      </c>
      <c r="E6" s="40">
        <v>-3692</v>
      </c>
      <c r="F6" s="40">
        <v>-5743</v>
      </c>
      <c r="G6" s="40">
        <v>-6621</v>
      </c>
      <c r="H6" s="40">
        <v>-3560</v>
      </c>
      <c r="I6" s="40">
        <v>2069</v>
      </c>
      <c r="J6" s="40">
        <v>2326</v>
      </c>
      <c r="K6" s="40">
        <v>3814</v>
      </c>
      <c r="L6">
        <v>472</v>
      </c>
      <c r="M6" s="40">
        <v>-5665</v>
      </c>
      <c r="N6" s="40">
        <v>-7265</v>
      </c>
    </row>
    <row r="7" spans="2:17" outlineLevel="1" x14ac:dyDescent="0.3">
      <c r="B7" t="s">
        <v>128</v>
      </c>
      <c r="C7" s="40">
        <v>8132</v>
      </c>
      <c r="D7" s="40">
        <v>4694</v>
      </c>
      <c r="E7" s="40">
        <v>3598</v>
      </c>
      <c r="F7" s="40">
        <v>3947</v>
      </c>
      <c r="G7" s="40">
        <v>9301</v>
      </c>
      <c r="H7" s="40">
        <v>7320</v>
      </c>
      <c r="I7" s="40">
        <v>-4692</v>
      </c>
      <c r="J7" s="40">
        <v>-8085</v>
      </c>
      <c r="K7" s="40">
        <v>5748</v>
      </c>
      <c r="L7" s="40">
        <v>-7012</v>
      </c>
      <c r="M7" s="40">
        <v>6945</v>
      </c>
      <c r="N7" s="40">
        <v>13706</v>
      </c>
    </row>
    <row r="8" spans="2:17" outlineLevel="1" x14ac:dyDescent="0.3">
      <c r="B8" t="s">
        <v>129</v>
      </c>
      <c r="C8">
        <v>0</v>
      </c>
      <c r="D8">
        <v>0</v>
      </c>
      <c r="E8">
        <v>0</v>
      </c>
      <c r="F8">
        <v>-520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 s="40"/>
    </row>
    <row r="9" spans="2:17" outlineLevel="1" x14ac:dyDescent="0.3">
      <c r="B9" t="s">
        <v>130</v>
      </c>
      <c r="C9">
        <v>-303</v>
      </c>
      <c r="D9" s="40">
        <v>1870</v>
      </c>
      <c r="E9">
        <v>-398</v>
      </c>
      <c r="F9" s="40">
        <v>5852</v>
      </c>
      <c r="G9" s="40">
        <v>4727</v>
      </c>
      <c r="H9">
        <v>494</v>
      </c>
      <c r="I9" s="40">
        <v>4512</v>
      </c>
      <c r="J9">
        <v>875</v>
      </c>
      <c r="K9" s="40">
        <v>-4150</v>
      </c>
      <c r="L9" s="40">
        <v>-4396</v>
      </c>
      <c r="M9" s="40">
        <v>-2194</v>
      </c>
      <c r="N9" s="40">
        <v>2760</v>
      </c>
    </row>
    <row r="10" spans="2:17" outlineLevel="1" x14ac:dyDescent="0.3">
      <c r="B10" t="s">
        <v>131</v>
      </c>
      <c r="C10">
        <v>-3</v>
      </c>
      <c r="D10" s="40">
        <v>4157</v>
      </c>
      <c r="E10" s="40">
        <v>-3672</v>
      </c>
      <c r="F10" s="40">
        <v>1313</v>
      </c>
      <c r="G10" s="40">
        <v>3254</v>
      </c>
      <c r="H10" s="40">
        <v>-6434</v>
      </c>
      <c r="I10" s="40">
        <v>-7221</v>
      </c>
      <c r="J10" s="40">
        <v>5065</v>
      </c>
      <c r="K10">
        <v>-93</v>
      </c>
      <c r="L10" s="40">
        <v>-10750</v>
      </c>
      <c r="M10" s="40">
        <v>-3127</v>
      </c>
      <c r="N10" s="40">
        <v>7325</v>
      </c>
    </row>
    <row r="11" spans="2:17" outlineLevel="1" x14ac:dyDescent="0.3">
      <c r="B11" t="s">
        <v>132</v>
      </c>
      <c r="C11" s="40">
        <v>-2240</v>
      </c>
      <c r="D11" s="40">
        <v>-4308</v>
      </c>
      <c r="E11" s="40">
        <v>-4194</v>
      </c>
      <c r="F11" s="40">
        <v>-2040</v>
      </c>
      <c r="G11" s="40">
        <v>-1895</v>
      </c>
      <c r="H11" s="40">
        <v>-3021</v>
      </c>
      <c r="I11" s="40">
        <v>-2659</v>
      </c>
      <c r="J11" s="40">
        <v>-1785</v>
      </c>
      <c r="K11" s="40">
        <v>-2105</v>
      </c>
      <c r="L11" s="40">
        <v>-1910</v>
      </c>
      <c r="M11" s="40">
        <v>-3179</v>
      </c>
      <c r="N11" s="40">
        <v>-4516</v>
      </c>
    </row>
    <row r="12" spans="2:17" x14ac:dyDescent="0.3"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</row>
    <row r="13" spans="2:17" x14ac:dyDescent="0.3">
      <c r="B13" t="s">
        <v>133</v>
      </c>
      <c r="C13" s="40">
        <v>-22969</v>
      </c>
      <c r="D13" s="40">
        <v>-27991</v>
      </c>
      <c r="E13" s="40">
        <v>-36232</v>
      </c>
      <c r="F13" s="40">
        <v>-36694</v>
      </c>
      <c r="G13" s="40">
        <v>-39571</v>
      </c>
      <c r="H13" s="40">
        <v>-25139</v>
      </c>
      <c r="I13" s="40">
        <v>-20878</v>
      </c>
      <c r="J13" s="40">
        <v>-33115</v>
      </c>
      <c r="K13" s="40">
        <v>-25672</v>
      </c>
      <c r="L13" s="40">
        <v>-4444</v>
      </c>
      <c r="M13" s="40">
        <v>-15417</v>
      </c>
      <c r="N13" s="40">
        <v>-22782</v>
      </c>
    </row>
    <row r="14" spans="2:17" x14ac:dyDescent="0.3">
      <c r="B14" t="s">
        <v>134</v>
      </c>
      <c r="C14" s="40">
        <v>-18863</v>
      </c>
      <c r="D14" s="40">
        <v>-26975</v>
      </c>
      <c r="E14" s="40">
        <v>-31962</v>
      </c>
      <c r="F14" s="40">
        <v>-31503</v>
      </c>
      <c r="G14" s="40">
        <v>-16072</v>
      </c>
      <c r="H14" s="40">
        <v>-35079</v>
      </c>
      <c r="I14" s="40">
        <v>-35304</v>
      </c>
      <c r="J14" s="40">
        <v>-29702</v>
      </c>
      <c r="K14" s="40">
        <v>-20205</v>
      </c>
      <c r="L14" s="40">
        <v>-15168</v>
      </c>
      <c r="M14" s="40">
        <v>-19230</v>
      </c>
      <c r="N14" s="40">
        <v>-31414</v>
      </c>
    </row>
    <row r="15" spans="2:17" x14ac:dyDescent="0.3">
      <c r="B15" t="s">
        <v>135</v>
      </c>
      <c r="C15">
        <v>37</v>
      </c>
      <c r="D15">
        <v>50</v>
      </c>
      <c r="E15">
        <v>74</v>
      </c>
      <c r="F15">
        <v>59</v>
      </c>
      <c r="G15">
        <v>53</v>
      </c>
      <c r="H15">
        <v>30</v>
      </c>
      <c r="I15">
        <v>67</v>
      </c>
      <c r="J15">
        <v>171</v>
      </c>
      <c r="K15">
        <v>351</v>
      </c>
      <c r="L15">
        <v>230</v>
      </c>
      <c r="M15">
        <v>285</v>
      </c>
      <c r="N15">
        <v>231</v>
      </c>
    </row>
    <row r="16" spans="2:17" x14ac:dyDescent="0.3">
      <c r="B16" t="s">
        <v>136</v>
      </c>
      <c r="C16">
        <v>73</v>
      </c>
      <c r="D16">
        <v>-429</v>
      </c>
      <c r="E16" s="40">
        <v>-5461</v>
      </c>
      <c r="F16" s="40">
        <v>-4728</v>
      </c>
      <c r="G16">
        <v>-6</v>
      </c>
      <c r="H16">
        <v>-329</v>
      </c>
      <c r="I16">
        <v>-130</v>
      </c>
      <c r="J16" s="40">
        <v>-1439</v>
      </c>
      <c r="K16" s="40">
        <v>-7530</v>
      </c>
      <c r="L16" s="40">
        <v>-3008</v>
      </c>
      <c r="M16">
        <v>-50</v>
      </c>
      <c r="N16">
        <v>-74</v>
      </c>
    </row>
    <row r="17" spans="2:14" x14ac:dyDescent="0.3">
      <c r="B17" t="s">
        <v>137</v>
      </c>
      <c r="C17">
        <v>34</v>
      </c>
      <c r="D17">
        <v>4</v>
      </c>
      <c r="E17">
        <v>42</v>
      </c>
      <c r="F17">
        <v>89</v>
      </c>
      <c r="G17" s="40">
        <v>1965</v>
      </c>
      <c r="H17" s="40">
        <v>2381</v>
      </c>
      <c r="I17" s="40">
        <v>5644</v>
      </c>
      <c r="J17">
        <v>21</v>
      </c>
      <c r="K17">
        <v>226</v>
      </c>
      <c r="L17">
        <v>104</v>
      </c>
      <c r="M17" s="40">
        <v>6895</v>
      </c>
      <c r="N17" s="40">
        <v>10820</v>
      </c>
    </row>
    <row r="18" spans="2:14" x14ac:dyDescent="0.3">
      <c r="B18" t="s">
        <v>138</v>
      </c>
      <c r="C18">
        <v>713</v>
      </c>
      <c r="D18">
        <v>653</v>
      </c>
      <c r="E18">
        <v>698</v>
      </c>
      <c r="F18">
        <v>731</v>
      </c>
      <c r="G18">
        <v>638</v>
      </c>
      <c r="H18">
        <v>690</v>
      </c>
      <c r="I18">
        <v>761</v>
      </c>
      <c r="J18" s="40">
        <v>1104</v>
      </c>
      <c r="K18">
        <v>428</v>
      </c>
      <c r="L18">
        <v>653</v>
      </c>
      <c r="M18">
        <v>973</v>
      </c>
      <c r="N18" s="40">
        <v>2493</v>
      </c>
    </row>
    <row r="19" spans="2:14" x14ac:dyDescent="0.3">
      <c r="B19" t="s">
        <v>139</v>
      </c>
      <c r="C19">
        <v>95</v>
      </c>
      <c r="D19">
        <v>40</v>
      </c>
      <c r="E19">
        <v>80</v>
      </c>
      <c r="F19">
        <v>58</v>
      </c>
      <c r="G19">
        <v>620</v>
      </c>
      <c r="H19" s="40">
        <v>1797</v>
      </c>
      <c r="I19">
        <v>232</v>
      </c>
      <c r="J19">
        <v>21</v>
      </c>
      <c r="K19">
        <v>18</v>
      </c>
      <c r="L19">
        <v>32</v>
      </c>
      <c r="M19">
        <v>46</v>
      </c>
      <c r="N19">
        <v>47</v>
      </c>
    </row>
    <row r="20" spans="2:14" x14ac:dyDescent="0.3">
      <c r="B20" t="s">
        <v>140</v>
      </c>
      <c r="C20">
        <v>0</v>
      </c>
      <c r="D20">
        <v>0</v>
      </c>
      <c r="E20">
        <v>-160</v>
      </c>
      <c r="F20">
        <v>0</v>
      </c>
      <c r="G20">
        <v>-107</v>
      </c>
      <c r="H20">
        <v>-4</v>
      </c>
      <c r="I20">
        <v>-9</v>
      </c>
      <c r="J20">
        <v>-606</v>
      </c>
      <c r="K20">
        <v>-10</v>
      </c>
      <c r="L20">
        <v>0</v>
      </c>
      <c r="M20">
        <v>0</v>
      </c>
      <c r="N20">
        <v>-150</v>
      </c>
    </row>
    <row r="21" spans="2:14" x14ac:dyDescent="0.3">
      <c r="B21" t="s">
        <v>141</v>
      </c>
      <c r="C21">
        <v>0</v>
      </c>
      <c r="D21">
        <v>0</v>
      </c>
      <c r="E21">
        <v>0</v>
      </c>
      <c r="F21">
        <v>0</v>
      </c>
      <c r="G21">
        <v>0</v>
      </c>
      <c r="H21">
        <v>14</v>
      </c>
      <c r="I21">
        <v>533</v>
      </c>
      <c r="J21">
        <v>0</v>
      </c>
      <c r="K21">
        <v>0</v>
      </c>
      <c r="L21">
        <v>0</v>
      </c>
      <c r="M21">
        <v>19</v>
      </c>
      <c r="N21">
        <v>108</v>
      </c>
    </row>
    <row r="22" spans="2:14" x14ac:dyDescent="0.3">
      <c r="B22" t="s">
        <v>142</v>
      </c>
      <c r="C22">
        <v>0</v>
      </c>
      <c r="D22">
        <v>-185</v>
      </c>
      <c r="E22">
        <v>0</v>
      </c>
      <c r="F22">
        <v>-111</v>
      </c>
      <c r="G22">
        <v>0</v>
      </c>
      <c r="H22">
        <v>0</v>
      </c>
      <c r="I22">
        <v>-8</v>
      </c>
      <c r="J22">
        <v>-27</v>
      </c>
      <c r="K22">
        <v>0</v>
      </c>
      <c r="L22">
        <v>-98</v>
      </c>
      <c r="M22">
        <v>0</v>
      </c>
      <c r="N22">
        <v>0</v>
      </c>
    </row>
    <row r="23" spans="2:14" x14ac:dyDescent="0.3">
      <c r="B23" t="s">
        <v>143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-24</v>
      </c>
    </row>
    <row r="24" spans="2:14" x14ac:dyDescent="0.3">
      <c r="B24" t="s">
        <v>144</v>
      </c>
      <c r="C24" s="40">
        <v>-5103</v>
      </c>
      <c r="D24" s="40">
        <v>-1149</v>
      </c>
      <c r="E24">
        <v>456</v>
      </c>
      <c r="F24" s="40">
        <v>-1289</v>
      </c>
      <c r="G24" s="40">
        <v>-26663</v>
      </c>
      <c r="H24" s="40">
        <v>5360</v>
      </c>
      <c r="I24" s="40">
        <v>7335</v>
      </c>
      <c r="J24" s="40">
        <v>-2659</v>
      </c>
      <c r="K24" s="40">
        <v>1051</v>
      </c>
      <c r="L24" s="40">
        <v>12813</v>
      </c>
      <c r="M24" s="40">
        <v>-4357</v>
      </c>
      <c r="N24" s="40">
        <v>-4817</v>
      </c>
    </row>
    <row r="25" spans="2:14" x14ac:dyDescent="0.3">
      <c r="B25" t="s">
        <v>145</v>
      </c>
      <c r="C25" s="40">
        <v>-1692</v>
      </c>
      <c r="D25" s="40">
        <v>-3883</v>
      </c>
      <c r="E25" s="40">
        <v>5201</v>
      </c>
      <c r="F25" s="40">
        <v>-3795</v>
      </c>
      <c r="G25" s="40">
        <v>6205</v>
      </c>
      <c r="H25" s="40">
        <v>2012</v>
      </c>
      <c r="I25" s="40">
        <v>8830</v>
      </c>
      <c r="J25" s="40">
        <v>3390</v>
      </c>
      <c r="K25" s="40">
        <v>9904</v>
      </c>
      <c r="L25" s="40">
        <v>-3380</v>
      </c>
      <c r="M25" s="40">
        <v>-26243</v>
      </c>
      <c r="N25" s="40">
        <v>-37006</v>
      </c>
    </row>
    <row r="26" spans="2:14" x14ac:dyDescent="0.3">
      <c r="B26" t="s">
        <v>146</v>
      </c>
      <c r="C26">
        <v>1</v>
      </c>
      <c r="D26">
        <v>0</v>
      </c>
      <c r="E26">
        <v>0</v>
      </c>
      <c r="F26" s="40">
        <v>7433</v>
      </c>
      <c r="G26">
        <v>5</v>
      </c>
      <c r="H26">
        <v>0</v>
      </c>
      <c r="I26">
        <v>0</v>
      </c>
      <c r="J26" s="40">
        <v>3889</v>
      </c>
      <c r="K26" s="40">
        <v>2603</v>
      </c>
      <c r="L26">
        <v>19</v>
      </c>
      <c r="M26">
        <v>20</v>
      </c>
      <c r="N26">
        <v>82</v>
      </c>
    </row>
    <row r="27" spans="2:14" x14ac:dyDescent="0.3">
      <c r="B27" t="s">
        <v>147</v>
      </c>
      <c r="C27">
        <v>-97</v>
      </c>
      <c r="D27">
        <v>-658</v>
      </c>
      <c r="E27">
        <v>-744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3">
      <c r="B28" t="s">
        <v>148</v>
      </c>
      <c r="C28" s="40">
        <v>27863</v>
      </c>
      <c r="D28" s="40">
        <v>33258</v>
      </c>
      <c r="E28" s="40">
        <v>36363</v>
      </c>
      <c r="F28" s="40">
        <v>19519</v>
      </c>
      <c r="G28" s="40">
        <v>33390</v>
      </c>
      <c r="H28" s="40">
        <v>37482</v>
      </c>
      <c r="I28" s="40">
        <v>51128</v>
      </c>
      <c r="J28" s="40">
        <v>38297</v>
      </c>
      <c r="K28" s="40">
        <v>46641</v>
      </c>
      <c r="L28" s="40">
        <v>46578</v>
      </c>
      <c r="M28" s="40">
        <v>43934</v>
      </c>
      <c r="N28" s="40">
        <v>18747</v>
      </c>
    </row>
    <row r="29" spans="2:14" x14ac:dyDescent="0.3">
      <c r="B29" t="s">
        <v>149</v>
      </c>
      <c r="C29" s="40">
        <v>-20395</v>
      </c>
      <c r="D29" s="40">
        <v>-29141</v>
      </c>
      <c r="E29" s="40">
        <v>-23332</v>
      </c>
      <c r="F29" s="40">
        <v>-24924</v>
      </c>
      <c r="G29" s="40">
        <v>-21732</v>
      </c>
      <c r="H29" s="40">
        <v>-29964</v>
      </c>
      <c r="I29" s="40">
        <v>-35198</v>
      </c>
      <c r="J29" s="40">
        <v>-29847</v>
      </c>
      <c r="K29" s="40">
        <v>-29709</v>
      </c>
      <c r="L29" s="40">
        <v>-42816</v>
      </c>
      <c r="M29" s="40">
        <v>-62557</v>
      </c>
      <c r="N29" s="40">
        <v>-47332</v>
      </c>
    </row>
    <row r="30" spans="2:14" x14ac:dyDescent="0.3">
      <c r="B30" t="s">
        <v>150</v>
      </c>
      <c r="C30" s="40">
        <v>-4666</v>
      </c>
      <c r="D30" s="40">
        <v>-6171</v>
      </c>
      <c r="E30" s="40">
        <v>-6307</v>
      </c>
      <c r="F30" s="40">
        <v>-5716</v>
      </c>
      <c r="G30" s="40">
        <v>-5336</v>
      </c>
      <c r="H30" s="40">
        <v>-5411</v>
      </c>
      <c r="I30" s="40">
        <v>-7005</v>
      </c>
      <c r="J30" s="40">
        <v>-7518</v>
      </c>
      <c r="K30" s="40">
        <v>-8123</v>
      </c>
      <c r="L30" s="40">
        <v>-9251</v>
      </c>
      <c r="M30" s="40">
        <v>-9336</v>
      </c>
      <c r="N30" s="40">
        <v>-9332</v>
      </c>
    </row>
    <row r="31" spans="2:14" x14ac:dyDescent="0.3">
      <c r="B31" t="s">
        <v>151</v>
      </c>
      <c r="C31" s="40">
        <v>-1551</v>
      </c>
      <c r="D31">
        <v>-722</v>
      </c>
      <c r="E31">
        <v>-720</v>
      </c>
      <c r="F31">
        <v>-108</v>
      </c>
      <c r="G31">
        <v>-121</v>
      </c>
      <c r="H31">
        <v>-96</v>
      </c>
      <c r="I31">
        <v>-95</v>
      </c>
      <c r="J31">
        <v>-57</v>
      </c>
      <c r="K31">
        <v>-30</v>
      </c>
      <c r="L31">
        <v>-100</v>
      </c>
      <c r="M31">
        <v>-141</v>
      </c>
      <c r="N31" s="40">
        <v>-1059</v>
      </c>
    </row>
    <row r="32" spans="2:14" x14ac:dyDescent="0.3">
      <c r="B32" t="s">
        <v>152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40">
        <v>-1346</v>
      </c>
      <c r="K32" s="40">
        <v>-1477</v>
      </c>
      <c r="L32" s="40">
        <v>-1559</v>
      </c>
      <c r="M32" s="40">
        <v>-1517</v>
      </c>
      <c r="N32" s="40">
        <v>-1924</v>
      </c>
    </row>
    <row r="33" spans="2:14" x14ac:dyDescent="0.3">
      <c r="B33" t="s">
        <v>153</v>
      </c>
      <c r="C33" s="40">
        <v>-2849</v>
      </c>
      <c r="D33">
        <v>-450</v>
      </c>
      <c r="E33">
        <v>-57</v>
      </c>
      <c r="F33">
        <v>0</v>
      </c>
      <c r="G33">
        <v>0</v>
      </c>
      <c r="H33">
        <v>0</v>
      </c>
      <c r="I33">
        <v>0</v>
      </c>
      <c r="J33">
        <v>-29</v>
      </c>
      <c r="K33">
        <v>0</v>
      </c>
      <c r="L33" s="40">
        <v>3750</v>
      </c>
      <c r="M33" s="40">
        <v>3355</v>
      </c>
      <c r="N33" s="40">
        <v>3812</v>
      </c>
    </row>
    <row r="34" spans="2:14" x14ac:dyDescent="0.3">
      <c r="B34" t="s">
        <v>35</v>
      </c>
      <c r="C34" s="40">
        <v>-2499</v>
      </c>
      <c r="D34" s="40">
        <v>4277</v>
      </c>
      <c r="E34" s="40">
        <v>4500</v>
      </c>
      <c r="F34" s="40">
        <v>-2589</v>
      </c>
      <c r="G34" s="40">
        <v>-3167</v>
      </c>
      <c r="H34">
        <v>730</v>
      </c>
      <c r="I34" s="40">
        <v>6843</v>
      </c>
      <c r="J34" s="40">
        <v>-3092</v>
      </c>
      <c r="K34" s="40">
        <v>13232</v>
      </c>
      <c r="L34" s="40">
        <v>6459</v>
      </c>
      <c r="M34" s="40">
        <v>-6272</v>
      </c>
      <c r="N34" s="40">
        <v>8128</v>
      </c>
    </row>
    <row r="37" spans="2:14" x14ac:dyDescent="0.3">
      <c r="B37" s="92"/>
      <c r="C37" s="93">
        <v>41334</v>
      </c>
      <c r="D37" s="93">
        <v>41699</v>
      </c>
      <c r="E37" s="93">
        <v>42064</v>
      </c>
      <c r="F37" s="93">
        <v>42430</v>
      </c>
      <c r="G37" s="93">
        <v>42795</v>
      </c>
      <c r="H37" s="93">
        <v>43160</v>
      </c>
      <c r="I37" s="93">
        <v>43525</v>
      </c>
      <c r="J37" s="93">
        <v>43891</v>
      </c>
      <c r="K37" s="93">
        <v>44256</v>
      </c>
      <c r="L37" s="93">
        <v>44621</v>
      </c>
      <c r="M37" s="93">
        <v>44986</v>
      </c>
      <c r="N37" s="93">
        <v>45352</v>
      </c>
    </row>
    <row r="39" spans="2:14" x14ac:dyDescent="0.3">
      <c r="B39" t="s">
        <v>208</v>
      </c>
      <c r="C39">
        <v>638</v>
      </c>
      <c r="D39">
        <v>644</v>
      </c>
      <c r="E39">
        <v>644</v>
      </c>
      <c r="F39">
        <v>679</v>
      </c>
      <c r="G39">
        <v>679</v>
      </c>
      <c r="H39">
        <v>679</v>
      </c>
      <c r="I39">
        <v>679</v>
      </c>
      <c r="J39">
        <v>720</v>
      </c>
      <c r="K39">
        <v>766</v>
      </c>
      <c r="L39">
        <v>766</v>
      </c>
      <c r="M39">
        <v>766</v>
      </c>
      <c r="N39">
        <v>766</v>
      </c>
    </row>
    <row r="40" spans="2:14" x14ac:dyDescent="0.3">
      <c r="B40" t="s">
        <v>25</v>
      </c>
      <c r="C40" s="40">
        <v>36999</v>
      </c>
      <c r="D40" s="40">
        <v>64960</v>
      </c>
      <c r="E40" s="40">
        <v>55618</v>
      </c>
      <c r="F40" s="40">
        <v>78273</v>
      </c>
      <c r="G40" s="40">
        <v>57383</v>
      </c>
      <c r="H40" s="40">
        <v>94749</v>
      </c>
      <c r="I40" s="40">
        <v>59500</v>
      </c>
      <c r="J40" s="40">
        <v>61491</v>
      </c>
      <c r="K40" s="40">
        <v>54481</v>
      </c>
      <c r="L40" s="40">
        <v>43795</v>
      </c>
      <c r="M40" s="40">
        <v>44556</v>
      </c>
      <c r="N40" s="40">
        <v>84152</v>
      </c>
    </row>
    <row r="41" spans="2:14" x14ac:dyDescent="0.3">
      <c r="B41" s="2" t="s">
        <v>209</v>
      </c>
      <c r="C41" s="40">
        <v>53716</v>
      </c>
      <c r="D41" s="40">
        <v>60642</v>
      </c>
      <c r="E41" s="40">
        <v>73610</v>
      </c>
      <c r="F41" s="40">
        <v>69360</v>
      </c>
      <c r="G41" s="40">
        <v>78604</v>
      </c>
      <c r="H41" s="40">
        <v>88950</v>
      </c>
      <c r="I41" s="40">
        <v>106175</v>
      </c>
      <c r="J41" s="40">
        <v>124788</v>
      </c>
      <c r="K41" s="40">
        <v>142131</v>
      </c>
      <c r="L41" s="40">
        <v>146449</v>
      </c>
      <c r="M41" s="40">
        <v>134113</v>
      </c>
      <c r="N41" s="40">
        <v>107262</v>
      </c>
    </row>
    <row r="42" spans="2:14" x14ac:dyDescent="0.3">
      <c r="B42" t="s">
        <v>210</v>
      </c>
      <c r="C42" s="40">
        <v>32155</v>
      </c>
      <c r="D42" s="40">
        <v>45259</v>
      </c>
      <c r="E42" s="40">
        <v>56071</v>
      </c>
      <c r="F42" s="40">
        <v>50510</v>
      </c>
      <c r="G42" s="40">
        <v>60629</v>
      </c>
      <c r="H42" s="40">
        <v>61200</v>
      </c>
      <c r="I42" s="40">
        <v>70818</v>
      </c>
      <c r="J42" s="40">
        <v>83316</v>
      </c>
      <c r="K42" s="40">
        <v>93113</v>
      </c>
      <c r="L42" s="40">
        <v>97759</v>
      </c>
      <c r="M42" s="40">
        <v>88696</v>
      </c>
      <c r="N42" s="40">
        <v>62149</v>
      </c>
    </row>
    <row r="43" spans="2:14" x14ac:dyDescent="0.3">
      <c r="B43" t="s">
        <v>211</v>
      </c>
      <c r="C43" s="40">
        <v>11620</v>
      </c>
      <c r="D43" s="40">
        <v>9696</v>
      </c>
      <c r="E43" s="40">
        <v>13140</v>
      </c>
      <c r="F43" s="40">
        <v>11451</v>
      </c>
      <c r="G43" s="40">
        <v>13860</v>
      </c>
      <c r="H43" s="40">
        <v>16795</v>
      </c>
      <c r="I43" s="40">
        <v>20150</v>
      </c>
      <c r="J43" s="40">
        <v>16363</v>
      </c>
      <c r="K43" s="40">
        <v>42792</v>
      </c>
      <c r="L43" s="40">
        <v>41918</v>
      </c>
      <c r="M43" s="40">
        <v>36965</v>
      </c>
      <c r="N43" s="40">
        <v>36352</v>
      </c>
    </row>
    <row r="44" spans="2:14" x14ac:dyDescent="0.3">
      <c r="B44" t="s">
        <v>212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173</v>
      </c>
      <c r="J44" s="40">
        <v>5977</v>
      </c>
      <c r="K44" s="40">
        <v>6226</v>
      </c>
      <c r="L44" s="40">
        <v>6772</v>
      </c>
      <c r="M44" s="40">
        <v>8453</v>
      </c>
      <c r="N44" s="40">
        <v>8762</v>
      </c>
    </row>
    <row r="45" spans="2:14" x14ac:dyDescent="0.3">
      <c r="B45" t="s">
        <v>213</v>
      </c>
      <c r="C45" s="40">
        <v>9940</v>
      </c>
      <c r="D45" s="40">
        <v>5688</v>
      </c>
      <c r="E45" s="40">
        <v>4399</v>
      </c>
      <c r="F45" s="40">
        <v>7399</v>
      </c>
      <c r="G45" s="40">
        <v>4115</v>
      </c>
      <c r="H45" s="40">
        <v>10956</v>
      </c>
      <c r="I45" s="40">
        <v>15034</v>
      </c>
      <c r="J45" s="40">
        <v>19132</v>
      </c>
      <c r="K45">
        <v>0</v>
      </c>
      <c r="L45">
        <v>0</v>
      </c>
      <c r="M45">
        <v>0</v>
      </c>
      <c r="N45">
        <v>0</v>
      </c>
    </row>
    <row r="46" spans="2:14" x14ac:dyDescent="0.3">
      <c r="B46" t="s">
        <v>214</v>
      </c>
      <c r="C46" s="40">
        <v>76977</v>
      </c>
      <c r="D46" s="40">
        <v>92180</v>
      </c>
      <c r="E46" s="40">
        <v>107442</v>
      </c>
      <c r="F46" s="40">
        <v>114872</v>
      </c>
      <c r="G46" s="40">
        <v>135914</v>
      </c>
      <c r="H46" s="40">
        <v>142813</v>
      </c>
      <c r="I46" s="40">
        <v>139349</v>
      </c>
      <c r="J46" s="40">
        <v>133181</v>
      </c>
      <c r="K46" s="40">
        <v>144193</v>
      </c>
      <c r="L46" s="40">
        <v>138051</v>
      </c>
      <c r="M46" s="40">
        <v>155239</v>
      </c>
      <c r="N46" s="40">
        <v>177340</v>
      </c>
    </row>
    <row r="47" spans="2:14" x14ac:dyDescent="0.3">
      <c r="B47" t="s">
        <v>215</v>
      </c>
      <c r="C47">
        <v>370</v>
      </c>
      <c r="D47">
        <v>421</v>
      </c>
      <c r="E47">
        <v>433</v>
      </c>
      <c r="F47">
        <v>433</v>
      </c>
      <c r="G47">
        <v>453</v>
      </c>
      <c r="H47">
        <v>525</v>
      </c>
      <c r="I47">
        <v>523</v>
      </c>
      <c r="J47">
        <v>814</v>
      </c>
      <c r="K47" s="40">
        <v>1573</v>
      </c>
      <c r="L47" s="40">
        <v>4271</v>
      </c>
      <c r="M47" s="40">
        <v>7278</v>
      </c>
      <c r="N47" s="40">
        <v>8176</v>
      </c>
    </row>
    <row r="48" spans="2:14" x14ac:dyDescent="0.3">
      <c r="B48" t="s">
        <v>216</v>
      </c>
      <c r="C48" s="40">
        <v>44912</v>
      </c>
      <c r="D48" s="40">
        <v>57316</v>
      </c>
      <c r="E48" s="40">
        <v>57407</v>
      </c>
      <c r="F48" s="40">
        <v>61562</v>
      </c>
      <c r="G48" s="40">
        <v>62533</v>
      </c>
      <c r="H48" s="40">
        <v>76940</v>
      </c>
      <c r="I48" s="40">
        <v>71691</v>
      </c>
      <c r="J48" s="40">
        <v>66398</v>
      </c>
      <c r="K48" s="40">
        <v>76040</v>
      </c>
      <c r="L48" s="40">
        <v>69750</v>
      </c>
      <c r="M48" s="40">
        <v>79252</v>
      </c>
      <c r="N48" s="40">
        <v>93979</v>
      </c>
    </row>
    <row r="49" spans="2:14" x14ac:dyDescent="0.3">
      <c r="B49" t="s">
        <v>217</v>
      </c>
      <c r="C49" s="40">
        <v>2067</v>
      </c>
      <c r="D49" s="40">
        <v>3119</v>
      </c>
      <c r="E49" s="40">
        <v>2289</v>
      </c>
      <c r="F49" s="40">
        <v>2165</v>
      </c>
      <c r="G49" s="40">
        <v>1711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2:14" x14ac:dyDescent="0.3">
      <c r="B50" t="s">
        <v>218</v>
      </c>
      <c r="C50" s="40">
        <v>29627</v>
      </c>
      <c r="D50" s="40">
        <v>31325</v>
      </c>
      <c r="E50" s="40">
        <v>47313</v>
      </c>
      <c r="F50" s="40">
        <v>50712</v>
      </c>
      <c r="G50" s="40">
        <v>71218</v>
      </c>
      <c r="H50" s="40">
        <v>65349</v>
      </c>
      <c r="I50" s="40">
        <v>67135</v>
      </c>
      <c r="J50" s="40">
        <v>65969</v>
      </c>
      <c r="K50" s="40">
        <v>66579</v>
      </c>
      <c r="L50" s="40">
        <v>64030</v>
      </c>
      <c r="M50" s="40">
        <v>68710</v>
      </c>
      <c r="N50" s="40">
        <v>75186</v>
      </c>
    </row>
    <row r="51" spans="2:14" s="2" customFormat="1" x14ac:dyDescent="0.3">
      <c r="B51" s="94" t="s">
        <v>219</v>
      </c>
      <c r="C51" s="95">
        <v>168330</v>
      </c>
      <c r="D51" s="95">
        <v>218426</v>
      </c>
      <c r="E51" s="95">
        <v>237315</v>
      </c>
      <c r="F51" s="95">
        <v>263184</v>
      </c>
      <c r="G51" s="95">
        <v>272580</v>
      </c>
      <c r="H51" s="95">
        <v>327192</v>
      </c>
      <c r="I51" s="95">
        <v>305703</v>
      </c>
      <c r="J51" s="95">
        <v>320179</v>
      </c>
      <c r="K51" s="95">
        <v>341570</v>
      </c>
      <c r="L51" s="95">
        <v>329061</v>
      </c>
      <c r="M51" s="95">
        <v>334674</v>
      </c>
      <c r="N51" s="95">
        <v>369521</v>
      </c>
    </row>
    <row r="52" spans="2:14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</row>
    <row r="53" spans="2:14" x14ac:dyDescent="0.3">
      <c r="B53" t="s">
        <v>220</v>
      </c>
      <c r="C53" s="40">
        <v>55512</v>
      </c>
      <c r="D53" s="40">
        <v>69092</v>
      </c>
      <c r="E53" s="40">
        <v>88479</v>
      </c>
      <c r="F53" s="40">
        <v>107232</v>
      </c>
      <c r="G53" s="40">
        <v>95944</v>
      </c>
      <c r="H53" s="40">
        <v>121414</v>
      </c>
      <c r="I53" s="40">
        <v>111234</v>
      </c>
      <c r="J53" s="40">
        <v>127107</v>
      </c>
      <c r="K53" s="40">
        <v>138708</v>
      </c>
      <c r="L53" s="40">
        <v>138855</v>
      </c>
      <c r="M53" s="40">
        <v>132080</v>
      </c>
      <c r="N53" s="40">
        <v>121285</v>
      </c>
    </row>
    <row r="54" spans="2:14" x14ac:dyDescent="0.3">
      <c r="B54" t="s">
        <v>221</v>
      </c>
      <c r="C54" s="40">
        <v>1959</v>
      </c>
      <c r="D54" s="40">
        <v>2296</v>
      </c>
      <c r="E54" s="40">
        <v>2513</v>
      </c>
      <c r="F54" s="40">
        <v>7185</v>
      </c>
      <c r="G54" s="40">
        <v>6762</v>
      </c>
      <c r="H54" s="40">
        <v>7339</v>
      </c>
      <c r="I54" s="40">
        <v>7286</v>
      </c>
      <c r="J54" s="40">
        <v>7675</v>
      </c>
      <c r="K54" s="40">
        <v>7819</v>
      </c>
      <c r="L54" s="40">
        <v>7760</v>
      </c>
      <c r="M54" s="40">
        <v>8045</v>
      </c>
      <c r="N54" s="40">
        <v>7930</v>
      </c>
    </row>
    <row r="55" spans="2:14" x14ac:dyDescent="0.3">
      <c r="B55" t="s">
        <v>222</v>
      </c>
      <c r="C55" s="40">
        <v>8323</v>
      </c>
      <c r="D55" s="40">
        <v>11010</v>
      </c>
      <c r="E55" s="40">
        <v>13396</v>
      </c>
      <c r="F55" s="40">
        <v>12343</v>
      </c>
      <c r="G55" s="40">
        <v>12164</v>
      </c>
      <c r="H55" s="40">
        <v>16552</v>
      </c>
      <c r="I55" s="40">
        <v>22938</v>
      </c>
      <c r="J55" s="40">
        <v>32665</v>
      </c>
      <c r="K55" s="40">
        <v>35537</v>
      </c>
      <c r="L55" s="40">
        <v>36466</v>
      </c>
      <c r="M55" s="40">
        <v>38674</v>
      </c>
      <c r="N55" s="40">
        <v>40584</v>
      </c>
    </row>
    <row r="56" spans="2:14" x14ac:dyDescent="0.3">
      <c r="B56" t="s">
        <v>223</v>
      </c>
      <c r="C56" s="40">
        <v>63478</v>
      </c>
      <c r="D56" s="40">
        <v>79505</v>
      </c>
      <c r="E56" s="40">
        <v>88943</v>
      </c>
      <c r="F56" s="40">
        <v>80063</v>
      </c>
      <c r="G56" s="40">
        <v>79976</v>
      </c>
      <c r="H56" s="40">
        <v>100226</v>
      </c>
      <c r="I56" s="40">
        <v>109415</v>
      </c>
      <c r="J56" s="40">
        <v>124158</v>
      </c>
      <c r="K56" s="40">
        <v>138868</v>
      </c>
      <c r="L56" s="40">
        <v>148585</v>
      </c>
      <c r="M56" s="40">
        <v>153672</v>
      </c>
      <c r="N56" s="40">
        <v>151878</v>
      </c>
    </row>
    <row r="57" spans="2:14" x14ac:dyDescent="0.3">
      <c r="B57" t="s">
        <v>224</v>
      </c>
      <c r="C57">
        <v>0</v>
      </c>
      <c r="D57">
        <v>0</v>
      </c>
      <c r="E57">
        <v>482</v>
      </c>
      <c r="F57">
        <v>498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2:14" x14ac:dyDescent="0.3">
      <c r="B58" t="s">
        <v>225</v>
      </c>
      <c r="C58">
        <v>928</v>
      </c>
      <c r="D58" s="40">
        <v>1126</v>
      </c>
      <c r="E58" s="40">
        <v>1364</v>
      </c>
      <c r="F58" s="40">
        <v>1634</v>
      </c>
      <c r="G58" s="40">
        <v>1767</v>
      </c>
      <c r="H58" s="40">
        <v>1943</v>
      </c>
      <c r="I58" s="40">
        <v>2335</v>
      </c>
      <c r="J58" s="40">
        <v>3054</v>
      </c>
      <c r="K58" s="40">
        <v>3172</v>
      </c>
      <c r="L58" s="40">
        <v>3383</v>
      </c>
      <c r="M58" s="40">
        <v>3499</v>
      </c>
      <c r="N58" s="40">
        <v>3667</v>
      </c>
    </row>
    <row r="59" spans="2:14" x14ac:dyDescent="0.3">
      <c r="B59" t="s">
        <v>226</v>
      </c>
      <c r="C59">
        <v>710</v>
      </c>
      <c r="D59" s="40">
        <v>1011</v>
      </c>
      <c r="E59" s="40">
        <v>1149</v>
      </c>
      <c r="F59" s="40">
        <v>1241</v>
      </c>
      <c r="G59" s="40">
        <v>1401</v>
      </c>
      <c r="H59" s="40">
        <v>1430</v>
      </c>
      <c r="I59" s="40">
        <v>1626</v>
      </c>
      <c r="J59" s="40">
        <v>1890</v>
      </c>
      <c r="K59" s="40">
        <v>1956</v>
      </c>
      <c r="L59" s="40">
        <v>1984</v>
      </c>
      <c r="M59" s="40">
        <v>2084</v>
      </c>
      <c r="N59" s="40">
        <v>2029</v>
      </c>
    </row>
    <row r="60" spans="2:14" x14ac:dyDescent="0.3">
      <c r="B60" t="s">
        <v>227</v>
      </c>
      <c r="C60">
        <v>251</v>
      </c>
      <c r="D60">
        <v>270</v>
      </c>
      <c r="E60">
        <v>280</v>
      </c>
      <c r="F60">
        <v>280</v>
      </c>
      <c r="G60">
        <v>291</v>
      </c>
      <c r="H60">
        <v>353</v>
      </c>
      <c r="I60">
        <v>387</v>
      </c>
      <c r="J60">
        <v>601</v>
      </c>
      <c r="K60">
        <v>845</v>
      </c>
      <c r="L60">
        <v>725</v>
      </c>
      <c r="M60">
        <v>788</v>
      </c>
      <c r="N60">
        <v>956</v>
      </c>
    </row>
    <row r="61" spans="2:14" x14ac:dyDescent="0.3">
      <c r="B61" t="s">
        <v>228</v>
      </c>
      <c r="C61" s="40">
        <v>7423</v>
      </c>
      <c r="D61" s="40">
        <v>8994</v>
      </c>
      <c r="E61" s="40">
        <v>9580</v>
      </c>
      <c r="F61" s="40">
        <v>58951</v>
      </c>
      <c r="G61" s="40">
        <v>54932</v>
      </c>
      <c r="H61" s="40">
        <v>77870</v>
      </c>
      <c r="I61" s="40">
        <v>80480</v>
      </c>
      <c r="J61" s="40">
        <v>91157</v>
      </c>
      <c r="K61" s="40">
        <v>114809</v>
      </c>
      <c r="L61" s="40">
        <v>114323</v>
      </c>
      <c r="M61" s="40">
        <v>112538</v>
      </c>
      <c r="N61" s="40">
        <v>116714</v>
      </c>
    </row>
    <row r="62" spans="2:14" x14ac:dyDescent="0.3">
      <c r="B62" t="s">
        <v>229</v>
      </c>
      <c r="C62" s="40">
        <v>24161</v>
      </c>
      <c r="D62" s="40">
        <v>33694</v>
      </c>
      <c r="E62" s="40">
        <v>45196</v>
      </c>
      <c r="F62" s="40">
        <v>6746</v>
      </c>
      <c r="G62" s="40">
        <v>6219</v>
      </c>
      <c r="H62" s="40">
        <v>7497</v>
      </c>
      <c r="I62" s="40">
        <v>8049</v>
      </c>
      <c r="J62" s="40">
        <v>9380</v>
      </c>
      <c r="K62" s="40">
        <v>10686</v>
      </c>
      <c r="L62" s="40">
        <v>10870</v>
      </c>
      <c r="M62" s="40">
        <v>11841</v>
      </c>
      <c r="N62" s="40">
        <v>10724</v>
      </c>
    </row>
    <row r="63" spans="2:14" x14ac:dyDescent="0.3">
      <c r="B63" s="94" t="s">
        <v>230</v>
      </c>
      <c r="C63" s="95">
        <v>107234</v>
      </c>
      <c r="D63" s="95">
        <v>137907</v>
      </c>
      <c r="E63" s="95">
        <v>162904</v>
      </c>
      <c r="F63" s="95">
        <v>168941</v>
      </c>
      <c r="G63" s="95">
        <v>163512</v>
      </c>
      <c r="H63" s="95">
        <v>213209</v>
      </c>
      <c r="I63" s="95">
        <v>232517</v>
      </c>
      <c r="J63" s="95">
        <v>270579</v>
      </c>
      <c r="K63" s="95">
        <v>313692</v>
      </c>
      <c r="L63" s="95">
        <v>324096</v>
      </c>
      <c r="M63" s="95">
        <v>331141</v>
      </c>
      <c r="N63" s="95">
        <v>334482</v>
      </c>
    </row>
    <row r="64" spans="2:14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</row>
    <row r="65" spans="2:14" x14ac:dyDescent="0.3">
      <c r="B65" t="s">
        <v>231</v>
      </c>
      <c r="C65" s="40">
        <v>51723</v>
      </c>
      <c r="D65" s="40">
        <v>68815</v>
      </c>
      <c r="E65" s="40">
        <v>74424</v>
      </c>
      <c r="F65" s="40">
        <v>61709</v>
      </c>
      <c r="G65" s="40">
        <v>67568</v>
      </c>
      <c r="H65" s="40">
        <v>91795</v>
      </c>
      <c r="I65" s="40">
        <v>121283</v>
      </c>
      <c r="J65" s="40">
        <v>143471</v>
      </c>
      <c r="K65" s="40">
        <v>174985</v>
      </c>
      <c r="L65" s="40">
        <v>185241</v>
      </c>
      <c r="M65" s="40">
        <v>199062</v>
      </c>
      <c r="N65" s="40">
        <v>213197</v>
      </c>
    </row>
    <row r="66" spans="2:14" x14ac:dyDescent="0.3">
      <c r="B66" t="s">
        <v>232</v>
      </c>
      <c r="C66" s="40">
        <v>18454</v>
      </c>
      <c r="D66" s="40">
        <v>33263</v>
      </c>
      <c r="E66" s="40">
        <v>28640</v>
      </c>
      <c r="F66" s="40">
        <v>25919</v>
      </c>
      <c r="G66" s="40">
        <v>33699</v>
      </c>
      <c r="H66" s="40">
        <v>40034</v>
      </c>
      <c r="I66" s="40">
        <v>31884</v>
      </c>
      <c r="J66" s="40">
        <v>35622</v>
      </c>
      <c r="K66" s="40">
        <v>20964</v>
      </c>
      <c r="L66" s="40">
        <v>10251</v>
      </c>
      <c r="M66" s="40">
        <v>14274</v>
      </c>
      <c r="N66" s="40">
        <v>35698</v>
      </c>
    </row>
    <row r="67" spans="2:14" x14ac:dyDescent="0.3">
      <c r="B67" t="s">
        <v>29</v>
      </c>
      <c r="C67" s="40">
        <v>8765</v>
      </c>
      <c r="D67" s="40">
        <v>10687</v>
      </c>
      <c r="E67" s="40">
        <v>15337</v>
      </c>
      <c r="F67" s="40">
        <v>23767</v>
      </c>
      <c r="G67" s="40">
        <v>20338</v>
      </c>
      <c r="H67" s="40">
        <v>20813</v>
      </c>
      <c r="I67" s="40">
        <v>15771</v>
      </c>
      <c r="J67" s="40">
        <v>16308</v>
      </c>
      <c r="K67" s="40">
        <v>24620</v>
      </c>
      <c r="L67" s="40">
        <v>29380</v>
      </c>
      <c r="M67" s="40">
        <v>26379</v>
      </c>
      <c r="N67" s="40">
        <v>22971</v>
      </c>
    </row>
    <row r="68" spans="2:14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</row>
    <row r="69" spans="2:14" x14ac:dyDescent="0.3">
      <c r="B69" t="s">
        <v>233</v>
      </c>
      <c r="C69" s="40">
        <v>85600</v>
      </c>
      <c r="D69" s="40">
        <v>105385</v>
      </c>
      <c r="E69" s="40">
        <v>104858</v>
      </c>
      <c r="F69" s="40">
        <v>106266</v>
      </c>
      <c r="G69" s="40">
        <v>122600</v>
      </c>
      <c r="H69" s="40">
        <v>144932</v>
      </c>
      <c r="I69" s="40">
        <v>146814</v>
      </c>
      <c r="J69" s="40">
        <v>141141</v>
      </c>
      <c r="K69" s="40">
        <v>157278</v>
      </c>
      <c r="L69" s="40">
        <v>150575</v>
      </c>
      <c r="M69" s="40">
        <v>161941</v>
      </c>
      <c r="N69" s="40">
        <v>189566</v>
      </c>
    </row>
    <row r="70" spans="2:14" x14ac:dyDescent="0.3">
      <c r="B70" t="s">
        <v>234</v>
      </c>
      <c r="C70" s="40">
        <v>21037</v>
      </c>
      <c r="D70" s="40">
        <v>27271</v>
      </c>
      <c r="E70" s="40">
        <v>29272</v>
      </c>
      <c r="F70" s="40">
        <v>32656</v>
      </c>
      <c r="G70" s="40">
        <v>35085</v>
      </c>
      <c r="H70" s="40">
        <v>42138</v>
      </c>
      <c r="I70" s="40">
        <v>39014</v>
      </c>
      <c r="J70" s="40">
        <v>37457</v>
      </c>
      <c r="K70" s="40">
        <v>36089</v>
      </c>
      <c r="L70" s="40">
        <v>35240</v>
      </c>
      <c r="M70" s="40">
        <v>40755</v>
      </c>
      <c r="N70" s="40">
        <v>47788</v>
      </c>
    </row>
    <row r="71" spans="2:14" x14ac:dyDescent="0.3">
      <c r="B71" t="s">
        <v>235</v>
      </c>
      <c r="C71" s="40">
        <v>10960</v>
      </c>
      <c r="D71" s="40">
        <v>10574</v>
      </c>
      <c r="E71" s="40">
        <v>12579</v>
      </c>
      <c r="F71" s="40">
        <v>13571</v>
      </c>
      <c r="G71" s="40">
        <v>14076</v>
      </c>
      <c r="H71" s="40">
        <v>19893</v>
      </c>
      <c r="I71" s="40">
        <v>18996</v>
      </c>
      <c r="J71" s="40">
        <v>11173</v>
      </c>
      <c r="K71" s="40">
        <v>12679</v>
      </c>
      <c r="L71" s="40">
        <v>12442</v>
      </c>
      <c r="M71" s="40">
        <v>15738</v>
      </c>
      <c r="N71" s="40">
        <v>16952</v>
      </c>
    </row>
    <row r="72" spans="2:14" x14ac:dyDescent="0.3">
      <c r="B72" t="s">
        <v>236</v>
      </c>
      <c r="C72">
        <v>821</v>
      </c>
      <c r="D72">
        <v>952</v>
      </c>
      <c r="E72" s="40">
        <v>1001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40">
        <v>1534</v>
      </c>
      <c r="N72" s="40">
        <v>1440</v>
      </c>
    </row>
    <row r="73" spans="2:14" x14ac:dyDescent="0.3">
      <c r="B73" t="s">
        <v>237</v>
      </c>
      <c r="C73" s="40">
        <v>10460</v>
      </c>
      <c r="D73" s="40">
        <v>10244</v>
      </c>
      <c r="E73" s="40">
        <v>12316</v>
      </c>
      <c r="F73" s="40">
        <v>14845</v>
      </c>
      <c r="G73" s="40">
        <v>14076</v>
      </c>
      <c r="H73" s="40">
        <v>19893</v>
      </c>
      <c r="I73" s="40">
        <v>18996</v>
      </c>
      <c r="J73" s="40">
        <v>12287</v>
      </c>
      <c r="K73" s="40">
        <v>13668</v>
      </c>
      <c r="L73" s="40">
        <v>13294</v>
      </c>
      <c r="M73" s="40">
        <v>15129</v>
      </c>
      <c r="N73" s="40">
        <v>16380</v>
      </c>
    </row>
    <row r="74" spans="2:14" x14ac:dyDescent="0.3">
      <c r="B74" t="s">
        <v>238</v>
      </c>
      <c r="C74">
        <v>-322</v>
      </c>
      <c r="D74">
        <v>-622</v>
      </c>
      <c r="E74">
        <v>-738</v>
      </c>
      <c r="F74" s="40">
        <v>-1274</v>
      </c>
      <c r="G74">
        <v>0</v>
      </c>
      <c r="H74">
        <v>0</v>
      </c>
      <c r="I74">
        <v>0</v>
      </c>
      <c r="J74" s="40">
        <v>-1114</v>
      </c>
      <c r="K74">
        <v>-989</v>
      </c>
      <c r="L74">
        <v>-852</v>
      </c>
      <c r="M74">
        <v>-925</v>
      </c>
      <c r="N74">
        <v>-868</v>
      </c>
    </row>
    <row r="75" spans="2:14" x14ac:dyDescent="0.3">
      <c r="B75" t="s">
        <v>239</v>
      </c>
      <c r="C75" s="40">
        <v>21115</v>
      </c>
      <c r="D75" s="40">
        <v>29712</v>
      </c>
      <c r="E75" s="40">
        <v>32116</v>
      </c>
      <c r="F75" s="40">
        <v>30460</v>
      </c>
      <c r="G75" s="40">
        <v>36078</v>
      </c>
      <c r="H75" s="40">
        <v>34614</v>
      </c>
      <c r="I75" s="40">
        <v>32649</v>
      </c>
      <c r="J75" s="40">
        <v>33727</v>
      </c>
      <c r="K75" s="40">
        <v>46792</v>
      </c>
      <c r="L75" s="40">
        <v>40669</v>
      </c>
      <c r="M75" s="40">
        <v>37016</v>
      </c>
      <c r="N75" s="40">
        <v>45807</v>
      </c>
    </row>
    <row r="76" spans="2:14" x14ac:dyDescent="0.3">
      <c r="B76" t="s">
        <v>240</v>
      </c>
      <c r="C76" s="40">
        <v>7041</v>
      </c>
      <c r="D76" s="40">
        <v>9344</v>
      </c>
      <c r="E76" s="40">
        <v>6190</v>
      </c>
      <c r="F76">
        <v>0</v>
      </c>
      <c r="G76">
        <v>0</v>
      </c>
      <c r="H76">
        <v>966</v>
      </c>
      <c r="I76">
        <v>974</v>
      </c>
      <c r="J76">
        <v>39</v>
      </c>
      <c r="K76">
        <v>142</v>
      </c>
      <c r="L76">
        <v>47</v>
      </c>
      <c r="M76">
        <v>119</v>
      </c>
      <c r="N76">
        <v>168</v>
      </c>
    </row>
    <row r="77" spans="2:14" x14ac:dyDescent="0.3">
      <c r="B77" t="s">
        <v>241</v>
      </c>
      <c r="C77" s="40">
        <v>25448</v>
      </c>
      <c r="D77" s="40">
        <v>28484</v>
      </c>
      <c r="E77" s="40">
        <v>24701</v>
      </c>
      <c r="F77" s="40">
        <v>29579</v>
      </c>
      <c r="G77" s="40">
        <v>37361</v>
      </c>
      <c r="H77" s="40">
        <v>47321</v>
      </c>
      <c r="I77" s="40">
        <v>55182</v>
      </c>
      <c r="J77" s="40">
        <v>58746</v>
      </c>
      <c r="K77" s="40">
        <v>61576</v>
      </c>
      <c r="L77" s="40">
        <v>62177</v>
      </c>
      <c r="M77" s="40">
        <v>68313</v>
      </c>
      <c r="N77" s="40">
        <v>78851</v>
      </c>
    </row>
    <row r="78" spans="2:14" s="2" customFormat="1" x14ac:dyDescent="0.3">
      <c r="B78" s="94" t="s">
        <v>242</v>
      </c>
      <c r="C78" s="95">
        <v>168330</v>
      </c>
      <c r="D78" s="95">
        <v>218426</v>
      </c>
      <c r="E78" s="95">
        <v>237315</v>
      </c>
      <c r="F78" s="95">
        <v>263184</v>
      </c>
      <c r="G78" s="95">
        <v>272580</v>
      </c>
      <c r="H78" s="95">
        <v>327192</v>
      </c>
      <c r="I78" s="95">
        <v>305703</v>
      </c>
      <c r="J78" s="95">
        <v>320179</v>
      </c>
      <c r="K78" s="95">
        <v>341570</v>
      </c>
      <c r="L78" s="95">
        <v>329061</v>
      </c>
      <c r="M78" s="95">
        <v>334674</v>
      </c>
      <c r="N78" s="95">
        <v>369521</v>
      </c>
    </row>
    <row r="82" spans="2:16" x14ac:dyDescent="0.3">
      <c r="B82" t="s">
        <v>259</v>
      </c>
      <c r="C82" t="s">
        <v>260</v>
      </c>
      <c r="D82" t="s">
        <v>261</v>
      </c>
      <c r="E82" t="s">
        <v>262</v>
      </c>
      <c r="F82" t="s">
        <v>263</v>
      </c>
      <c r="G82" t="s">
        <v>264</v>
      </c>
    </row>
    <row r="83" spans="2:16" x14ac:dyDescent="0.3">
      <c r="B83">
        <v>1</v>
      </c>
      <c r="C83" t="s">
        <v>265</v>
      </c>
      <c r="D83">
        <v>12242.1</v>
      </c>
      <c r="E83">
        <v>384925.42</v>
      </c>
      <c r="F83">
        <v>118.6</v>
      </c>
      <c r="G83">
        <v>0</v>
      </c>
    </row>
    <row r="84" spans="2:16" x14ac:dyDescent="0.3">
      <c r="B84">
        <v>2</v>
      </c>
      <c r="C84" t="s">
        <v>266</v>
      </c>
      <c r="D84">
        <v>2933.85</v>
      </c>
      <c r="E84">
        <v>365005.23</v>
      </c>
      <c r="F84">
        <v>106625.52</v>
      </c>
      <c r="G84">
        <v>1.61</v>
      </c>
    </row>
    <row r="85" spans="2:16" x14ac:dyDescent="0.3">
      <c r="B85" s="123">
        <v>3</v>
      </c>
      <c r="C85" s="123" t="s">
        <v>267</v>
      </c>
      <c r="D85" s="123">
        <v>977.35</v>
      </c>
      <c r="E85" s="123">
        <v>358267.87</v>
      </c>
      <c r="F85" s="123">
        <v>107262.5</v>
      </c>
      <c r="G85" s="123">
        <v>1.26</v>
      </c>
    </row>
    <row r="86" spans="2:16" x14ac:dyDescent="0.3">
      <c r="B86">
        <v>4</v>
      </c>
      <c r="C86" t="s">
        <v>268</v>
      </c>
      <c r="D86">
        <v>9687.75</v>
      </c>
      <c r="E86">
        <v>270485.55</v>
      </c>
      <c r="F86">
        <v>1911.74</v>
      </c>
      <c r="G86">
        <v>7.0000000000000007E-2</v>
      </c>
    </row>
    <row r="90" spans="2:16" x14ac:dyDescent="0.3">
      <c r="C90" s="148">
        <v>2024</v>
      </c>
      <c r="P90" s="149"/>
    </row>
    <row r="91" spans="2:16" x14ac:dyDescent="0.3">
      <c r="C91" s="148">
        <v>2023</v>
      </c>
      <c r="D91" s="150">
        <v>0.19420000000000001</v>
      </c>
    </row>
    <row r="92" spans="2:16" x14ac:dyDescent="0.3">
      <c r="C92" s="148">
        <v>2022</v>
      </c>
      <c r="D92" s="150">
        <v>4.3200000000000002E-2</v>
      </c>
    </row>
    <row r="93" spans="2:16" x14ac:dyDescent="0.3">
      <c r="C93" s="148">
        <v>2021</v>
      </c>
      <c r="D93" s="150">
        <v>0.2412</v>
      </c>
    </row>
    <row r="94" spans="2:16" x14ac:dyDescent="0.3">
      <c r="C94" s="148">
        <v>2020</v>
      </c>
      <c r="D94" s="150">
        <v>0.14899999999999999</v>
      </c>
    </row>
    <row r="95" spans="2:16" x14ac:dyDescent="0.3">
      <c r="C95" s="148">
        <v>2019</v>
      </c>
      <c r="D95" s="150">
        <v>0.1202</v>
      </c>
    </row>
    <row r="96" spans="2:16" x14ac:dyDescent="0.3">
      <c r="C96" s="148">
        <v>2018</v>
      </c>
      <c r="D96" s="150">
        <v>3.15E-2</v>
      </c>
    </row>
    <row r="97" spans="3:4" x14ac:dyDescent="0.3">
      <c r="C97" s="148">
        <v>2017</v>
      </c>
      <c r="D97" s="150">
        <v>0.28649999999999998</v>
      </c>
    </row>
    <row r="98" spans="3:4" x14ac:dyDescent="0.3">
      <c r="C98" s="148">
        <v>2016</v>
      </c>
      <c r="D98" s="150">
        <v>3.0099999999999998E-2</v>
      </c>
    </row>
    <row r="99" spans="3:4" x14ac:dyDescent="0.3">
      <c r="C99" s="148">
        <v>2015</v>
      </c>
      <c r="D99" s="149" t="s">
        <v>312</v>
      </c>
    </row>
    <row r="100" spans="3:4" x14ac:dyDescent="0.3">
      <c r="C100" s="148">
        <v>2014</v>
      </c>
      <c r="D100" s="150">
        <v>0.31390000000000001</v>
      </c>
    </row>
    <row r="101" spans="3:4" x14ac:dyDescent="0.3">
      <c r="C101" s="148">
        <v>2013</v>
      </c>
      <c r="D101" s="150">
        <v>6.7599999999999993E-2</v>
      </c>
    </row>
    <row r="102" spans="3:4" x14ac:dyDescent="0.3">
      <c r="C102" s="148">
        <v>2012</v>
      </c>
      <c r="D102" s="150">
        <v>0.27700000000000002</v>
      </c>
    </row>
    <row r="103" spans="3:4" x14ac:dyDescent="0.3">
      <c r="C103" s="148">
        <v>2011</v>
      </c>
      <c r="D103" s="149" t="s">
        <v>309</v>
      </c>
    </row>
    <row r="104" spans="3:4" x14ac:dyDescent="0.3">
      <c r="C104" s="148">
        <v>2010</v>
      </c>
      <c r="D104" s="150">
        <v>0.17949999999999999</v>
      </c>
    </row>
    <row r="105" spans="3:4" x14ac:dyDescent="0.3">
      <c r="C105" s="148">
        <v>2009</v>
      </c>
      <c r="D105" s="150">
        <v>0.75760000000000005</v>
      </c>
    </row>
    <row r="106" spans="3:4" x14ac:dyDescent="0.3">
      <c r="C106" s="148">
        <v>2008</v>
      </c>
      <c r="D106" s="149" t="s">
        <v>308</v>
      </c>
    </row>
    <row r="107" spans="3:4" x14ac:dyDescent="0.3">
      <c r="C107" s="148">
        <v>2007</v>
      </c>
      <c r="D107" s="150">
        <v>0.54769999999999996</v>
      </c>
    </row>
    <row r="108" spans="3:4" x14ac:dyDescent="0.3">
      <c r="C108" s="148">
        <v>2006</v>
      </c>
      <c r="D108" s="150">
        <v>0.39829999999999999</v>
      </c>
    </row>
    <row r="109" spans="3:4" x14ac:dyDescent="0.3">
      <c r="C109" s="148">
        <v>2005</v>
      </c>
      <c r="D109" s="150">
        <v>0.3634</v>
      </c>
    </row>
    <row r="110" spans="3:4" x14ac:dyDescent="0.3">
      <c r="C110" s="148">
        <v>2004</v>
      </c>
      <c r="D110" s="150">
        <v>0.10680000000000001</v>
      </c>
    </row>
    <row r="111" spans="3:4" x14ac:dyDescent="0.3">
      <c r="C111" s="148">
        <v>2003</v>
      </c>
      <c r="D111" s="150">
        <v>0.71899999999999997</v>
      </c>
    </row>
    <row r="112" spans="3:4" x14ac:dyDescent="0.3">
      <c r="C112" s="148">
        <v>2002</v>
      </c>
      <c r="D112" s="150">
        <v>3.2500000000000001E-2</v>
      </c>
    </row>
    <row r="113" spans="3:4" x14ac:dyDescent="0.3">
      <c r="C113" s="148">
        <v>2001</v>
      </c>
      <c r="D113" s="149" t="s">
        <v>310</v>
      </c>
    </row>
    <row r="114" spans="3:4" x14ac:dyDescent="0.3">
      <c r="C114" s="148">
        <v>2000</v>
      </c>
      <c r="D114" s="149" t="s">
        <v>311</v>
      </c>
    </row>
    <row r="115" spans="3:4" ht="38.4" x14ac:dyDescent="0.3">
      <c r="C115" s="15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90" zoomScaleNormal="90" zoomScalePageLayoutView="120" workbookViewId="0">
      <pane xSplit="1" ySplit="1" topLeftCell="B11" activePane="bottomRight" state="frozen"/>
      <selection activeCell="C4" sqref="C4"/>
      <selection pane="topRight" activeCell="C4" sqref="C4"/>
      <selection pane="bottomLeft" activeCell="C4" sqref="C4"/>
      <selection pane="bottomRight" activeCell="J35" sqref="J35"/>
    </sheetView>
  </sheetViews>
  <sheetFormatPr defaultColWidth="8.77734375" defaultRowHeight="14.4" x14ac:dyDescent="0.3"/>
  <cols>
    <col min="1" max="1" width="27.6640625" style="4" bestFit="1" customWidth="1"/>
    <col min="2" max="11" width="13.44140625" style="4" bestFit="1" customWidth="1"/>
    <col min="12" max="16384" width="8.77734375" style="4"/>
  </cols>
  <sheetData>
    <row r="1" spans="1:11" s="1" customFormat="1" x14ac:dyDescent="0.3">
      <c r="A1" s="1" t="s">
        <v>0</v>
      </c>
      <c r="B1" s="1" t="s">
        <v>63</v>
      </c>
      <c r="E1" s="199" t="str">
        <f>IF(B2&lt;&gt;B3, "A NEW VERSION OF THE WORKSHEET IS AVAILABLE", "")</f>
        <v/>
      </c>
      <c r="F1" s="199"/>
      <c r="G1" s="199"/>
      <c r="H1" s="199"/>
      <c r="I1" s="199"/>
      <c r="J1" s="199"/>
      <c r="K1" s="199"/>
    </row>
    <row r="2" spans="1:11" x14ac:dyDescent="0.3">
      <c r="A2" s="1" t="s">
        <v>61</v>
      </c>
      <c r="B2" s="4">
        <v>2.1</v>
      </c>
      <c r="E2" s="200" t="s">
        <v>36</v>
      </c>
      <c r="F2" s="200"/>
      <c r="G2" s="200"/>
      <c r="H2" s="200"/>
      <c r="I2" s="200"/>
      <c r="J2" s="200"/>
      <c r="K2" s="200"/>
    </row>
    <row r="3" spans="1:11" x14ac:dyDescent="0.3">
      <c r="A3" s="1" t="s">
        <v>62</v>
      </c>
      <c r="B3" s="4">
        <v>2.1</v>
      </c>
    </row>
    <row r="4" spans="1:11" x14ac:dyDescent="0.3">
      <c r="A4" s="1"/>
    </row>
    <row r="5" spans="1:11" x14ac:dyDescent="0.3">
      <c r="A5" s="1" t="s">
        <v>64</v>
      </c>
    </row>
    <row r="6" spans="1:11" x14ac:dyDescent="0.3">
      <c r="A6" s="4" t="s">
        <v>42</v>
      </c>
      <c r="B6" s="4">
        <f>IF(B9&gt;0, B9/B8, 0)</f>
        <v>366.70076868615348</v>
      </c>
    </row>
    <row r="7" spans="1:11" x14ac:dyDescent="0.3">
      <c r="A7" s="4" t="s">
        <v>31</v>
      </c>
      <c r="B7">
        <v>2</v>
      </c>
    </row>
    <row r="8" spans="1:11" x14ac:dyDescent="0.3">
      <c r="A8" s="4" t="s">
        <v>43</v>
      </c>
      <c r="B8">
        <v>988.7</v>
      </c>
    </row>
    <row r="9" spans="1:11" x14ac:dyDescent="0.3">
      <c r="A9" s="4" t="s">
        <v>79</v>
      </c>
      <c r="B9">
        <v>362557.05</v>
      </c>
    </row>
    <row r="15" spans="1:11" x14ac:dyDescent="0.3">
      <c r="A15" s="1" t="s">
        <v>37</v>
      </c>
    </row>
    <row r="16" spans="1:11" s="18" customFormat="1" x14ac:dyDescent="0.3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3">
      <c r="A17" s="6" t="s">
        <v>6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6" customFormat="1" x14ac:dyDescent="0.3">
      <c r="A18" s="4" t="s">
        <v>80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6" customFormat="1" x14ac:dyDescent="0.3">
      <c r="A19" s="4" t="s">
        <v>81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6" customFormat="1" x14ac:dyDescent="0.3">
      <c r="A20" s="4" t="s">
        <v>82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6" customFormat="1" x14ac:dyDescent="0.3">
      <c r="A21" s="4" t="s">
        <v>83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6" customFormat="1" x14ac:dyDescent="0.3">
      <c r="A22" s="4" t="s">
        <v>84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6" customFormat="1" x14ac:dyDescent="0.3">
      <c r="A23" s="4" t="s">
        <v>85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6" customFormat="1" x14ac:dyDescent="0.3">
      <c r="A24" s="4" t="s">
        <v>86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6" customFormat="1" x14ac:dyDescent="0.3">
      <c r="A25" s="6" t="s">
        <v>9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6" customFormat="1" x14ac:dyDescent="0.3">
      <c r="A26" s="6" t="s">
        <v>10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6" customFormat="1" x14ac:dyDescent="0.3">
      <c r="A27" s="6" t="s">
        <v>11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6" customFormat="1" x14ac:dyDescent="0.3">
      <c r="A28" s="6" t="s">
        <v>12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6" customFormat="1" x14ac:dyDescent="0.3">
      <c r="A29" s="6" t="s">
        <v>13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6" customFormat="1" x14ac:dyDescent="0.3">
      <c r="A30" s="6" t="s">
        <v>14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6" customFormat="1" x14ac:dyDescent="0.3">
      <c r="A31" s="6" t="s">
        <v>70</v>
      </c>
      <c r="C31">
        <v>67.92</v>
      </c>
      <c r="J31">
        <v>766.02</v>
      </c>
      <c r="K31">
        <v>4675.6499999999996</v>
      </c>
    </row>
    <row r="32" spans="1:11" s="6" customFormat="1" x14ac:dyDescent="0.3"/>
    <row r="33" spans="1:11" x14ac:dyDescent="0.3">
      <c r="A33" s="1" t="s">
        <v>191</v>
      </c>
      <c r="B33" s="4">
        <f>B30+B29+B27+B26</f>
        <v>39879.32</v>
      </c>
      <c r="C33" s="4">
        <f t="shared" ref="C33:J33" si="0">C30+C29+C27+C26</f>
        <v>36204.22</v>
      </c>
      <c r="D33" s="4">
        <f t="shared" si="0"/>
        <v>32848.590000000004</v>
      </c>
      <c r="E33" s="4">
        <f t="shared" si="0"/>
        <v>39566.22</v>
      </c>
      <c r="F33" s="4">
        <f t="shared" si="0"/>
        <v>-1914.4500000000007</v>
      </c>
      <c r="G33" s="4">
        <f t="shared" si="0"/>
        <v>16993.16</v>
      </c>
      <c r="H33" s="4">
        <f t="shared" si="0"/>
        <v>20734.349999999999</v>
      </c>
      <c r="I33" s="4">
        <f t="shared" si="0"/>
        <v>26937.37</v>
      </c>
      <c r="J33" s="4">
        <f t="shared" si="0"/>
        <v>38204.19</v>
      </c>
      <c r="K33" s="4">
        <f>K30+K29+K27+K26</f>
        <v>64803.34</v>
      </c>
    </row>
    <row r="34" spans="1:11" x14ac:dyDescent="0.3">
      <c r="A34" s="6"/>
      <c r="F34" s="4">
        <f>F33-F26</f>
        <v>-25505.08</v>
      </c>
      <c r="G34" s="4">
        <f t="shared" ref="G34:K34" si="1">G33-G26</f>
        <v>-4432.2700000000004</v>
      </c>
      <c r="H34" s="4">
        <f t="shared" si="1"/>
        <v>-2812.3600000000006</v>
      </c>
      <c r="I34" s="4">
        <f t="shared" si="1"/>
        <v>2101.6800000000003</v>
      </c>
      <c r="J34" s="4">
        <f t="shared" si="1"/>
        <v>13343.830000000002</v>
      </c>
      <c r="K34" s="4">
        <f t="shared" si="1"/>
        <v>37533.209999999992</v>
      </c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39</v>
      </c>
    </row>
    <row r="41" spans="1:11" s="18" customFormat="1" x14ac:dyDescent="0.3">
      <c r="A41" s="17" t="s">
        <v>38</v>
      </c>
      <c r="B41" s="12">
        <v>44561</v>
      </c>
      <c r="C41" s="12">
        <v>44651</v>
      </c>
      <c r="D41" s="12">
        <v>44742</v>
      </c>
      <c r="E41" s="12">
        <v>44834</v>
      </c>
      <c r="F41" s="12">
        <v>44926</v>
      </c>
      <c r="G41" s="12">
        <v>45016</v>
      </c>
      <c r="H41" s="12">
        <v>45107</v>
      </c>
      <c r="I41" s="12">
        <v>45199</v>
      </c>
      <c r="J41" s="12">
        <v>45291</v>
      </c>
      <c r="K41" s="12">
        <v>45382</v>
      </c>
    </row>
    <row r="42" spans="1:11" s="6" customFormat="1" x14ac:dyDescent="0.3">
      <c r="A42" s="6" t="s">
        <v>6</v>
      </c>
      <c r="B42">
        <v>72229.289999999994</v>
      </c>
      <c r="C42">
        <v>78439.06</v>
      </c>
      <c r="D42">
        <v>71934.66</v>
      </c>
      <c r="E42">
        <v>79611.37</v>
      </c>
      <c r="F42">
        <v>88488.59</v>
      </c>
      <c r="G42">
        <v>105932.35</v>
      </c>
      <c r="H42">
        <v>102236.08</v>
      </c>
      <c r="I42">
        <v>105128.24</v>
      </c>
      <c r="J42">
        <v>110577.14</v>
      </c>
      <c r="K42">
        <v>119986.31</v>
      </c>
    </row>
    <row r="43" spans="1:11" s="6" customFormat="1" x14ac:dyDescent="0.3">
      <c r="A43" s="6" t="s">
        <v>7</v>
      </c>
      <c r="B43">
        <v>65151.27</v>
      </c>
      <c r="C43">
        <v>70156.27</v>
      </c>
      <c r="D43">
        <v>69521.929999999993</v>
      </c>
      <c r="E43">
        <v>74039.06</v>
      </c>
      <c r="F43">
        <v>77668.350000000006</v>
      </c>
      <c r="G43">
        <v>92817.95</v>
      </c>
      <c r="H43">
        <v>89018.36</v>
      </c>
      <c r="I43">
        <v>91361.3</v>
      </c>
      <c r="J43">
        <v>95158.77</v>
      </c>
      <c r="K43">
        <v>102851</v>
      </c>
    </row>
    <row r="44" spans="1:11" s="6" customFormat="1" x14ac:dyDescent="0.3">
      <c r="A44" s="6" t="s">
        <v>9</v>
      </c>
      <c r="B44">
        <v>788.73</v>
      </c>
      <c r="C44">
        <v>188.74</v>
      </c>
      <c r="D44">
        <v>2380.98</v>
      </c>
      <c r="E44">
        <v>1351.14</v>
      </c>
      <c r="F44">
        <v>1129.98</v>
      </c>
      <c r="G44">
        <v>1452.86</v>
      </c>
      <c r="H44">
        <v>683.56</v>
      </c>
      <c r="I44">
        <v>1507.05</v>
      </c>
      <c r="J44">
        <v>1603.76</v>
      </c>
      <c r="K44">
        <v>1618.3</v>
      </c>
    </row>
    <row r="45" spans="1:11" s="6" customFormat="1" x14ac:dyDescent="0.3">
      <c r="A45" s="6" t="s">
        <v>10</v>
      </c>
      <c r="B45">
        <v>6078.13</v>
      </c>
      <c r="C45">
        <v>6432.11</v>
      </c>
      <c r="D45">
        <v>5841.04</v>
      </c>
      <c r="E45">
        <v>5897.34</v>
      </c>
      <c r="F45">
        <v>6071.78</v>
      </c>
      <c r="G45">
        <v>7050.2</v>
      </c>
      <c r="H45">
        <v>6633.18</v>
      </c>
      <c r="I45">
        <v>6636.42</v>
      </c>
      <c r="J45">
        <v>6850</v>
      </c>
      <c r="K45">
        <v>7150.53</v>
      </c>
    </row>
    <row r="46" spans="1:11" s="6" customFormat="1" x14ac:dyDescent="0.3">
      <c r="A46" s="6" t="s">
        <v>11</v>
      </c>
      <c r="B46">
        <v>2400.7399999999998</v>
      </c>
      <c r="C46">
        <v>2380.52</v>
      </c>
      <c r="D46">
        <v>2420.7199999999998</v>
      </c>
      <c r="E46">
        <v>2487.2600000000002</v>
      </c>
      <c r="F46">
        <v>2675.83</v>
      </c>
      <c r="G46">
        <v>2641.67</v>
      </c>
      <c r="H46">
        <v>2615.39</v>
      </c>
      <c r="I46">
        <v>2651.69</v>
      </c>
      <c r="J46">
        <v>2484.91</v>
      </c>
      <c r="K46">
        <v>2233.77</v>
      </c>
    </row>
    <row r="47" spans="1:11" s="6" customFormat="1" x14ac:dyDescent="0.3">
      <c r="A47" s="6" t="s">
        <v>12</v>
      </c>
      <c r="B47">
        <v>-612.12</v>
      </c>
      <c r="C47">
        <v>-341.1</v>
      </c>
      <c r="D47">
        <v>-3468.05</v>
      </c>
      <c r="E47">
        <v>-1461.15</v>
      </c>
      <c r="F47">
        <v>3202.61</v>
      </c>
      <c r="G47">
        <v>4875.3900000000003</v>
      </c>
      <c r="H47">
        <v>4652.71</v>
      </c>
      <c r="I47">
        <v>5985.88</v>
      </c>
      <c r="J47">
        <v>7687.22</v>
      </c>
      <c r="K47">
        <v>9369.31</v>
      </c>
    </row>
    <row r="48" spans="1:11" s="6" customFormat="1" x14ac:dyDescent="0.3">
      <c r="A48" s="6" t="s">
        <v>13</v>
      </c>
      <c r="B48">
        <v>726.05</v>
      </c>
      <c r="C48">
        <v>758.22</v>
      </c>
      <c r="D48">
        <v>1518.96</v>
      </c>
      <c r="E48">
        <v>-457.08</v>
      </c>
      <c r="F48">
        <v>262.83</v>
      </c>
      <c r="G48">
        <v>-620.65</v>
      </c>
      <c r="H48">
        <v>1563.01</v>
      </c>
      <c r="I48">
        <v>2202.84</v>
      </c>
      <c r="J48">
        <v>541.79</v>
      </c>
      <c r="K48">
        <v>-8159.28</v>
      </c>
    </row>
    <row r="49" spans="1:11" s="6" customFormat="1" x14ac:dyDescent="0.3">
      <c r="A49" s="6" t="s">
        <v>14</v>
      </c>
      <c r="B49">
        <v>-1516.14</v>
      </c>
      <c r="C49">
        <v>-1032.8399999999999</v>
      </c>
      <c r="D49">
        <v>-5006.6000000000004</v>
      </c>
      <c r="E49">
        <v>-944.61</v>
      </c>
      <c r="F49">
        <v>2957.71</v>
      </c>
      <c r="G49">
        <v>5407.79</v>
      </c>
      <c r="H49">
        <v>3202.8</v>
      </c>
      <c r="I49">
        <v>3764</v>
      </c>
      <c r="J49">
        <v>7025.11</v>
      </c>
      <c r="K49">
        <v>17407.18</v>
      </c>
    </row>
    <row r="50" spans="1:11" x14ac:dyDescent="0.3">
      <c r="A50" s="6" t="s">
        <v>8</v>
      </c>
      <c r="B50">
        <v>7078.02</v>
      </c>
      <c r="C50">
        <v>8282.7900000000009</v>
      </c>
      <c r="D50">
        <v>2412.73</v>
      </c>
      <c r="E50">
        <v>5572.31</v>
      </c>
      <c r="F50">
        <v>10820.24</v>
      </c>
      <c r="G50">
        <v>13114.4</v>
      </c>
      <c r="H50">
        <v>13217.72</v>
      </c>
      <c r="I50">
        <v>13766.94</v>
      </c>
      <c r="J50">
        <v>15418.37</v>
      </c>
      <c r="K50">
        <v>17135.310000000001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40</v>
      </c>
    </row>
    <row r="56" spans="1:11" s="18" customFormat="1" x14ac:dyDescent="0.3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3">
      <c r="A57" s="6" t="s">
        <v>24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 x14ac:dyDescent="0.3">
      <c r="A58" s="6" t="s">
        <v>25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61491.49</v>
      </c>
      <c r="H58">
        <v>54480.91</v>
      </c>
      <c r="I58">
        <v>43795.360000000001</v>
      </c>
      <c r="J58">
        <v>44555.77</v>
      </c>
      <c r="K58">
        <v>84151.52</v>
      </c>
    </row>
    <row r="59" spans="1:11" x14ac:dyDescent="0.3">
      <c r="A59" s="6" t="s">
        <v>71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 x14ac:dyDescent="0.3">
      <c r="A60" s="6" t="s">
        <v>72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133180.72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 x14ac:dyDescent="0.3">
      <c r="A61" s="1" t="s">
        <v>26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 x14ac:dyDescent="0.3">
      <c r="A62" s="6" t="s">
        <v>27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 x14ac:dyDescent="0.3">
      <c r="A63" s="6" t="s">
        <v>28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 x14ac:dyDescent="0.3">
      <c r="A64" s="6" t="s">
        <v>29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 x14ac:dyDescent="0.3">
      <c r="A65" s="6" t="s">
        <v>73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 x14ac:dyDescent="0.3">
      <c r="A66" s="1" t="s">
        <v>26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6" customFormat="1" x14ac:dyDescent="0.3">
      <c r="A67" s="6" t="s">
        <v>78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 x14ac:dyDescent="0.3">
      <c r="A68" s="6" t="s">
        <v>45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 x14ac:dyDescent="0.3">
      <c r="A69" s="4" t="s">
        <v>87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 x14ac:dyDescent="0.3">
      <c r="A70" s="4" t="s">
        <v>74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 x14ac:dyDescent="0.3">
      <c r="A71" s="4" t="s">
        <v>75</v>
      </c>
    </row>
    <row r="72" spans="1:11" x14ac:dyDescent="0.3">
      <c r="A72" s="4" t="s">
        <v>88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">
      <c r="A74" s="6" t="s">
        <v>206</v>
      </c>
      <c r="B74" s="4">
        <f>B65-SUM(B67:B69)</f>
        <v>30891.17</v>
      </c>
      <c r="C74" s="4">
        <f t="shared" ref="C74:K74" si="2">C65-SUM(C67:C69)</f>
        <v>29579.359999999986</v>
      </c>
      <c r="D74" s="4">
        <f t="shared" si="2"/>
        <v>37360.780000000013</v>
      </c>
      <c r="E74" s="4">
        <f t="shared" si="2"/>
        <v>48286.860000000015</v>
      </c>
      <c r="F74" s="4">
        <f t="shared" si="2"/>
        <v>56155.739999999991</v>
      </c>
      <c r="G74" s="4">
        <f t="shared" si="2"/>
        <v>58784.94</v>
      </c>
      <c r="H74" s="4">
        <f t="shared" si="2"/>
        <v>61717.959999999992</v>
      </c>
      <c r="I74" s="4">
        <f t="shared" si="2"/>
        <v>62223.770000000019</v>
      </c>
      <c r="J74" s="4">
        <f t="shared" si="2"/>
        <v>68432.090000000011</v>
      </c>
      <c r="K74" s="4">
        <f t="shared" si="2"/>
        <v>79018.859999999986</v>
      </c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41</v>
      </c>
    </row>
    <row r="81" spans="1:11" s="18" customFormat="1" x14ac:dyDescent="0.3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3">
      <c r="A82" s="6" t="s">
        <v>32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6" customFormat="1" x14ac:dyDescent="0.3">
      <c r="A83" s="6" t="s">
        <v>33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6" customFormat="1" x14ac:dyDescent="0.3">
      <c r="A84" s="6" t="s">
        <v>34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 x14ac:dyDescent="0.3">
      <c r="A85" s="6" t="s">
        <v>35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77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 x14ac:dyDescent="0.3">
      <c r="A92" s="1" t="s">
        <v>76</v>
      </c>
    </row>
    <row r="93" spans="1:11" x14ac:dyDescent="0.3">
      <c r="A93" s="4" t="s">
        <v>89</v>
      </c>
      <c r="B93" s="24">
        <v>288.74</v>
      </c>
      <c r="C93" s="24">
        <v>288.72000000000003</v>
      </c>
      <c r="D93" s="24">
        <v>288.73</v>
      </c>
      <c r="E93" s="24">
        <v>288.73</v>
      </c>
      <c r="F93" s="24">
        <v>288.73</v>
      </c>
      <c r="G93" s="24">
        <v>308.89999999999998</v>
      </c>
      <c r="H93" s="24">
        <v>332.03</v>
      </c>
      <c r="I93" s="24">
        <v>332.07</v>
      </c>
      <c r="J93" s="24">
        <v>332.13</v>
      </c>
      <c r="K93" s="24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6D4D-FA04-4E49-8517-169C855E1DCC}">
  <sheetPr>
    <tabColor rgb="FF92D05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Profit &amp; Loss</vt:lpstr>
      <vt:lpstr>Quarters</vt:lpstr>
      <vt:lpstr>Balance Sheet</vt:lpstr>
      <vt:lpstr>Cash Flow</vt:lpstr>
      <vt:lpstr>Customization</vt:lpstr>
      <vt:lpstr>HistoricalFs</vt:lpstr>
      <vt:lpstr>Ratio Analysis</vt:lpstr>
      <vt:lpstr>common size statement</vt:lpstr>
      <vt:lpstr>Forcasting</vt:lpstr>
      <vt:lpstr>DCF</vt:lpstr>
      <vt:lpstr>Intransic value </vt:lpstr>
      <vt:lpstr>WACC</vt:lpstr>
      <vt:lpstr>Market return </vt:lpstr>
      <vt:lpstr>Beta benchmarking</vt:lpstr>
      <vt:lpstr>Raw data</vt:lpstr>
      <vt:lpstr>Data Sheet</vt:lpstr>
      <vt:lpstr>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Aniket india</cp:lastModifiedBy>
  <cp:lastPrinted>2012-12-06T18:14:13Z</cp:lastPrinted>
  <dcterms:created xsi:type="dcterms:W3CDTF">2012-08-17T09:55:37Z</dcterms:created>
  <dcterms:modified xsi:type="dcterms:W3CDTF">2024-06-20T09:39:11Z</dcterms:modified>
</cp:coreProperties>
</file>