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avin\Downloads\"/>
    </mc:Choice>
  </mc:AlternateContent>
  <xr:revisionPtr revIDLastSave="0" documentId="13_ncr:1_{0681B37C-FF90-4A7C-B91B-4B8ADF20A90E}" xr6:coauthVersionLast="38" xr6:coauthVersionMax="38" xr10:uidLastSave="{00000000-0000-0000-0000-000000000000}"/>
  <bookViews>
    <workbookView xWindow="0" yWindow="0" windowWidth="23040" windowHeight="9588" firstSheet="1" activeTab="4" xr2:uid="{00000000-000D-0000-FFFF-FFFF00000000}"/>
  </bookViews>
  <sheets>
    <sheet name="Sub Category Tables" sheetId="5" r:id="rId1"/>
    <sheet name="Years Table" sheetId="8" r:id="rId2"/>
    <sheet name="Original Table" sheetId="1" r:id="rId3"/>
    <sheet name="Category Tables" sheetId="3" r:id="rId4"/>
    <sheet name="Bonus Table" sheetId="9" r:id="rId5"/>
  </sheets>
  <definedNames>
    <definedName name="_xlnm._FilterDatabase" localSheetId="2" hidden="1">'Original Table'!$A$1:$T$4115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G3" i="9"/>
  <c r="G4" i="9"/>
  <c r="G5" i="9"/>
  <c r="G6" i="9"/>
  <c r="G7" i="9"/>
  <c r="G8" i="9"/>
  <c r="G9" i="9"/>
  <c r="G10" i="9"/>
  <c r="G11" i="9"/>
  <c r="G12" i="9"/>
  <c r="G13" i="9"/>
  <c r="F3" i="9"/>
  <c r="F4" i="9"/>
  <c r="F5" i="9"/>
  <c r="F6" i="9"/>
  <c r="F7" i="9"/>
  <c r="F8" i="9"/>
  <c r="F9" i="9"/>
  <c r="F10" i="9"/>
  <c r="F11" i="9"/>
  <c r="F12" i="9"/>
  <c r="F13" i="9"/>
  <c r="F2" i="9"/>
  <c r="E13" i="9"/>
  <c r="E12" i="9"/>
  <c r="E11" i="9"/>
  <c r="E10" i="9"/>
  <c r="E9" i="9"/>
  <c r="E8" i="9"/>
  <c r="E7" i="9"/>
  <c r="E6" i="9"/>
  <c r="E5" i="9"/>
  <c r="E4" i="9"/>
  <c r="E3" i="9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B7" i="9"/>
  <c r="B8" i="9"/>
  <c r="B9" i="9"/>
  <c r="B10" i="9"/>
  <c r="B11" i="9"/>
  <c r="B12" i="9"/>
  <c r="B13" i="9"/>
  <c r="D5" i="9"/>
  <c r="C5" i="9"/>
  <c r="D4" i="9"/>
  <c r="C4" i="9"/>
  <c r="B5" i="9"/>
  <c r="B6" i="9"/>
  <c r="B4" i="9"/>
  <c r="D3" i="9"/>
  <c r="C3" i="9"/>
  <c r="B3" i="9"/>
  <c r="E2" i="9"/>
  <c r="D2" i="9"/>
  <c r="C2" i="9"/>
  <c r="B2" i="9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H2" i="9" l="1"/>
  <c r="G2" i="9"/>
  <c r="O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<sst xmlns="http://schemas.openxmlformats.org/spreadsheetml/2006/main" count="24821" uniqueCount="8400">
  <si>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</si>
  <si>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</si>
  <si>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</si>
  <si>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</si>
  <si>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</si>
  <si>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</si>
  <si>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</si>
  <si>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</si>
  <si>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</si>
  <si>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</si>
  <si>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</si>
  <si>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</si>
  <si>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</si>
  <si>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</si>
  <si>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</si>
  <si>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</si>
  <si>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</si>
  <si>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</si>
  <si>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</si>
  <si>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</si>
  <si>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</si>
  <si>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</si>
  <si>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</si>
  <si>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</si>
  <si>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</si>
  <si>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</si>
  <si>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</si>
  <si>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</si>
  <si>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</si>
  <si>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</si>
  <si>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</si>
  <si>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</si>
  <si>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</si>
  <si>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</si>
  <si>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</si>
  <si>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</si>
  <si>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</si>
  <si>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</si>
  <si>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</si>
  <si>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</si>
  <si>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</si>
  <si>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</si>
  <si>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</si>
  <si>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</si>
  <si>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</si>
  <si>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</si>
  <si>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</si>
  <si>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</si>
  <si>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</si>
  <si>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</si>
  <si>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</si>
  <si>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</si>
  <si>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</si>
  <si>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</si>
  <si>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</si>
  <si>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</si>
  <si>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</si>
  <si>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</si>
  <si>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</si>
  <si>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</si>
  <si>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</si>
  <si>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</si>
  <si>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</si>
  <si>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</si>
  <si>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</si>
  <si>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</si>
  <si>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</si>
  <si>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</si>
  <si>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</si>
  <si>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</si>
  <si>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</si>
  <si>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</si>
  <si>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</si>
  <si>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</si>
  <si>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</si>
  <si>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</si>
  <si>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</si>
  <si>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</si>
  <si>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</si>
  <si>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</si>
  <si>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</si>
  <si>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</si>
  <si>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</si>
  <si>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</si>
  <si>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</si>
  <si>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</si>
  <si>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</si>
  <si>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</si>
  <si>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</si>
  <si>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</si>
  <si>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</si>
  <si>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</si>
  <si>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</si>
  <si>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</si>
  <si>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</si>
  <si>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</si>
  <si>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</si>
  <si>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</si>
  <si>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</si>
  <si>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</si>
  <si>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</si>
  <si>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</si>
  <si>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</si>
  <si>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</si>
  <si>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</si>
  <si>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</si>
  <si>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</si>
  <si>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</si>
  <si>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</si>
  <si>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</si>
  <si>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</si>
  <si>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</si>
  <si>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</si>
  <si>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</si>
  <si>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</si>
  <si>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</si>
  <si>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</si>
  <si>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</si>
  <si>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</si>
  <si>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</si>
  <si>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</si>
  <si>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</si>
  <si>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</si>
  <si>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</si>
  <si>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</si>
  <si>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</si>
  <si>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</si>
  <si>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</si>
  <si>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</si>
  <si>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</si>
  <si>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</si>
  <si>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</si>
  <si>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</si>
  <si>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</si>
  <si>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</si>
  <si>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</si>
  <si>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</si>
  <si>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</si>
  <si>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</si>
  <si>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</si>
  <si>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</si>
  <si>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</si>
  <si>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</si>
  <si>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</si>
  <si>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</si>
  <si>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</si>
  <si>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</si>
  <si>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</si>
  <si>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</si>
  <si>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</si>
  <si>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</si>
  <si>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</si>
  <si>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</si>
  <si>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</si>
  <si>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</si>
  <si>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</si>
  <si>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</si>
  <si>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</si>
  <si>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</si>
  <si>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</si>
  <si>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</si>
  <si>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</si>
  <si>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</si>
  <si>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</si>
  <si>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</si>
  <si>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</si>
  <si>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</si>
  <si>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</si>
  <si>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</si>
  <si>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</si>
  <si>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</si>
  <si>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</si>
  <si>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</si>
  <si>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</si>
  <si>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</si>
  <si>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</si>
  <si>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</si>
  <si>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</si>
  <si>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</si>
  <si>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</si>
  <si>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</si>
  <si>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</si>
  <si>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</si>
  <si>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</si>
  <si>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</si>
  <si>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</si>
  <si>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</si>
  <si>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</si>
  <si>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</si>
  <si>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</si>
  <si>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</si>
  <si>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</si>
  <si>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</si>
  <si>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</si>
  <si>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</si>
  <si>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</si>
  <si>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</si>
  <si>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</si>
  <si>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</si>
  <si>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</si>
  <si>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</si>
  <si>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</si>
  <si>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</si>
  <si>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</si>
  <si>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</si>
  <si>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</si>
  <si>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</si>
  <si>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</si>
  <si>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</si>
  <si>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</si>
  <si>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</si>
  <si>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</si>
  <si>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</si>
  <si>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</si>
  <si>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</si>
  <si>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</si>
  <si>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</si>
  <si>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</si>
  <si>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</si>
  <si>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</si>
  <si>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</si>
  <si>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</si>
  <si>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</si>
  <si>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</si>
  <si>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</si>
  <si>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</si>
  <si>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</si>
  <si>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</si>
  <si>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</si>
  <si>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</si>
  <si>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</si>
  <si>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</si>
  <si>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</si>
  <si>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</si>
  <si>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</si>
  <si>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</si>
  <si>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</si>
  <si>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</si>
  <si>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</si>
  <si>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</si>
  <si>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</si>
  <si>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</si>
  <si>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</si>
  <si>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</si>
  <si>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</si>
  <si>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</si>
  <si>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</si>
  <si>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</si>
  <si>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</si>
  <si>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</si>
  <si>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</si>
  <si>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</si>
  <si>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</si>
  <si>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</si>
  <si>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</si>
  <si>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</si>
  <si>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</si>
  <si>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</si>
  <si>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</si>
  <si>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</si>
  <si>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</si>
  <si>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</si>
  <si>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</si>
  <si>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</si>
  <si>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</si>
  <si>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</si>
  <si>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</si>
  <si>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</si>
  <si>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</si>
  <si>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</si>
  <si>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</si>
  <si>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</si>
  <si>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</si>
  <si>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</si>
  <si>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</si>
  <si>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</si>
  <si>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</si>
  <si>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</si>
  <si>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</si>
  <si>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</si>
  <si>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</si>
  <si>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</si>
  <si>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</si>
  <si>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</si>
  <si>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</si>
  <si>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</si>
  <si>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</si>
  <si>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</si>
  <si>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</si>
  <si>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</si>
  <si>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</si>
  <si>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</si>
  <si>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</si>
  <si>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</si>
  <si>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</si>
  <si>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</si>
  <si>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</si>
  <si>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</si>
  <si>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</si>
  <si>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</si>
  <si>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</si>
  <si>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</si>
  <si>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</si>
  <si>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</si>
  <si>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</si>
  <si>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</si>
  <si>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</si>
  <si>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</si>
  <si>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</si>
  <si>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</si>
  <si>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</si>
  <si>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</si>
  <si>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</si>
  <si>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</si>
  <si>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</si>
  <si>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</si>
  <si>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</si>
  <si>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</si>
  <si>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</si>
  <si>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</si>
  <si>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</si>
  <si>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</si>
  <si>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</si>
  <si>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</si>
  <si>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</si>
  <si>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</si>
  <si>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</si>
  <si>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</si>
  <si>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</si>
  <si>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</si>
  <si>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</si>
  <si>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</si>
  <si>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</si>
  <si>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</si>
  <si>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</si>
  <si>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</si>
  <si>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</si>
  <si>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</si>
  <si>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</si>
  <si>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</si>
  <si>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</si>
  <si>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</si>
  <si>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</si>
  <si>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</si>
  <si>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</si>
  <si>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</si>
  <si>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</si>
  <si>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</si>
  <si>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</si>
  <si>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</si>
  <si>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</si>
  <si>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</si>
  <si>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</si>
  <si>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</si>
  <si>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</si>
  <si>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</si>
  <si>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</si>
  <si>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</si>
  <si>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</si>
  <si>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</si>
  <si>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</si>
  <si>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</si>
  <si>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</si>
  <si>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</si>
  <si>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</si>
  <si>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</si>
  <si>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</si>
  <si>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</si>
  <si>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</si>
  <si>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</si>
  <si>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</si>
  <si>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</si>
  <si>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</si>
  <si>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</si>
  <si>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</si>
  <si>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</si>
  <si>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</si>
  <si>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</si>
  <si>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</si>
  <si>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</si>
  <si>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</si>
  <si>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</si>
  <si>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</si>
  <si>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</si>
  <si>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</si>
  <si>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</si>
  <si>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</si>
  <si>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</si>
  <si>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</si>
  <si>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</si>
  <si>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</si>
  <si>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</si>
  <si>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</si>
  <si>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</si>
  <si>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</si>
  <si>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</si>
  <si>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</si>
  <si>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</si>
  <si>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</si>
  <si>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</si>
  <si>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</si>
  <si>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</si>
  <si>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</si>
  <si>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</si>
  <si>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</si>
  <si>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</si>
  <si>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</si>
  <si>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</si>
  <si>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</si>
  <si>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</si>
  <si>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</si>
  <si>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</si>
  <si>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</si>
  <si>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</si>
  <si>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</si>
  <si>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</si>
  <si>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</si>
  <si>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</si>
  <si>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</si>
  <si>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</si>
  <si>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</si>
  <si>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</si>
  <si>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</si>
  <si>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</si>
  <si>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</si>
  <si>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</si>
  <si>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</si>
  <si>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</si>
  <si>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</si>
  <si>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</si>
  <si>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</si>
  <si>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</si>
  <si>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</si>
  <si>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</si>
  <si>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</si>
  <si>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</si>
  <si>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</si>
  <si>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</si>
  <si>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</si>
  <si>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</si>
  <si>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</si>
  <si>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</si>
  <si>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</si>
  <si>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</si>
  <si>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</si>
  <si>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</si>
  <si>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</si>
  <si>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</si>
  <si>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</si>
  <si>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</si>
  <si>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</si>
  <si>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</si>
  <si>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</si>
  <si>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</si>
  <si>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</si>
  <si>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</si>
  <si>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</si>
  <si>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</si>
  <si>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</si>
  <si>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</si>
  <si>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</si>
  <si>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</si>
  <si>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</si>
  <si>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</si>
  <si>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</si>
  <si>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</si>
  <si>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</si>
  <si>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</si>
  <si>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</si>
  <si>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</si>
  <si>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</si>
  <si>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</si>
  <si>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</si>
  <si>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</si>
  <si>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</si>
  <si>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</si>
  <si>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</si>
  <si>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</si>
  <si>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</si>
  <si>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</si>
  <si>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</si>
  <si>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</si>
  <si>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</si>
  <si>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</si>
  <si>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</si>
  <si>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</si>
  <si>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</si>
  <si>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</si>
  <si>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</si>
  <si>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</si>
  <si>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</si>
  <si>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</si>
  <si>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</si>
  <si>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</si>
  <si>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</si>
  <si>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</si>
  <si>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</si>
  <si>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</si>
  <si>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</si>
  <si>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</si>
  <si>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</si>
  <si>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</si>
  <si>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</si>
  <si>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</si>
  <si>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</si>
  <si>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</si>
  <si>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</si>
  <si>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</si>
  <si>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</si>
  <si>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</si>
  <si>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</si>
  <si>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</si>
  <si>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</si>
  <si>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</si>
  <si>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</si>
  <si>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</si>
  <si>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</si>
  <si>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</si>
  <si>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</si>
  <si>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</si>
  <si>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</si>
  <si>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</si>
  <si>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</si>
  <si>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</si>
  <si>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</si>
  <si>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</si>
  <si>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</si>
  <si>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</si>
  <si>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</si>
  <si>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</si>
  <si>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</si>
  <si>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</si>
  <si>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</si>
  <si>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</si>
  <si>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</si>
  <si>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</si>
  <si>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</si>
  <si>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</si>
  <si>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</si>
  <si>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</si>
  <si>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</si>
  <si>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</si>
  <si>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</si>
  <si>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</si>
  <si>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</si>
  <si>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</si>
  <si>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</si>
  <si>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</si>
  <si>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</si>
  <si>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</si>
  <si>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</si>
  <si>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</si>
  <si>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</si>
  <si>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</si>
  <si>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</si>
  <si>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</si>
  <si>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</si>
  <si>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</si>
  <si>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</si>
  <si>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</si>
  <si>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</si>
  <si>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</si>
  <si>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</si>
  <si>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</si>
  <si>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</si>
  <si>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</si>
  <si>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</si>
  <si>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</si>
  <si>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</si>
  <si>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</si>
  <si>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</si>
  <si>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</si>
  <si>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</si>
  <si>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</si>
  <si>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</si>
  <si>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</si>
  <si>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</si>
  <si>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</si>
  <si>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</si>
  <si>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</si>
  <si>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</si>
  <si>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</si>
  <si>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</si>
  <si>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</si>
  <si>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</si>
  <si>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</si>
  <si>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</si>
  <si>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</si>
  <si>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</si>
  <si>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</si>
  <si>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</si>
  <si>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</si>
  <si>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</si>
  <si>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</si>
  <si>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</si>
  <si>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</si>
  <si>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</si>
  <si>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</si>
  <si>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</si>
  <si>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</si>
  <si>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</si>
  <si>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</si>
  <si>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</si>
  <si>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</si>
  <si>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</si>
  <si>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</si>
  <si>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</si>
  <si>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</si>
  <si>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</si>
  <si>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</si>
  <si>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</si>
  <si>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</si>
  <si>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</si>
  <si>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</si>
  <si>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</si>
  <si>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</si>
  <si>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</si>
  <si>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</si>
  <si>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</si>
  <si>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</si>
  <si>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</si>
  <si>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</si>
  <si>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</si>
  <si>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</si>
  <si>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</si>
  <si>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</si>
  <si>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</si>
  <si>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</si>
  <si>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</si>
  <si>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</si>
  <si>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</si>
  <si>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</si>
  <si>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</si>
  <si>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</si>
  <si>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</si>
  <si>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</si>
  <si>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</si>
  <si>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</si>
  <si>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</si>
  <si>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</si>
  <si>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</si>
  <si>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</si>
  <si>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</si>
  <si>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</si>
  <si>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</si>
  <si>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</si>
  <si>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</si>
  <si>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</si>
  <si>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</si>
  <si>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</si>
  <si>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</si>
  <si>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</si>
  <si>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</si>
  <si>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</si>
  <si>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</si>
  <si>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</si>
  <si>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</si>
  <si>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</si>
  <si>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</si>
  <si>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</si>
  <si>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</si>
  <si>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</si>
  <si>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</si>
  <si>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</si>
  <si>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</si>
  <si>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</si>
  <si>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</si>
  <si>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</si>
  <si>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</si>
  <si>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</si>
  <si>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</si>
  <si>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</si>
  <si>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</si>
  <si>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</si>
  <si>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</si>
  <si>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</si>
  <si>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</si>
  <si>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</si>
  <si>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</si>
  <si>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</si>
  <si>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</si>
  <si>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</si>
  <si>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</si>
  <si>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</si>
  <si>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</si>
  <si>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</si>
  <si>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</si>
  <si>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</si>
  <si>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</si>
  <si>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</si>
  <si>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</si>
  <si>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</si>
  <si>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</si>
  <si>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</si>
  <si>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</si>
  <si>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</si>
  <si>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</si>
  <si>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</si>
  <si>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</si>
  <si>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</si>
  <si>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</si>
  <si>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</si>
  <si>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</si>
  <si>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</si>
  <si>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</si>
  <si>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</si>
  <si>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</si>
  <si>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</si>
  <si>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</si>
  <si>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</si>
  <si>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</si>
  <si>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</si>
  <si>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</si>
  <si>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</si>
  <si>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</si>
  <si>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</si>
  <si>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</si>
  <si>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</si>
  <si>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</si>
  <si>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</si>
  <si>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</si>
  <si>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</si>
  <si>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</si>
  <si>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</si>
  <si>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</si>
  <si>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</si>
  <si>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</si>
  <si>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</si>
  <si>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</si>
  <si>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</si>
  <si>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</si>
  <si>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</si>
  <si>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</si>
  <si>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</si>
  <si>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</si>
  <si>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</si>
  <si>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</si>
  <si>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</si>
  <si>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</si>
  <si>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</si>
  <si>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</si>
  <si>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</si>
  <si>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</si>
  <si>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</si>
  <si>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</si>
  <si>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</si>
  <si>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</si>
  <si>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</si>
  <si>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</si>
  <si>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</si>
  <si>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</si>
  <si>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</si>
  <si>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</si>
  <si>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</si>
  <si>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</si>
  <si>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</si>
  <si>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</si>
  <si>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</si>
  <si>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</si>
  <si>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</si>
  <si>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</si>
  <si>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</si>
  <si>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</si>
  <si>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</si>
  <si>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</si>
  <si>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</si>
  <si>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</si>
  <si>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</si>
  <si>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</si>
  <si>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</si>
  <si>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</si>
  <si>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</si>
  <si>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</si>
  <si>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</si>
  <si>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</si>
  <si>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</si>
  <si>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</si>
  <si>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</si>
  <si>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</si>
  <si>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</si>
  <si>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</si>
  <si>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</si>
  <si>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</si>
  <si>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</si>
  <si>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</si>
  <si>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</si>
  <si>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</si>
  <si>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</si>
  <si>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</si>
  <si>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</si>
  <si>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</si>
  <si>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</si>
  <si>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</si>
  <si>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</si>
  <si>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</si>
  <si>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</si>
  <si>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</si>
  <si>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</si>
  <si>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</si>
  <si>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</si>
  <si>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</si>
  <si>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</si>
  <si>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</si>
  <si>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</si>
  <si>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</si>
  <si>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</si>
  <si>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</si>
  <si>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</si>
  <si>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</si>
  <si>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</si>
  <si>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</si>
  <si>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</si>
  <si>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</si>
  <si>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</si>
  <si>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</si>
  <si>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</si>
  <si>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</si>
  <si>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</si>
  <si>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</si>
  <si>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</si>
  <si>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</si>
  <si>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</si>
  <si>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</si>
  <si>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</si>
  <si>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</si>
  <si>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</si>
  <si>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</si>
  <si>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</si>
  <si>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</si>
  <si>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</si>
  <si>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</si>
  <si>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</si>
  <si>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</si>
  <si>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</si>
  <si>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</si>
  <si>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</si>
  <si>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</si>
  <si>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</si>
  <si>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</si>
  <si>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</si>
  <si>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</si>
  <si>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</si>
  <si>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</si>
  <si>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</si>
  <si>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</si>
  <si>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</si>
  <si>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</si>
  <si>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</si>
  <si>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</si>
  <si>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</si>
  <si>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</si>
  <si>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</si>
  <si>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</si>
  <si>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</si>
  <si>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</si>
  <si>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</si>
  <si>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</si>
  <si>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</si>
  <si>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</si>
  <si>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</si>
  <si>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</si>
  <si>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</si>
  <si>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</si>
  <si>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</si>
  <si>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</si>
  <si>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</si>
  <si>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</si>
  <si>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</si>
  <si>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</si>
  <si>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</si>
  <si>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</si>
  <si>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</si>
  <si>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</si>
  <si>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</si>
  <si>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</si>
  <si>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</si>
  <si>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</si>
  <si>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</si>
  <si>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</si>
  <si>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</si>
  <si>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</si>
  <si>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</si>
  <si>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</si>
  <si>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</si>
  <si>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</si>
  <si>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</si>
  <si>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</si>
  <si>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</si>
  <si>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</si>
  <si>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</si>
  <si>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</si>
  <si>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</si>
  <si>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</si>
  <si>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</si>
  <si>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</si>
  <si>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</si>
  <si>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</si>
  <si>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</si>
  <si>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</si>
  <si>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</si>
  <si>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</si>
  <si>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</si>
  <si>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</si>
  <si>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</si>
  <si>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</si>
  <si>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</si>
  <si>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</si>
  <si>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</si>
  <si>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</si>
  <si>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</si>
  <si>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</si>
  <si>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</si>
  <si>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</si>
  <si>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</si>
  <si>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</si>
  <si>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</si>
  <si>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</si>
  <si>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</si>
  <si>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</si>
  <si>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</si>
  <si>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</si>
  <si>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</si>
  <si>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</si>
  <si>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</si>
  <si>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</si>
  <si>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</si>
  <si>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</si>
  <si>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</si>
  <si>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</si>
  <si>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</si>
  <si>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</si>
  <si>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</si>
  <si>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</si>
  <si>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</si>
  <si>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</si>
  <si>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</si>
  <si>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</si>
  <si>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</si>
  <si>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</si>
  <si>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</si>
  <si>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</si>
  <si>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</si>
  <si>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</si>
  <si>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</si>
  <si>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</si>
  <si>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</si>
  <si>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</si>
  <si>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</si>
  <si>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</si>
  <si>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</si>
  <si>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</si>
  <si>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</si>
  <si>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</si>
  <si>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</si>
  <si>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</si>
  <si>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</si>
  <si>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</si>
  <si>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</si>
  <si>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</si>
  <si>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</si>
  <si>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</si>
  <si>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</si>
  <si>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</si>
  <si>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</si>
  <si>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</si>
  <si>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</si>
  <si>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</si>
  <si>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</si>
  <si>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</si>
  <si>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</si>
  <si>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</si>
  <si>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</si>
  <si>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</si>
  <si>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</si>
  <si>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</si>
  <si>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</si>
  <si>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</si>
  <si>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</si>
  <si>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</si>
  <si>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</si>
  <si>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</si>
  <si>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</si>
  <si>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</si>
  <si>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</si>
  <si>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</si>
  <si>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</si>
  <si>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</si>
  <si>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</si>
  <si>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</si>
  <si>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</si>
  <si>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</si>
  <si>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</si>
  <si>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</si>
  <si>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</si>
  <si>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</si>
  <si>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</si>
  <si>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</si>
  <si>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</si>
  <si>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</si>
  <si>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</si>
  <si>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</si>
  <si>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</si>
  <si>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</si>
  <si>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</si>
  <si>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</si>
  <si>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</si>
  <si>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</si>
  <si>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</si>
  <si>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</si>
  <si>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</si>
  <si>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</si>
  <si>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</si>
  <si>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</si>
  <si>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</si>
  <si>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</si>
  <si>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</si>
  <si>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</si>
  <si>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</si>
  <si>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</si>
  <si>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</si>
  <si>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</si>
  <si>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</si>
  <si>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</si>
  <si>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</si>
  <si>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</si>
  <si>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</si>
  <si>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</si>
  <si>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</si>
  <si>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</si>
  <si>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</si>
  <si>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</si>
  <si>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</si>
  <si>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</si>
  <si>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</si>
  <si>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</si>
  <si>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</si>
  <si>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</si>
  <si>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</si>
  <si>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</si>
  <si>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</si>
  <si>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</si>
  <si>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</si>
  <si>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</si>
  <si>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</si>
  <si>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</si>
  <si>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</si>
  <si>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</si>
  <si>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</si>
  <si>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</si>
  <si>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</si>
  <si>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</si>
  <si>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</si>
  <si>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</si>
  <si>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</si>
  <si>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</si>
  <si>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</si>
  <si>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</si>
  <si>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</si>
  <si>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</si>
  <si>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</si>
  <si>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</si>
  <si>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</si>
  <si>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</si>
  <si>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</si>
  <si>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</si>
  <si>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</si>
  <si>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</si>
  <si>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</si>
  <si>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</si>
  <si>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</si>
  <si>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</si>
  <si>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</si>
  <si>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</si>
  <si>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</si>
  <si>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</si>
  <si>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</si>
  <si>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</si>
  <si>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</si>
  <si>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</si>
  <si>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</si>
  <si>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</si>
  <si>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</si>
  <si>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</si>
  <si>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</si>
  <si>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</si>
  <si>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</si>
  <si>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</si>
  <si>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</si>
  <si>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</si>
  <si>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</si>
  <si>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</si>
  <si>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</si>
  <si>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</si>
  <si>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</si>
  <si>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</si>
  <si>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</si>
  <si>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</si>
  <si>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</si>
  <si>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</si>
  <si>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</si>
  <si>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</si>
  <si>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</si>
  <si>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</si>
  <si>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</si>
  <si>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</si>
  <si>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</si>
  <si>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</si>
  <si>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</si>
  <si>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</si>
  <si>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</si>
  <si>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</si>
  <si>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</si>
  <si>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</si>
  <si>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</si>
  <si>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</si>
  <si>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</si>
  <si>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</si>
  <si>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</si>
  <si>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</si>
  <si>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</si>
  <si>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</si>
  <si>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</si>
  <si>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</si>
  <si>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</si>
  <si>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</si>
  <si>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</si>
  <si>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</si>
  <si>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</si>
  <si>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</si>
  <si>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</si>
  <si>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</si>
  <si>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</si>
  <si>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</si>
  <si>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</si>
  <si>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</si>
  <si>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</si>
  <si>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</si>
  <si>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</si>
  <si>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</si>
  <si>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</si>
  <si>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</si>
  <si>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</si>
  <si>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</si>
  <si>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</si>
  <si>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</si>
  <si>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</si>
  <si>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</si>
  <si>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</si>
  <si>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</si>
  <si>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</si>
  <si>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</si>
  <si>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</si>
  <si>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</si>
  <si>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</si>
  <si>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</si>
  <si>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</si>
  <si>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</si>
  <si>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</si>
  <si>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</si>
  <si>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</si>
  <si>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</si>
  <si>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</si>
  <si>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</si>
  <si>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</si>
  <si>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</si>
  <si>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</si>
  <si>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</si>
  <si>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</si>
  <si>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</si>
  <si>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</si>
  <si>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</si>
  <si>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</si>
  <si>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</si>
  <si>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</si>
  <si>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</si>
  <si>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</si>
  <si>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</si>
  <si>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</si>
  <si>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</si>
  <si>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</si>
  <si>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</si>
  <si>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</si>
  <si>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</si>
  <si>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</si>
  <si>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</si>
  <si>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</si>
  <si>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</si>
  <si>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</si>
  <si>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</si>
  <si>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</si>
  <si>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</si>
  <si>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</si>
  <si>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</si>
  <si>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</si>
  <si>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</si>
  <si>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</si>
  <si>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</si>
  <si>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</si>
  <si>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</si>
  <si>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</si>
  <si>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</si>
  <si>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</si>
  <si>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</si>
  <si>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</si>
  <si>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</si>
  <si>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</si>
  <si>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</si>
  <si>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</si>
  <si>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</si>
  <si>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</si>
  <si>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</si>
  <si>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</si>
  <si>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</si>
  <si>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</si>
  <si>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</si>
  <si>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</si>
  <si>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</si>
  <si>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</si>
  <si>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</si>
  <si>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</si>
  <si>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</si>
  <si>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</si>
  <si>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</si>
  <si>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</si>
  <si>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</si>
  <si>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</si>
  <si>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</si>
  <si>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</si>
  <si>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</si>
  <si>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</si>
  <si>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</si>
  <si>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</si>
  <si>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</si>
  <si>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</si>
  <si>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</si>
  <si>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</si>
  <si>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</si>
  <si>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</si>
  <si>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</si>
  <si>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</si>
  <si>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</si>
  <si>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</si>
  <si>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</si>
  <si>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</si>
  <si>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</si>
  <si>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</si>
  <si>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</si>
  <si>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</si>
  <si>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</si>
  <si>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</si>
  <si>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</si>
  <si>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</si>
  <si>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</si>
  <si>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</si>
  <si>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</si>
  <si>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</si>
  <si>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</si>
  <si>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</si>
  <si>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</si>
  <si>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</si>
  <si>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</si>
  <si>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</si>
  <si>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</si>
  <si>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</si>
  <si>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</si>
  <si>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</si>
  <si>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</si>
  <si>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</si>
  <si>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</si>
  <si>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</si>
  <si>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</si>
  <si>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</si>
  <si>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</si>
  <si>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</si>
  <si>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</si>
  <si>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</si>
  <si>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</si>
  <si>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</si>
  <si>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</si>
  <si>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</si>
  <si>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</si>
  <si>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</si>
  <si>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</si>
  <si>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</si>
  <si>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</si>
  <si>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</si>
  <si>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</si>
  <si>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</si>
  <si>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</si>
  <si>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</si>
  <si>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</si>
  <si>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</si>
  <si>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</si>
  <si>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</si>
  <si>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</si>
  <si>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</si>
  <si>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</si>
  <si>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</si>
  <si>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</si>
  <si>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</si>
  <si>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</si>
  <si>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</si>
  <si>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</si>
  <si>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</si>
  <si>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</si>
  <si>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</si>
  <si>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</si>
  <si>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</si>
  <si>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</si>
  <si>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</si>
  <si>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</si>
  <si>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</si>
  <si>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</si>
  <si>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</si>
  <si>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</si>
  <si>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</si>
  <si>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</si>
  <si>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</si>
  <si>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</si>
  <si>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</si>
  <si>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</si>
  <si>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</si>
  <si>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</si>
  <si>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</si>
  <si>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</si>
  <si>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</si>
  <si>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</si>
  <si>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</si>
  <si>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</si>
  <si>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</si>
  <si>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</si>
  <si>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</si>
  <si>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</si>
  <si>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</si>
  <si>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</si>
  <si>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</si>
  <si>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</si>
  <si>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</si>
  <si>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</si>
  <si>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</si>
  <si>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</si>
  <si>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</si>
  <si>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</si>
  <si>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</si>
  <si>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</si>
  <si>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</si>
  <si>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</si>
  <si>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</si>
  <si>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</si>
  <si>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</si>
  <si>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</si>
  <si>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</si>
  <si>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</si>
  <si>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</si>
  <si>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</si>
  <si>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</si>
  <si>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</si>
  <si>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</si>
  <si>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</si>
  <si>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</si>
  <si>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</si>
  <si>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</si>
  <si>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</si>
  <si>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</si>
  <si>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</si>
  <si>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</si>
  <si>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</si>
  <si>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</si>
  <si>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</si>
  <si>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</si>
  <si>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</si>
  <si>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</si>
  <si>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</si>
  <si>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</si>
  <si>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</si>
  <si>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</si>
  <si>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</si>
  <si>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</si>
  <si>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</si>
  <si>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</si>
  <si>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</si>
  <si>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</si>
  <si>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</si>
  <si>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</si>
  <si>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</si>
  <si>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</si>
  <si>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</si>
  <si>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</si>
  <si>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</si>
  <si>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</si>
  <si>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</si>
  <si>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</si>
  <si>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</si>
  <si>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</si>
  <si>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</si>
  <si>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</si>
  <si>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</si>
  <si>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</si>
  <si>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</si>
  <si>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</si>
  <si>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</si>
  <si>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</si>
  <si>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</si>
  <si>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</si>
  <si>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</si>
  <si>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</si>
  <si>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</si>
  <si>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</si>
  <si>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</si>
  <si>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</si>
  <si>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</si>
  <si>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</si>
  <si>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</si>
  <si>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</si>
  <si>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</si>
  <si>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</si>
  <si>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</si>
  <si>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</si>
  <si>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</si>
  <si>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</si>
  <si>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</si>
  <si>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</si>
  <si>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</si>
  <si>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</si>
  <si>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</si>
  <si>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</si>
  <si>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</si>
  <si>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</si>
  <si>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</si>
  <si>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</si>
  <si>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</si>
  <si>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</si>
  <si>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</si>
  <si>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</si>
  <si>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</si>
  <si>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</si>
  <si>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</si>
  <si>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</si>
  <si>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</si>
  <si>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</si>
  <si>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</si>
  <si>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</si>
  <si>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</si>
  <si>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</si>
  <si>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</si>
  <si>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</si>
  <si>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</si>
  <si>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</si>
  <si>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</si>
  <si>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</si>
  <si>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</si>
  <si>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</si>
  <si>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</si>
  <si>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</si>
  <si>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</si>
  <si>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</si>
  <si>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</si>
  <si>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</si>
  <si>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</si>
  <si>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</si>
  <si>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</si>
  <si>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</si>
  <si>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</si>
  <si>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</si>
  <si>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</si>
  <si>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</si>
  <si>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</si>
  <si>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</si>
  <si>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</si>
  <si>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</si>
  <si>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</si>
  <si>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</si>
  <si>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</si>
  <si>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</si>
  <si>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</si>
  <si>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</si>
  <si>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</si>
  <si>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</si>
  <si>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</si>
  <si>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</si>
  <si>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</si>
  <si>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</si>
  <si>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</si>
  <si>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</si>
  <si>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</si>
  <si>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</si>
  <si>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</si>
  <si>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</si>
  <si>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</si>
  <si>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</si>
  <si>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</si>
  <si>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</si>
  <si>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</si>
  <si>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</si>
  <si>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</si>
  <si>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</si>
  <si>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</si>
  <si>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</si>
  <si>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</si>
  <si>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</si>
  <si>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</si>
  <si>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</si>
  <si>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</si>
  <si>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</si>
  <si>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</si>
  <si>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</si>
  <si>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</si>
  <si>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</si>
  <si>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</si>
  <si>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</si>
  <si>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</si>
  <si>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</si>
  <si>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</si>
  <si>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</si>
  <si>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</si>
  <si>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</si>
  <si>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</si>
  <si>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</si>
  <si>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</si>
  <si>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</si>
  <si>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</si>
  <si>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</si>
  <si>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</si>
  <si>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</si>
  <si>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</si>
  <si>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</si>
  <si>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</si>
  <si>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</si>
  <si>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</si>
  <si>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</si>
  <si>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</si>
  <si>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</si>
  <si>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</si>
  <si>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</si>
  <si>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</si>
  <si>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</si>
  <si>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</si>
  <si>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</si>
  <si>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</si>
  <si>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</si>
  <si>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</si>
  <si>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</si>
  <si>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</si>
  <si>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</si>
  <si>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</si>
  <si>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</si>
  <si>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</si>
  <si>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</si>
  <si>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</si>
  <si>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</si>
  <si>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</si>
  <si>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</si>
  <si>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</si>
  <si>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</si>
  <si>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</si>
  <si>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</si>
  <si>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</si>
  <si>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</si>
  <si>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</si>
  <si>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</si>
  <si>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</si>
  <si>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</si>
  <si>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</si>
  <si>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</si>
  <si>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</si>
  <si>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</si>
  <si>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</si>
  <si>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</si>
  <si>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</si>
  <si>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</si>
  <si>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</si>
  <si>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</si>
  <si>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</si>
  <si>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</si>
  <si>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</si>
  <si>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</si>
  <si>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</si>
  <si>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</si>
  <si>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</si>
  <si>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</si>
  <si>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</si>
  <si>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</si>
  <si>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</si>
  <si>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</si>
  <si>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</si>
  <si>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</si>
  <si>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</si>
  <si>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</si>
  <si>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</si>
  <si>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</si>
  <si>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</si>
  <si>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</si>
  <si>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</si>
  <si>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</si>
  <si>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</si>
  <si>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</si>
  <si>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</si>
  <si>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</si>
  <si>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</si>
  <si>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</si>
  <si>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</si>
  <si>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</si>
  <si>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</si>
  <si>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</si>
  <si>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</si>
  <si>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</si>
  <si>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</si>
  <si>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</si>
  <si>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</si>
  <si>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</si>
  <si>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</si>
  <si>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</si>
  <si>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</si>
  <si>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</si>
  <si>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</si>
  <si>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</si>
  <si>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</si>
  <si>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</si>
  <si>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</si>
  <si>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</si>
  <si>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</si>
  <si>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</si>
  <si>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</si>
  <si>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</si>
  <si>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</si>
  <si>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</si>
  <si>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</si>
  <si>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</si>
  <si>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</si>
  <si>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</si>
  <si>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</si>
  <si>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</si>
  <si>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</si>
  <si>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</si>
  <si>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</si>
  <si>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</si>
  <si>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</si>
  <si>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</si>
  <si>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</si>
  <si>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</si>
  <si>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</si>
  <si>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</si>
  <si>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</si>
  <si>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</si>
  <si>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</si>
  <si>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</si>
  <si>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</si>
  <si>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</si>
  <si>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</si>
  <si>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</si>
  <si>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</si>
  <si>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</si>
  <si>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</si>
  <si>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</si>
  <si>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</si>
  <si>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</si>
  <si>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</si>
  <si>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</si>
  <si>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</si>
  <si>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</si>
  <si>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</si>
  <si>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</si>
  <si>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</si>
  <si>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</si>
  <si>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</si>
  <si>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</si>
  <si>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</si>
  <si>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</si>
  <si>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</si>
  <si>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</si>
  <si>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</si>
  <si>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</si>
  <si>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</si>
  <si>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</si>
  <si>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</si>
  <si>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</si>
  <si>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</si>
  <si>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</si>
  <si>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</si>
  <si>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</si>
  <si>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</si>
  <si>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</si>
  <si>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</si>
  <si>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</si>
  <si>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</si>
  <si>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</si>
  <si>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</si>
  <si>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</si>
  <si>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</si>
  <si>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</si>
  <si>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</si>
  <si>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</si>
  <si>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</si>
  <si>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</si>
  <si>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</si>
  <si>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</si>
  <si>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</si>
  <si>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</si>
  <si>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</si>
  <si>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</si>
  <si>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</si>
  <si>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</si>
  <si>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</si>
  <si>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</si>
  <si>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</si>
  <si>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</si>
  <si>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</si>
  <si>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</si>
  <si>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</si>
  <si>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</si>
  <si>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</si>
  <si>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</si>
  <si>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</si>
  <si>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</si>
  <si>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</si>
  <si>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</si>
  <si>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</si>
  <si>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</si>
  <si>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</si>
  <si>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</si>
  <si>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</si>
  <si>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</si>
  <si>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</si>
  <si>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</si>
  <si>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</si>
  <si>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</si>
  <si>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</si>
  <si>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</si>
  <si>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</si>
  <si>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</si>
  <si>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</si>
  <si>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</si>
  <si>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</si>
  <si>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</si>
  <si>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</si>
  <si>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</si>
  <si>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</si>
  <si>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</si>
  <si>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</si>
  <si>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</si>
  <si>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</si>
  <si>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</si>
  <si>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</si>
  <si>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</si>
  <si>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</si>
  <si>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</si>
  <si>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</si>
  <si>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</si>
  <si>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</si>
  <si>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</si>
  <si>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</si>
  <si>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</si>
  <si>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</si>
  <si>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</si>
  <si>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</si>
  <si>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</si>
  <si>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</si>
  <si>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</si>
  <si>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</si>
  <si>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</si>
  <si>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</si>
  <si>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</si>
  <si>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</si>
  <si>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</si>
  <si>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</si>
  <si>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</si>
  <si>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</si>
  <si>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</si>
  <si>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</si>
  <si>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</si>
  <si>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</si>
  <si>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</si>
  <si>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</si>
  <si>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</si>
  <si>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</si>
  <si>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</si>
  <si>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</si>
  <si>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</si>
  <si>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</si>
  <si>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</si>
  <si>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</si>
  <si>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</si>
  <si>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</si>
  <si>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</si>
  <si>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</si>
  <si>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</si>
  <si>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</si>
  <si>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</si>
  <si>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</si>
  <si>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</si>
  <si>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</si>
  <si>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</si>
  <si>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</si>
  <si>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</si>
  <si>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</si>
  <si>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</si>
  <si>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</si>
  <si>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</si>
  <si>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</si>
  <si>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</si>
  <si>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</si>
  <si>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</si>
  <si>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</si>
  <si>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</si>
  <si>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</si>
  <si>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</si>
  <si>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</si>
  <si>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</si>
  <si>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</si>
  <si>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</si>
  <si>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</si>
  <si>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</si>
  <si>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</si>
  <si>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</si>
  <si>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</si>
  <si>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</si>
  <si>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</si>
  <si>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</si>
  <si>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</si>
  <si>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</si>
  <si>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</si>
  <si>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</si>
  <si>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</si>
  <si>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</si>
  <si>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</si>
  <si>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</si>
  <si>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</si>
  <si>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</si>
  <si>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</si>
  <si>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</si>
  <si>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</si>
  <si>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</si>
  <si>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</si>
  <si>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</si>
  <si>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</si>
  <si>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</si>
  <si>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</si>
  <si>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</si>
  <si>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</si>
  <si>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</si>
  <si>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</si>
  <si>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</si>
  <si>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</si>
  <si>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</si>
  <si>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</si>
  <si>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</si>
  <si>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</si>
  <si>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</si>
  <si>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</si>
  <si>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</si>
  <si>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</si>
  <si>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</si>
  <si>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</si>
  <si>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</si>
  <si>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</si>
  <si>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</si>
  <si>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</si>
  <si>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</si>
  <si>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</si>
  <si>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</si>
  <si>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</si>
  <si>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</si>
  <si>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</si>
  <si>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</si>
  <si>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</si>
  <si>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</si>
  <si>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</si>
  <si>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</si>
  <si>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</si>
  <si>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</si>
  <si>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</si>
  <si>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</si>
  <si>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</si>
  <si>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</si>
  <si>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</si>
  <si>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</si>
  <si>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</si>
  <si>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</si>
  <si>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</si>
  <si>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</si>
  <si>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</si>
  <si>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</si>
  <si>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</si>
  <si>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</si>
  <si>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</si>
  <si>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</si>
  <si>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</si>
  <si>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</si>
  <si>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</si>
  <si>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</si>
  <si>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</si>
  <si>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</si>
  <si>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</si>
  <si>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</si>
  <si>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</si>
  <si>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</si>
  <si>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</si>
  <si>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</si>
  <si>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</si>
  <si>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</si>
  <si>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</si>
  <si>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</si>
  <si>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</si>
  <si>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</si>
  <si>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</si>
  <si>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</si>
  <si>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</si>
  <si>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</si>
  <si>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</si>
  <si>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</si>
  <si>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</si>
  <si>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</si>
  <si>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</si>
  <si>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</si>
  <si>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</si>
  <si>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</si>
  <si>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</si>
  <si>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</si>
  <si>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</si>
  <si>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</si>
  <si>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</si>
  <si>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</si>
  <si>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</si>
  <si>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</si>
  <si>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</si>
  <si>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</si>
  <si>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</si>
  <si>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</si>
  <si>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</si>
  <si>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</si>
  <si>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</si>
  <si>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</si>
  <si>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</si>
  <si>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</si>
  <si>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</si>
  <si>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</si>
  <si>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</si>
  <si>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</si>
  <si>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</si>
  <si>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</si>
  <si>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</si>
  <si>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</si>
  <si>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</si>
  <si>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</si>
  <si>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</si>
  <si>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</si>
  <si>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</si>
  <si>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</si>
  <si>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</si>
  <si>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</si>
  <si>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</si>
  <si>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</si>
  <si>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</si>
  <si>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</si>
  <si>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</si>
  <si>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</si>
  <si>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</si>
  <si>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</si>
  <si>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</si>
  <si>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</si>
  <si>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</si>
  <si>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</si>
  <si>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</si>
  <si>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</si>
  <si>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</si>
  <si>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</si>
  <si>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</si>
  <si>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</si>
  <si>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</si>
  <si>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</si>
  <si>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</si>
  <si>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</si>
  <si>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</si>
  <si>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</si>
  <si>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</si>
  <si>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</si>
  <si>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</si>
  <si>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</si>
  <si>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</si>
  <si>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</si>
  <si>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</si>
  <si>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</si>
  <si>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</si>
  <si>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</si>
  <si>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</si>
  <si>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</si>
  <si>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</si>
  <si>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</si>
  <si>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</si>
  <si>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</si>
  <si>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</si>
  <si>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</si>
  <si>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</si>
  <si>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</si>
  <si>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</si>
  <si>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</si>
  <si>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</si>
  <si>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</si>
  <si>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</si>
  <si>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</si>
  <si>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</si>
  <si>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</si>
  <si>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</si>
  <si>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</si>
  <si>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</si>
  <si>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</si>
  <si>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</si>
  <si>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</si>
  <si>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</si>
  <si>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</si>
  <si>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</si>
  <si>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</si>
  <si>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</si>
  <si>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</si>
  <si>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</si>
  <si>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</si>
  <si>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</si>
  <si>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</si>
  <si>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</si>
  <si>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</si>
  <si>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</si>
  <si>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</si>
  <si>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</si>
  <si>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</si>
  <si>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</si>
  <si>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</si>
  <si>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</si>
  <si>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</si>
  <si>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</si>
  <si>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</si>
  <si>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</si>
  <si>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</si>
  <si>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</si>
  <si>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</si>
  <si>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</si>
  <si>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</si>
  <si>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</si>
  <si>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</si>
  <si>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</si>
  <si>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</si>
  <si>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</si>
  <si>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</si>
  <si>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</si>
  <si>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</si>
  <si>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</si>
  <si>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</si>
  <si>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</si>
  <si>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</si>
  <si>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</si>
  <si>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</si>
  <si>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</si>
  <si>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</si>
  <si>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</si>
  <si>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</si>
  <si>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</si>
  <si>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</si>
  <si>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</si>
  <si>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</si>
  <si>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</si>
  <si>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</si>
  <si>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</si>
  <si>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</si>
  <si>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</si>
  <si>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</si>
  <si>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</si>
  <si>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</si>
  <si>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</si>
  <si>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</si>
  <si>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</si>
  <si>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</si>
  <si>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</si>
  <si>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</si>
  <si>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</si>
  <si>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</si>
  <si>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</si>
  <si>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</si>
  <si>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</si>
  <si>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</si>
  <si>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</si>
  <si>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</si>
  <si>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</si>
  <si>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</si>
  <si>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</si>
  <si>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</si>
  <si>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</si>
  <si>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</si>
  <si>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</si>
  <si>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</si>
  <si>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</si>
  <si>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</si>
  <si>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</si>
  <si>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</si>
  <si>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</si>
  <si>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</si>
  <si>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</si>
  <si>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</si>
  <si>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</si>
  <si>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</si>
  <si>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</si>
  <si>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</si>
  <si>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</si>
  <si>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</si>
  <si>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</si>
  <si>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</si>
  <si>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</si>
  <si>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</si>
  <si>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</si>
  <si>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</si>
  <si>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</si>
  <si>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</si>
  <si>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</si>
  <si>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</si>
  <si>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</si>
  <si>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</si>
  <si>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</si>
  <si>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</si>
  <si>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</si>
  <si>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</si>
  <si>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</si>
  <si>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</si>
  <si>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</si>
  <si>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</si>
  <si>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</si>
  <si>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</si>
  <si>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</si>
  <si>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</si>
  <si>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</si>
  <si>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</si>
  <si>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</si>
  <si>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</si>
  <si>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</si>
  <si>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</si>
  <si>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</si>
  <si>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</si>
  <si>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</si>
  <si>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</si>
  <si>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</si>
  <si>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</si>
  <si>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</si>
  <si>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</si>
  <si>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</si>
  <si>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</si>
  <si>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</si>
  <si>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</si>
  <si>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</si>
  <si>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</si>
  <si>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</si>
  <si>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</si>
  <si>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</si>
  <si>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</si>
  <si>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</si>
  <si>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</si>
  <si>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</si>
  <si>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</si>
  <si>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</si>
  <si>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</si>
  <si>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</si>
  <si>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</si>
  <si>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</si>
  <si>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</si>
  <si>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</si>
  <si>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</si>
  <si>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</si>
  <si>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</si>
  <si>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</si>
  <si>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</si>
  <si>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</si>
  <si>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</si>
  <si>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</si>
  <si>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</si>
  <si>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</si>
  <si>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</si>
  <si>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</si>
  <si>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</si>
  <si>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</si>
  <si>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</si>
  <si>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</si>
  <si>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</si>
  <si>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</si>
  <si>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</si>
  <si>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</si>
  <si>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</si>
  <si>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</si>
  <si>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</si>
  <si>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</si>
  <si>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</si>
  <si>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</si>
  <si>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</si>
  <si>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</si>
  <si>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</si>
  <si>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</si>
  <si>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</si>
  <si>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</si>
  <si>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</si>
  <si>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</si>
  <si>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</si>
  <si>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</si>
  <si>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</si>
  <si>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</si>
  <si>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</si>
  <si>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</si>
  <si>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</si>
  <si>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</si>
  <si>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</si>
  <si>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</si>
  <si>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</si>
  <si>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</si>
  <si>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</si>
  <si>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</si>
  <si>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</si>
  <si>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</si>
  <si>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</si>
  <si>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</si>
  <si>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</si>
  <si>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</si>
  <si>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</si>
  <si>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</si>
  <si>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</si>
  <si>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</si>
  <si>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</si>
  <si>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</si>
  <si>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</si>
  <si>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</si>
  <si>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</si>
  <si>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</si>
  <si>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</si>
  <si>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</si>
  <si>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</si>
  <si>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</si>
  <si>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</si>
  <si>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</si>
  <si>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</si>
  <si>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</si>
  <si>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</si>
  <si>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</si>
  <si>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</si>
  <si>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</si>
  <si>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</si>
  <si>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</si>
  <si>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</si>
  <si>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</si>
  <si>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</si>
  <si>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</si>
  <si>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</si>
  <si>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</si>
  <si>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</si>
  <si>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</si>
  <si>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</si>
  <si>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</si>
  <si>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</si>
  <si>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</si>
  <si>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</si>
  <si>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</si>
  <si>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</si>
  <si>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</si>
  <si>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</si>
  <si>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</si>
  <si>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</si>
  <si>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</si>
  <si>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</si>
  <si>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</si>
  <si>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</si>
  <si>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</si>
  <si>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</si>
  <si>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</si>
  <si>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</si>
  <si>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</si>
  <si>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</si>
  <si>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</si>
  <si>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</si>
  <si>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</si>
  <si>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</si>
  <si>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</si>
  <si>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</si>
  <si>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</si>
  <si>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</si>
  <si>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</si>
  <si>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</si>
  <si>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</si>
  <si>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</si>
  <si>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</si>
  <si>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</si>
  <si>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</si>
  <si>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</si>
  <si>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</si>
  <si>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</si>
  <si>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</si>
  <si>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</si>
  <si>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</si>
  <si>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</si>
  <si>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</si>
  <si>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</si>
  <si>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</si>
  <si>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</si>
  <si>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</si>
  <si>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</si>
  <si>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</si>
  <si>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</si>
  <si>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</si>
  <si>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</si>
  <si>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</si>
  <si>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</si>
  <si>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</si>
  <si>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</si>
  <si>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</si>
  <si>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</si>
  <si>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</si>
  <si>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</si>
  <si>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</si>
  <si>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</si>
  <si>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</si>
  <si>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</si>
  <si>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</si>
  <si>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</si>
  <si>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</si>
  <si>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</si>
  <si>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</si>
  <si>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</si>
  <si>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</si>
  <si>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</si>
  <si>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</si>
  <si>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</si>
  <si>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</si>
  <si>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</si>
  <si>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</si>
  <si>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</si>
  <si>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</si>
  <si>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</si>
  <si>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</si>
  <si>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</si>
  <si>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</si>
  <si>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</si>
  <si>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</si>
  <si>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</si>
  <si>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</si>
  <si>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</si>
  <si>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</si>
  <si>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</si>
  <si>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</si>
  <si>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</si>
  <si>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</si>
  <si>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</si>
  <si>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</si>
  <si>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</si>
  <si>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</si>
  <si>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</si>
  <si>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</si>
  <si>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</si>
  <si>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</si>
  <si>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</si>
  <si>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</si>
  <si>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</si>
  <si>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</si>
  <si>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</si>
  <si>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</si>
  <si>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</si>
  <si>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</si>
  <si>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</si>
  <si>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</si>
  <si>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</si>
  <si>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</si>
  <si>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</si>
  <si>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</si>
  <si>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</si>
  <si>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</si>
  <si>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</si>
  <si>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</si>
  <si>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</si>
  <si>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</si>
  <si>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</si>
  <si>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</si>
  <si>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</si>
  <si>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</si>
  <si>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</si>
  <si>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</si>
  <si>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</si>
  <si>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</si>
  <si>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</si>
  <si>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</si>
  <si>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</si>
  <si>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</si>
  <si>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</si>
  <si>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</si>
  <si>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</si>
  <si>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</si>
  <si>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</si>
  <si>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</si>
  <si>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</si>
  <si>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</si>
  <si>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</si>
  <si>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</si>
  <si>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</si>
  <si>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</si>
  <si>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</si>
  <si>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</si>
  <si>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</si>
  <si>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</si>
  <si>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</si>
  <si>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</si>
  <si>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</si>
  <si>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</si>
  <si>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</si>
  <si>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</si>
  <si>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</si>
  <si>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</si>
  <si>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</si>
  <si>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</si>
  <si>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</si>
  <si>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</si>
  <si>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</si>
  <si>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</si>
  <si>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</si>
  <si>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</si>
  <si>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</si>
  <si>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</si>
  <si>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</si>
  <si>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</si>
  <si>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</si>
  <si>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</si>
  <si>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</si>
  <si>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</si>
  <si>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</si>
  <si>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</si>
  <si>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</si>
  <si>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</si>
  <si>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</si>
  <si>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</si>
  <si>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</si>
  <si>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</si>
  <si>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</si>
  <si>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</si>
  <si>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</si>
  <si>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</si>
  <si>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</si>
  <si>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</si>
  <si>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</si>
  <si>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</si>
  <si>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</si>
  <si>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</si>
  <si>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</si>
  <si>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</si>
  <si>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</si>
  <si>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</si>
  <si>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</si>
  <si>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</si>
  <si>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</si>
  <si>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</si>
  <si>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</si>
  <si>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</si>
  <si>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</si>
  <si>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</si>
  <si>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</si>
  <si>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</si>
  <si>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</si>
  <si>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</si>
  <si>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</si>
  <si>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</si>
  <si>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</si>
  <si>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</si>
  <si>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</si>
  <si>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</si>
  <si>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</si>
  <si>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</si>
  <si>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</si>
  <si>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</si>
  <si>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</si>
  <si>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</si>
  <si>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</si>
  <si>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</si>
  <si>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</si>
  <si>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</si>
  <si>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</si>
  <si>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</si>
  <si>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</si>
  <si>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</si>
  <si>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</si>
  <si>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</si>
  <si>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</si>
  <si>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</si>
  <si>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</si>
  <si>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</si>
  <si>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</si>
  <si>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</si>
  <si>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</si>
  <si>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</si>
  <si>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</si>
  <si>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</si>
  <si>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</si>
  <si>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</si>
  <si>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</si>
  <si>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</si>
  <si>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</si>
  <si>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</si>
  <si>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</si>
  <si>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</si>
  <si>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</si>
  <si>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</si>
  <si>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</si>
  <si>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</si>
  <si>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</si>
  <si>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</si>
  <si>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</si>
  <si>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</si>
  <si>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</si>
  <si>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</si>
  <si>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</si>
  <si>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</si>
  <si>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</si>
  <si>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</si>
  <si>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</si>
  <si>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</si>
  <si>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</si>
  <si>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</si>
  <si>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</si>
  <si>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</si>
  <si>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</si>
  <si>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</si>
  <si>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</si>
  <si>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</si>
  <si>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</si>
  <si>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</si>
  <si>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</si>
  <si>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</si>
  <si>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</si>
  <si>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</si>
  <si>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</si>
  <si>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</si>
  <si>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</si>
  <si>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</si>
  <si>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</si>
  <si>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</si>
  <si>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</si>
  <si>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</si>
  <si>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</si>
  <si>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</si>
  <si>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</si>
  <si>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</si>
  <si>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</si>
  <si>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</si>
  <si>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</si>
  <si>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</si>
  <si>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</si>
  <si>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</si>
  <si>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</si>
  <si>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</si>
  <si>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</si>
  <si>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</si>
  <si>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</si>
  <si>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</si>
  <si>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</si>
  <si>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</si>
  <si>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</si>
  <si>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</si>
  <si>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</si>
  <si>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</si>
  <si>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</si>
  <si>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</si>
  <si>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</si>
  <si>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</si>
  <si>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</si>
  <si>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</si>
  <si>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</si>
  <si>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</si>
  <si>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</si>
  <si>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</si>
  <si>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</si>
  <si>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</si>
  <si>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</si>
  <si>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</si>
  <si>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</si>
  <si>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</si>
  <si>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</si>
  <si>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</si>
  <si>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</si>
  <si>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</si>
  <si>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</si>
  <si>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</si>
  <si>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</si>
  <si>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</si>
  <si>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</si>
  <si>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</si>
  <si>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</si>
  <si>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</si>
  <si>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</si>
  <si>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</si>
  <si>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</si>
  <si>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</si>
  <si>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</si>
  <si>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</si>
  <si>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</si>
  <si>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</si>
  <si>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</si>
  <si>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</si>
  <si>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</si>
  <si>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</si>
  <si>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</si>
  <si>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</si>
  <si>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</si>
  <si>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</si>
  <si>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</si>
  <si>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</si>
  <si>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</si>
  <si>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</si>
  <si>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</si>
  <si>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</si>
  <si>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</si>
  <si>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</si>
  <si>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</si>
  <si>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</si>
  <si>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</si>
  <si>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</si>
  <si>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</si>
  <si>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</si>
  <si>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</si>
  <si>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</si>
  <si>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</si>
  <si>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</si>
  <si>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</si>
  <si>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</si>
  <si>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</si>
  <si>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</si>
  <si>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</si>
  <si>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</si>
  <si>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</si>
  <si>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</si>
  <si>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</si>
  <si>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</si>
  <si>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</si>
  <si>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</si>
  <si>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</si>
  <si>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</si>
  <si>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</si>
  <si>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</si>
  <si>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</si>
  <si>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</si>
  <si>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</si>
  <si>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</si>
  <si>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</si>
  <si>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</si>
  <si>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</si>
  <si>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</si>
  <si>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</si>
  <si>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</si>
  <si>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</si>
  <si>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</si>
  <si>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</si>
  <si>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</si>
  <si>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</si>
  <si>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</si>
  <si>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</si>
  <si>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</si>
  <si>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</si>
  <si>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</si>
  <si>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</si>
  <si>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</si>
  <si>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</si>
  <si>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</si>
  <si>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</si>
  <si>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</si>
  <si>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</si>
  <si>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</si>
  <si>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</si>
  <si>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</si>
  <si>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</si>
  <si>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</si>
  <si>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</si>
  <si>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</si>
  <si>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</si>
  <si>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</si>
  <si>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</si>
  <si>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</si>
  <si>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</si>
  <si>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</si>
  <si>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</si>
  <si>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</si>
  <si>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</si>
  <si>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</si>
  <si>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</si>
  <si>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</si>
  <si>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</si>
  <si>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</si>
  <si>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</si>
  <si>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</si>
  <si>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</si>
  <si>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</si>
  <si>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</si>
  <si>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</si>
  <si>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</si>
  <si>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</si>
  <si>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</si>
  <si>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</si>
  <si>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</si>
  <si>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</si>
  <si>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</si>
  <si>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</si>
  <si>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</si>
  <si>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</si>
  <si>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</si>
  <si>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</si>
  <si>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</si>
  <si>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</si>
  <si>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</si>
  <si>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</si>
  <si>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</si>
  <si>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</si>
  <si>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</si>
  <si>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</si>
  <si>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</si>
  <si>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</si>
  <si>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</si>
  <si>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</si>
  <si>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</si>
  <si>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</si>
  <si>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</si>
  <si>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</si>
  <si>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</si>
  <si>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</si>
  <si>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</si>
  <si>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</si>
  <si>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</si>
  <si>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</si>
  <si>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</si>
  <si>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</si>
  <si>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</si>
  <si>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</si>
  <si>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</si>
  <si>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</si>
  <si>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</si>
  <si>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</si>
  <si>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</si>
  <si>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</si>
  <si>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</si>
  <si>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</si>
  <si>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</si>
  <si>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</si>
  <si>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</si>
  <si>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</si>
  <si>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</si>
  <si>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</si>
  <si>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</si>
  <si>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</si>
  <si>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</si>
  <si>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</si>
  <si>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</si>
  <si>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</si>
  <si>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</si>
  <si>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</si>
  <si>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</si>
  <si>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</si>
  <si>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</si>
  <si>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</si>
  <si>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</si>
  <si>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</si>
  <si>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</si>
  <si>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</si>
  <si>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</si>
  <si>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</si>
  <si>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</si>
  <si>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</si>
  <si>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</si>
  <si>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</si>
  <si>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</si>
  <si>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</si>
  <si>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</si>
  <si>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</si>
  <si>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</si>
  <si>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</si>
  <si>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</si>
  <si>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</si>
  <si>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</si>
  <si>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</si>
  <si>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</si>
  <si>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</si>
  <si>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</si>
  <si>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</si>
  <si>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</si>
  <si>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</si>
  <si>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</si>
  <si>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</si>
  <si>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</si>
  <si>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</si>
  <si>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</si>
  <si>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</si>
  <si>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</si>
  <si>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</si>
  <si>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</si>
  <si>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</si>
  <si>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</si>
  <si>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</si>
  <si>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</si>
  <si>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</si>
  <si>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</si>
  <si>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</si>
  <si>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</si>
  <si>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</si>
  <si>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</si>
  <si>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</si>
  <si>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</si>
  <si>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</si>
  <si>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</si>
  <si>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</si>
  <si>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</si>
  <si>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</si>
  <si>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</si>
  <si>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</si>
  <si>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</si>
  <si>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</si>
  <si>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</si>
  <si>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</si>
  <si>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</si>
  <si>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</si>
  <si>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</si>
  <si>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</si>
  <si>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</si>
  <si>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</si>
  <si>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</si>
  <si>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</si>
  <si>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</si>
  <si>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</si>
  <si>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</si>
  <si>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</si>
  <si>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</si>
  <si>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</si>
  <si>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</si>
  <si>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</si>
  <si>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</si>
  <si>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</si>
  <si>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</si>
  <si>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</si>
  <si>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</si>
  <si>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</si>
  <si>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</si>
  <si>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</si>
  <si>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</si>
  <si>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</si>
  <si>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</si>
  <si>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</si>
  <si>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</si>
  <si>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</si>
  <si>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</si>
  <si>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</si>
  <si>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</si>
  <si>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</si>
  <si>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</si>
  <si>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</si>
  <si>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</si>
  <si>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</si>
  <si>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</si>
  <si>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</si>
  <si>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</si>
  <si>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</si>
  <si>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</si>
  <si>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</si>
  <si>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</si>
  <si>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</si>
  <si>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</si>
  <si>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</si>
  <si>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</si>
  <si>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</si>
  <si>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</si>
  <si>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</si>
  <si>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</si>
  <si>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</si>
  <si>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</si>
  <si>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</si>
  <si>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</si>
  <si>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</si>
  <si>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</si>
  <si>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</si>
  <si>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</si>
  <si>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</si>
  <si>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</si>
  <si>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</si>
  <si>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</si>
  <si>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</si>
  <si>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</si>
  <si>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</si>
  <si>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</si>
  <si>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</si>
  <si>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</si>
  <si>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</si>
  <si>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</si>
  <si>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</si>
  <si>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</si>
  <si>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</si>
  <si>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</si>
  <si>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</si>
  <si>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</si>
  <si>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</si>
  <si>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</si>
  <si>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</si>
  <si>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</si>
  <si>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</si>
  <si>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</si>
  <si>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</si>
  <si>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</si>
  <si>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</si>
  <si>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</si>
  <si>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</si>
  <si>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</si>
  <si>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</si>
  <si>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</si>
  <si>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</si>
  <si>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</si>
  <si>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</si>
  <si>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</si>
  <si>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</si>
  <si>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</si>
  <si>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</si>
  <si>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</si>
  <si>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</si>
  <si>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</si>
  <si>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</si>
  <si>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</si>
  <si>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</si>
  <si>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</si>
  <si>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</si>
  <si>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</si>
  <si>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</si>
  <si>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</si>
  <si>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</si>
  <si>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</si>
  <si>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</si>
  <si>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</si>
  <si>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</si>
  <si>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</si>
  <si>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</si>
  <si>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</si>
  <si>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</si>
  <si>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</si>
  <si>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</si>
  <si>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</si>
  <si>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</si>
  <si>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</si>
  <si>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</si>
  <si>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</si>
  <si>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</si>
  <si>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</si>
  <si>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</si>
  <si>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</si>
  <si>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</si>
  <si>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</si>
  <si>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</si>
  <si>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</si>
  <si>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</si>
  <si>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</si>
  <si>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</si>
  <si>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</si>
  <si>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</si>
  <si>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</si>
  <si>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</si>
  <si>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</si>
  <si>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</si>
  <si>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</si>
  <si>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</si>
  <si>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</si>
  <si>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</si>
  <si>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</si>
  <si>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</si>
  <si>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</si>
  <si>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</si>
  <si>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</si>
  <si>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</si>
  <si>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</si>
  <si>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</si>
  <si>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</si>
  <si>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</si>
  <si>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</si>
  <si>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</si>
  <si>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</si>
  <si>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</si>
  <si>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</si>
  <si>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</si>
  <si>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</si>
  <si>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</si>
  <si>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</si>
  <si>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</si>
  <si>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</si>
  <si>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</si>
  <si>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</si>
  <si>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</si>
  <si>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</si>
  <si>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</si>
  <si>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</si>
  <si>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</si>
  <si>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</si>
  <si>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</si>
  <si>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</si>
  <si>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</si>
  <si>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</si>
  <si>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</si>
  <si>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</si>
  <si>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</si>
  <si>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</si>
  <si>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</si>
  <si>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</si>
  <si>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</si>
  <si>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</si>
  <si>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</si>
  <si>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</si>
  <si>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</si>
  <si>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</si>
  <si>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</si>
  <si>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</si>
  <si>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</si>
  <si>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</si>
  <si>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</si>
  <si>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</si>
  <si>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</si>
  <si>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</si>
  <si>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</si>
  <si>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</si>
  <si>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</si>
  <si>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</si>
  <si>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</si>
  <si>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</si>
  <si>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</si>
  <si>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</si>
  <si>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</si>
  <si>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</si>
  <si>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</si>
  <si>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</si>
  <si>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</si>
  <si>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</si>
  <si>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</si>
  <si>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</si>
  <si>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</si>
  <si>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</si>
  <si>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</si>
  <si>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</si>
  <si>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</si>
  <si>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</si>
  <si>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</si>
  <si>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</si>
  <si>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</si>
  <si>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</si>
  <si>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</si>
  <si>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</si>
  <si>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</si>
  <si>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</si>
  <si>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</si>
  <si>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</si>
  <si>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</si>
  <si>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</si>
  <si>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</si>
  <si>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</si>
  <si>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</si>
  <si>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</si>
  <si>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</si>
  <si>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</si>
  <si>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</si>
  <si>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</si>
  <si>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</si>
  <si>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</si>
  <si>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</si>
  <si>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</si>
  <si>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</si>
  <si>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</si>
  <si>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</si>
  <si>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</si>
  <si>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</si>
  <si>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</si>
  <si>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</si>
  <si>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</si>
  <si>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</si>
  <si>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</si>
  <si>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</si>
  <si>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</si>
  <si>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</si>
  <si>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</si>
  <si>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</si>
  <si>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</si>
  <si>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</si>
  <si>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</si>
  <si>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</si>
  <si>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</si>
  <si>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</si>
  <si>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</si>
  <si>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</si>
  <si>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</si>
  <si>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</si>
  <si>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</si>
  <si>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</si>
  <si>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</si>
  <si>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</si>
  <si>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</si>
  <si>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</si>
  <si>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</si>
  <si>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</si>
  <si>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</si>
  <si>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</si>
  <si>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</si>
  <si>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</si>
  <si>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</si>
  <si>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</si>
  <si>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</si>
  <si>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</si>
  <si>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</si>
  <si>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</si>
  <si>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</si>
  <si>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</si>
  <si>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</si>
  <si>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</si>
  <si>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</si>
  <si>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</si>
  <si>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</si>
  <si>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</si>
  <si>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</si>
  <si>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</si>
  <si>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</si>
  <si>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</si>
  <si>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</si>
  <si>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</si>
  <si>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</si>
  <si>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</si>
  <si>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</si>
  <si>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</si>
  <si>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</si>
  <si>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</si>
  <si>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</si>
  <si>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</si>
  <si>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</si>
  <si>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</si>
  <si>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</si>
  <si>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</si>
  <si>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</si>
  <si>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</si>
  <si>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</si>
  <si>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</si>
  <si>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</si>
  <si>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</si>
  <si>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</si>
  <si>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</si>
  <si>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</si>
  <si>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</si>
  <si>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</si>
  <si>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</si>
  <si>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</si>
  <si>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</si>
  <si>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</si>
  <si>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</si>
  <si>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</si>
  <si>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</si>
  <si>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</si>
  <si>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</si>
  <si>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</si>
  <si>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</si>
  <si>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</si>
  <si>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</si>
  <si>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</si>
  <si>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</si>
  <si>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</si>
  <si>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</si>
  <si>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</si>
  <si>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</si>
  <si>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</si>
  <si>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</si>
  <si>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</si>
  <si>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</si>
  <si>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</si>
  <si>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</si>
  <si>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</si>
  <si>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</si>
  <si>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</si>
  <si>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</si>
  <si>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</si>
  <si>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</si>
  <si>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</si>
  <si>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</si>
  <si>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</si>
  <si>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</si>
  <si>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</si>
  <si>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</si>
  <si>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</si>
  <si>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</si>
  <si>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</si>
  <si>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</si>
  <si>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</si>
  <si>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</si>
  <si>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</si>
  <si>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</si>
  <si>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</si>
  <si>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</si>
  <si>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</si>
  <si>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</si>
  <si>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</si>
  <si>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</si>
  <si>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</si>
  <si>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</si>
  <si>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</si>
  <si>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</si>
  <si>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</si>
  <si>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</si>
  <si>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</si>
  <si>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</si>
  <si>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</si>
  <si>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</si>
  <si>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</si>
  <si>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</si>
  <si>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</si>
  <si>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</si>
  <si>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</si>
  <si>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</si>
  <si>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</si>
  <si>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</si>
  <si>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</si>
  <si>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</si>
  <si>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</si>
  <si>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</si>
  <si>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</si>
  <si>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</si>
  <si>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</si>
  <si>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</si>
  <si>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</si>
  <si>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</si>
  <si>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</si>
  <si>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</si>
  <si>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</si>
  <si>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</si>
  <si>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</si>
  <si>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</si>
  <si>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</si>
  <si>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</si>
  <si>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</si>
  <si>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</si>
  <si>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</si>
  <si>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</si>
  <si>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</si>
  <si>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</si>
  <si>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</si>
  <si>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</si>
  <si>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</si>
  <si>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</si>
  <si>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</si>
  <si>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</si>
  <si>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</si>
  <si>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</si>
  <si>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</si>
  <si>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</si>
  <si>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</si>
  <si>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</si>
  <si>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</si>
  <si>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</si>
  <si>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</si>
  <si>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</si>
  <si>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</si>
  <si>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</si>
  <si>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</si>
  <si>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</si>
  <si>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</si>
  <si>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</si>
  <si>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</si>
  <si>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</si>
  <si>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</si>
  <si>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</si>
  <si>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</si>
  <si>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</si>
  <si>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</si>
  <si>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</si>
  <si>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</si>
  <si>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</si>
  <si>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</si>
  <si>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</si>
  <si>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</si>
  <si>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</si>
  <si>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</si>
  <si>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</si>
  <si>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</si>
  <si>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</si>
  <si>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</si>
  <si>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</si>
  <si>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</si>
  <si>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</si>
  <si>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</si>
  <si>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</si>
  <si>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</si>
  <si>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</si>
  <si>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</si>
  <si>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</si>
  <si>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</si>
  <si>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</si>
  <si>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</si>
  <si>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</si>
  <si>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</si>
  <si>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</si>
  <si>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</si>
  <si>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</si>
  <si>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</si>
  <si>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</si>
  <si>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</si>
  <si>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</si>
  <si>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</si>
  <si>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</si>
  <si>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</si>
  <si>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</si>
  <si>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</si>
  <si>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</si>
  <si>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</si>
  <si>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</si>
  <si>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</si>
  <si>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</si>
  <si>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</si>
  <si>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</si>
  <si>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</si>
  <si>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</si>
  <si>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</si>
  <si>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</si>
  <si>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</si>
  <si>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</si>
  <si>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</si>
  <si>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</si>
  <si>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</si>
  <si>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</si>
  <si>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</si>
  <si>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</si>
  <si>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</si>
  <si>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</si>
  <si>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</si>
  <si>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</si>
  <si>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</si>
  <si>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</si>
  <si>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</si>
  <si>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</si>
  <si>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</si>
  <si>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</si>
  <si>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</si>
  <si>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</si>
  <si>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</si>
  <si>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</si>
  <si>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</si>
  <si>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</si>
  <si>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</si>
  <si>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</si>
  <si>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</si>
  <si>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</si>
  <si>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</si>
  <si>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</si>
  <si>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</si>
  <si>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</si>
  <si>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</si>
  <si>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</si>
  <si>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</si>
  <si>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</si>
  <si>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</si>
  <si>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</si>
  <si>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</si>
  <si>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</si>
  <si>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</si>
  <si>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</si>
  <si>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</si>
  <si>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</si>
  <si>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</si>
  <si>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</si>
  <si>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</si>
  <si>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</si>
  <si>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</si>
  <si>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</si>
  <si>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</si>
  <si>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</si>
  <si>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</si>
  <si>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</si>
  <si>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</si>
  <si>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</si>
  <si>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</si>
  <si>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</si>
  <si>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</si>
  <si>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</si>
  <si>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</si>
  <si>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</si>
  <si>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</si>
  <si>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</si>
  <si>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</si>
  <si>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</si>
  <si>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</si>
  <si>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</si>
  <si>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</si>
  <si>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</si>
  <si>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</si>
  <si>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</si>
  <si>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</si>
  <si>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</si>
  <si>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</si>
  <si>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</si>
  <si>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</si>
  <si>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</si>
  <si>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</si>
  <si>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</si>
  <si>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</si>
  <si>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</si>
  <si>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</si>
  <si>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</si>
  <si>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</si>
  <si>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</si>
  <si>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</si>
  <si>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</si>
  <si>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</si>
  <si>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</si>
  <si>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</si>
  <si>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</si>
  <si>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</si>
  <si>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</si>
  <si>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</si>
  <si>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</si>
  <si>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</si>
  <si>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</si>
  <si>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</si>
  <si>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</si>
  <si>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</si>
  <si>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</si>
  <si>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</si>
  <si>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</si>
  <si>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</si>
  <si>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</si>
  <si>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</si>
  <si>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</si>
  <si>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</si>
  <si>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</si>
  <si>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</si>
  <si>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</si>
  <si>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</si>
  <si>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</si>
  <si>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</si>
  <si>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</si>
  <si>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</si>
  <si>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</si>
  <si>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</si>
  <si>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</si>
  <si>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</si>
  <si>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</si>
  <si>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</si>
  <si>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</si>
  <si>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</si>
  <si>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</si>
  <si>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</si>
  <si>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</si>
  <si>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</si>
  <si>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</si>
  <si>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</si>
  <si>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</si>
  <si>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</si>
  <si>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</si>
  <si>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</si>
  <si>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</si>
  <si>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</si>
  <si>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</si>
  <si>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</si>
  <si>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</si>
  <si>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</si>
  <si>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</si>
  <si>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</si>
  <si>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</si>
  <si>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</si>
  <si>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</si>
  <si>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</si>
  <si>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</si>
  <si>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</si>
  <si>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</si>
  <si>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</si>
  <si>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</si>
  <si>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</si>
  <si>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</si>
  <si>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</si>
  <si>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</si>
  <si>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</si>
  <si>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</si>
  <si>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</si>
  <si>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</si>
  <si>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</si>
  <si>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</si>
  <si>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</si>
  <si>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</si>
  <si>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</si>
  <si>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</si>
  <si>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</si>
  <si>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</si>
  <si>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</si>
  <si>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</si>
  <si>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</si>
  <si>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</si>
  <si>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</si>
  <si>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</si>
  <si>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</si>
  <si>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</si>
  <si>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</si>
  <si>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</si>
  <si>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</si>
  <si>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</si>
  <si>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</si>
  <si>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</si>
  <si>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</si>
  <si>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</si>
  <si>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</si>
  <si>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</si>
  <si>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</si>
  <si>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</si>
  <si>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</si>
  <si>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</si>
  <si>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</si>
  <si>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</si>
  <si>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</si>
  <si>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</si>
  <si>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</si>
  <si>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</si>
  <si>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</si>
  <si>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</si>
  <si>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</si>
  <si>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</si>
  <si>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</si>
  <si>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</si>
  <si>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</si>
  <si>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</si>
  <si>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</si>
  <si>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</si>
  <si>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</si>
  <si>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</si>
  <si>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</si>
  <si>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</si>
  <si>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</si>
  <si>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</si>
  <si>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</si>
  <si>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</si>
  <si>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</si>
  <si>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</si>
  <si>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</si>
  <si>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</si>
  <si>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</si>
  <si>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</si>
  <si>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</si>
  <si>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</si>
  <si>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</si>
  <si>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</si>
  <si>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</si>
  <si>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</si>
  <si>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</si>
  <si>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</si>
  <si>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</si>
  <si>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</si>
  <si>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</si>
  <si>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</si>
  <si>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</si>
  <si>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</si>
  <si>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</si>
  <si>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</si>
  <si>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</si>
  <si>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</si>
  <si>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</si>
  <si>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</si>
  <si>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</si>
  <si>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</si>
  <si>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</si>
  <si>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</si>
  <si>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</si>
  <si>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</si>
  <si>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</si>
  <si>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</si>
  <si>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</si>
  <si>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</si>
  <si>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</si>
  <si>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</si>
  <si>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</si>
  <si>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</si>
  <si>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</si>
  <si>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</si>
  <si>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</si>
  <si>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</si>
  <si>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</si>
  <si>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</si>
  <si>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</si>
  <si>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</si>
  <si>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</si>
  <si>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</si>
  <si>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</si>
  <si>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</si>
  <si>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</si>
  <si>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</si>
  <si>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</si>
  <si>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</si>
  <si>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</si>
  <si>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</si>
  <si>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</si>
  <si>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</si>
  <si>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</si>
  <si>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</si>
  <si>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</si>
  <si>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</si>
  <si>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</si>
  <si>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</si>
  <si>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</si>
  <si>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</si>
  <si>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</si>
  <si>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</si>
  <si>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</si>
  <si>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</si>
  <si>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</si>
  <si>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</si>
  <si>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</si>
  <si>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</si>
  <si>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</si>
  <si>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</si>
  <si>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</si>
  <si>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</si>
  <si>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</si>
  <si>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</si>
  <si>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</si>
  <si>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</si>
  <si>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</si>
  <si>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</si>
  <si>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</si>
  <si>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</si>
  <si>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</si>
  <si>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</si>
  <si>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</si>
  <si>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</si>
  <si>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</si>
  <si>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</si>
  <si>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</si>
  <si>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</si>
  <si>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</si>
  <si>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</si>
  <si>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</si>
  <si>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</si>
  <si>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</si>
  <si>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</si>
  <si>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</si>
  <si>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</si>
  <si>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</si>
  <si>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</si>
  <si>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</si>
  <si>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</si>
  <si>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</si>
  <si>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</si>
  <si>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</si>
  <si>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</si>
  <si>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</si>
  <si>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</si>
  <si>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</si>
  <si>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</si>
  <si>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</si>
  <si>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</si>
  <si>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</si>
  <si>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</si>
  <si>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</si>
  <si>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</si>
  <si>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</si>
  <si>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</si>
  <si>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</si>
  <si>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</si>
  <si>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</si>
  <si>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</si>
  <si>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</si>
  <si>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</si>
  <si>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</si>
  <si>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</si>
  <si>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</si>
  <si>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</si>
  <si>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</si>
  <si>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</si>
  <si>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</si>
  <si>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</si>
  <si>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</si>
  <si>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</si>
  <si>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</si>
  <si>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</si>
  <si>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</si>
  <si>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</si>
  <si>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</si>
  <si>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</si>
  <si>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</si>
  <si>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</si>
  <si>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</si>
  <si>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</si>
  <si>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</si>
  <si>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</si>
  <si>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</si>
  <si>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</si>
  <si>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</si>
  <si>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</si>
  <si>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</si>
  <si>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</si>
  <si>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</si>
  <si>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</si>
  <si>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</si>
  <si>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</si>
  <si>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</si>
  <si>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</si>
  <si>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</si>
  <si>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</si>
  <si>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</si>
  <si>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</si>
  <si>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</si>
  <si>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</si>
  <si>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</si>
  <si>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</si>
  <si>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</si>
  <si>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</si>
  <si>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</si>
  <si>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</si>
  <si>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</si>
  <si>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</si>
  <si>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</si>
  <si>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</si>
  <si>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</si>
  <si>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</si>
  <si>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</si>
  <si>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</si>
  <si>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</si>
  <si>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</si>
  <si>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</si>
  <si>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</si>
  <si>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</si>
  <si>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</si>
  <si>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</si>
  <si>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</si>
  <si>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</si>
  <si>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</si>
  <si>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</si>
  <si>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</si>
  <si>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</si>
  <si>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</si>
  <si>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</si>
  <si>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</si>
  <si>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</si>
  <si>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</si>
  <si>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</si>
  <si>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</si>
  <si>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</si>
  <si>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</si>
  <si>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</si>
  <si>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</si>
  <si>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</si>
  <si>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</si>
  <si>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</si>
  <si>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</si>
  <si>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</si>
  <si>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</si>
  <si>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</si>
  <si>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</si>
  <si>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</si>
  <si>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</si>
  <si>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</si>
  <si>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</si>
  <si>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</si>
  <si>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</si>
  <si>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</si>
  <si>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</si>
  <si>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</si>
  <si>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</si>
  <si>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</si>
  <si>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</si>
  <si>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</si>
  <si>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</si>
  <si>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</si>
  <si>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</si>
  <si>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</si>
  <si>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</si>
  <si>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</si>
  <si>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</si>
  <si>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</si>
  <si>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</si>
  <si>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</si>
  <si>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</si>
  <si>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</si>
  <si>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</si>
  <si>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</si>
  <si>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</si>
  <si>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</si>
  <si>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</si>
  <si>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</si>
  <si>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</si>
  <si>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</si>
  <si>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</si>
  <si>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</si>
  <si>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</si>
  <si>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</si>
  <si>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</si>
  <si>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</si>
  <si>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</si>
  <si>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</si>
  <si>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</si>
  <si>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</si>
  <si>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</si>
  <si>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</si>
  <si>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</si>
  <si>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</si>
  <si>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</si>
  <si>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</si>
  <si>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</si>
  <si>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</si>
  <si>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</si>
  <si>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</si>
  <si>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</si>
  <si>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</si>
  <si>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</si>
  <si>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</si>
  <si>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</si>
  <si>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</si>
  <si>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</si>
  <si>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</si>
  <si>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</si>
  <si>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</si>
  <si>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</si>
  <si>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</si>
  <si>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</si>
  <si>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</si>
  <si>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</si>
  <si>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</si>
  <si>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</si>
  <si>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</si>
  <si>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</si>
  <si>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</si>
  <si>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</si>
  <si>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</si>
  <si>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</si>
  <si>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</si>
  <si>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</si>
  <si>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</si>
  <si>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</si>
  <si>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</si>
  <si>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</si>
  <si>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</si>
  <si>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</si>
  <si>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</si>
  <si>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</si>
  <si>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</si>
  <si>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</si>
  <si>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</si>
  <si>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</si>
  <si>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</si>
  <si>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</si>
  <si>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</si>
  <si>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</si>
  <si>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</si>
  <si>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</si>
  <si>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</si>
  <si>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</si>
  <si>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</si>
  <si>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</si>
  <si>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</si>
  <si>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</si>
  <si>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</si>
  <si>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</si>
  <si>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</si>
  <si>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</si>
  <si>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</si>
  <si>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</si>
  <si>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</si>
  <si>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</si>
  <si>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</si>
  <si>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</si>
  <si>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</si>
  <si>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</si>
  <si>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</si>
  <si>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</si>
  <si>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</si>
  <si>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</si>
  <si>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</si>
  <si>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</si>
  <si>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</si>
  <si>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</si>
  <si>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</si>
  <si>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</si>
  <si>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</si>
  <si>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</si>
  <si>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</si>
  <si>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</si>
  <si>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</si>
  <si>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</si>
  <si>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</si>
  <si>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</si>
  <si>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</si>
  <si>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</si>
  <si>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</si>
  <si>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</si>
  <si>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</si>
  <si>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</si>
  <si>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</si>
  <si>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</si>
  <si>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</si>
  <si>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</si>
  <si>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</si>
  <si>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</si>
  <si>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</si>
  <si>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</si>
  <si>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</si>
  <si>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</si>
  <si>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</si>
  <si>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</si>
  <si>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</si>
  <si>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</si>
  <si>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</si>
  <si>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</si>
  <si>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</si>
  <si>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</si>
  <si>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</si>
  <si>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</si>
  <si>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</si>
  <si>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</si>
  <si>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</si>
  <si>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</si>
  <si>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</si>
  <si>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</si>
  <si>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</si>
  <si>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</si>
  <si>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</si>
  <si>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</si>
  <si>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</si>
  <si>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</si>
  <si>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</si>
  <si>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</si>
  <si>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</si>
  <si>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</si>
  <si>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</si>
  <si>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</si>
  <si>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</si>
  <si>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</si>
  <si>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</si>
  <si>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</si>
  <si>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</si>
  <si>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</si>
  <si>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</si>
  <si>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</si>
  <si>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</si>
  <si>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</si>
  <si>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</si>
  <si>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</si>
  <si>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</si>
  <si>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</si>
  <si>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</si>
  <si>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</si>
  <si>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</si>
  <si>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</si>
  <si>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</si>
  <si>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</si>
  <si>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</si>
  <si>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</si>
  <si>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</si>
  <si>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</si>
  <si>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</si>
  <si>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</si>
  <si>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</si>
  <si>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</si>
  <si>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</si>
  <si>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</si>
  <si>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</si>
  <si>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</si>
  <si>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</si>
  <si>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</si>
  <si>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</si>
  <si>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</si>
  <si>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</si>
  <si>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</si>
  <si>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</si>
  <si>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</si>
  <si>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</si>
  <si>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</si>
  <si>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</si>
  <si>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</si>
  <si>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</si>
  <si>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</si>
  <si>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</si>
  <si>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</si>
  <si>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</si>
  <si>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</si>
  <si>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</si>
  <si>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</si>
  <si>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</si>
  <si>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</si>
  <si>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</si>
  <si>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</si>
  <si>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</si>
  <si>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</si>
  <si>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</si>
  <si>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</si>
  <si>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</si>
  <si>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</si>
  <si>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</si>
  <si>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</si>
  <si>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</si>
  <si>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</si>
  <si>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</si>
  <si>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</si>
  <si>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</si>
  <si>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</si>
  <si>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</si>
  <si>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</si>
  <si>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</si>
  <si>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</si>
  <si>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</si>
  <si>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</si>
  <si>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</si>
  <si>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</si>
  <si>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</si>
  <si>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</si>
  <si>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</si>
  <si>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</si>
  <si>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</si>
  <si>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</si>
  <si>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</si>
  <si>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</si>
  <si>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</si>
  <si>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</si>
  <si>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</si>
  <si>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</si>
  <si>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</si>
  <si>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</si>
  <si>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</si>
  <si>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</si>
  <si>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</si>
  <si>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</si>
  <si>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</si>
  <si>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</si>
  <si>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</si>
  <si>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</si>
  <si>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</si>
  <si>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</si>
  <si>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</si>
  <si>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</si>
  <si>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</si>
  <si>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</si>
  <si>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</si>
  <si>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</si>
  <si>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</si>
  <si>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</si>
  <si>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</si>
  <si>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</si>
  <si>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</si>
  <si>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</si>
  <si>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</si>
  <si>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</si>
  <si>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</si>
  <si>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</si>
  <si>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</si>
  <si>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</si>
  <si>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</si>
  <si>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</si>
  <si>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</si>
  <si>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</si>
  <si>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</si>
  <si>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</si>
  <si>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</si>
  <si>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</si>
  <si>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</si>
  <si>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</si>
  <si>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</si>
  <si>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</si>
  <si>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</si>
  <si>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</si>
  <si>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</si>
  <si>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</si>
  <si>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</si>
  <si>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</si>
  <si>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</si>
  <si>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</si>
  <si>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</si>
  <si>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</si>
  <si>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</si>
  <si>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</si>
  <si>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</si>
  <si>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</si>
  <si>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</si>
  <si>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</si>
  <si>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</si>
  <si>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</si>
  <si>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</si>
  <si>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</si>
  <si>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</si>
  <si>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</si>
  <si>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</si>
  <si>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</si>
  <si>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</si>
  <si>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</si>
  <si>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</si>
  <si>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</si>
  <si>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</si>
  <si>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</si>
  <si>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</si>
  <si>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</si>
  <si>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</si>
  <si>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</si>
  <si>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</si>
  <si>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</si>
  <si>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</si>
  <si>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</si>
  <si>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</si>
  <si>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</si>
  <si>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</si>
  <si>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</si>
  <si>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</si>
  <si>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</si>
  <si>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</si>
  <si>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</si>
  <si>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</si>
  <si>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</si>
  <si>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</si>
  <si>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</si>
  <si>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</si>
  <si>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</si>
  <si>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</si>
  <si>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</si>
  <si>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</si>
  <si>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</si>
  <si>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</si>
  <si>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</si>
  <si>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</si>
  <si>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</si>
  <si>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</si>
  <si>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</si>
  <si>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</si>
  <si>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</si>
  <si>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</si>
  <si>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</si>
  <si>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</si>
  <si>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</si>
  <si>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</si>
  <si>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</si>
  <si>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</si>
  <si>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</si>
  <si>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</si>
  <si>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</si>
  <si>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</si>
  <si>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</si>
  <si>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</si>
  <si>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</si>
  <si>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</si>
  <si>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</si>
  <si>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</si>
  <si>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</si>
  <si>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</si>
  <si>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</si>
  <si>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</si>
  <si>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</si>
  <si>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</si>
  <si>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</si>
  <si>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</si>
  <si>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</si>
  <si>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</si>
  <si>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</si>
  <si>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</si>
  <si>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</si>
  <si>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</si>
  <si>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</si>
  <si>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</si>
  <si>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</si>
  <si>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</si>
  <si>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</si>
  <si>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</si>
  <si>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</si>
  <si>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</si>
  <si>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</si>
  <si>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</si>
  <si>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</si>
  <si>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</si>
  <si>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</si>
  <si>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</si>
  <si>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</si>
  <si>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</si>
  <si>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</si>
  <si>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</si>
  <si>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</si>
  <si>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</si>
  <si>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</si>
  <si>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</si>
  <si>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</si>
  <si>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</si>
  <si>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</si>
  <si>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</si>
  <si>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</si>
  <si>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</si>
  <si>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</si>
  <si>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</si>
  <si>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</si>
  <si>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</si>
  <si>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</si>
  <si>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</si>
  <si>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</si>
  <si>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</si>
  <si>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</si>
  <si>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</si>
  <si>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</si>
  <si>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</si>
  <si>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</si>
  <si>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</si>
  <si>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</si>
  <si>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</si>
  <si>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</si>
  <si>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</si>
  <si>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</si>
  <si>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</si>
  <si>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</si>
  <si>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</si>
  <si>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</si>
  <si>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</si>
  <si>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</si>
  <si>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</si>
  <si>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</si>
  <si>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</si>
  <si>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</si>
  <si>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</si>
  <si>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</si>
  <si>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</si>
  <si>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</si>
  <si>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</si>
  <si>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</si>
  <si>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</si>
  <si>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</si>
  <si>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</si>
  <si>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</si>
  <si>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</si>
  <si>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</si>
  <si>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</si>
  <si>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</si>
  <si>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</si>
  <si>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</si>
  <si>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</si>
  <si>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</si>
  <si>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</si>
  <si>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</si>
  <si>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</si>
  <si>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</si>
  <si>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</si>
  <si>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</si>
  <si>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</si>
  <si>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</si>
  <si>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</si>
  <si>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</si>
  <si>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</si>
  <si>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</si>
  <si>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</si>
  <si>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</si>
  <si>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</si>
  <si>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</si>
  <si>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</si>
  <si>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</si>
  <si>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</si>
  <si>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</si>
  <si>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</si>
  <si>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</si>
  <si>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</si>
  <si>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</si>
  <si>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</si>
  <si>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</si>
  <si>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</si>
  <si>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</si>
  <si>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</si>
  <si>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</si>
  <si>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</si>
  <si>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</si>
  <si>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</si>
  <si>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</si>
  <si>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</si>
  <si>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</si>
  <si>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</si>
  <si>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</si>
  <si>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</si>
  <si>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</si>
  <si>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</si>
  <si>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</si>
  <si>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</si>
  <si>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</si>
  <si>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</si>
  <si>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</si>
  <si>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</si>
  <si>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</si>
  <si>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</si>
  <si>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</si>
  <si>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</si>
  <si>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</si>
  <si>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</si>
  <si>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</si>
  <si>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</si>
  <si>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</si>
  <si>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</si>
  <si>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</si>
  <si>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</si>
  <si>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</si>
  <si>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</si>
  <si>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</si>
  <si>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</si>
  <si>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</si>
  <si>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</si>
  <si>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</si>
  <si>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</si>
  <si>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</si>
  <si>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</si>
  <si>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</si>
  <si>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</si>
  <si>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</si>
  <si>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</si>
  <si>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</si>
  <si>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</si>
  <si>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</si>
  <si>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</si>
  <si>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</si>
  <si>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</si>
  <si>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</si>
  <si>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</si>
  <si>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</si>
  <si>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</si>
  <si>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</si>
  <si>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</si>
  <si>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</si>
  <si>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</si>
  <si>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</si>
  <si>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</si>
  <si>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</si>
  <si>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</si>
  <si>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</si>
  <si>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</si>
  <si>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</si>
  <si>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</si>
  <si>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</si>
  <si>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</si>
  <si>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</si>
  <si>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</si>
  <si>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</si>
  <si>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</si>
  <si>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</si>
  <si>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</si>
  <si>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</si>
  <si>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</si>
  <si>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</si>
  <si>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</si>
  <si>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</si>
  <si>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</si>
  <si>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</si>
  <si>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</si>
  <si>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</si>
  <si>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</si>
  <si>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</si>
  <si>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</si>
  <si>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</si>
  <si>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</si>
  <si>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</si>
  <si>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</si>
  <si>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</si>
  <si>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</si>
  <si>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</si>
  <si>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</si>
  <si>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</si>
  <si>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</si>
  <si>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</si>
  <si>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</si>
  <si>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</si>
  <si>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</si>
  <si>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</si>
  <si>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</si>
  <si>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</si>
  <si>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</si>
  <si>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</si>
  <si>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</si>
  <si>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</si>
  <si>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</si>
  <si>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</si>
  <si>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</si>
  <si>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</si>
  <si>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</si>
  <si>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</si>
  <si>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</si>
  <si>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</si>
  <si>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</si>
  <si>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</si>
  <si>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</si>
  <si>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</si>
  <si>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</si>
  <si>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</si>
  <si>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</si>
  <si>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</si>
  <si>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</si>
  <si>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</si>
  <si>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</si>
  <si>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</si>
  <si>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</si>
  <si>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</si>
  <si>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</si>
  <si>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</si>
  <si>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</si>
  <si>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</si>
  <si>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</si>
  <si>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</si>
  <si>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</si>
  <si>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</si>
  <si>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</si>
  <si>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</si>
  <si>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</si>
  <si>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</si>
  <si>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</si>
  <si>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</si>
  <si>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</si>
  <si>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</si>
  <si>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</si>
  <si>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</si>
  <si>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</si>
  <si>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</si>
  <si>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</si>
  <si>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</si>
  <si>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</si>
  <si>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</si>
  <si>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</si>
  <si>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</si>
  <si>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</si>
  <si>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</si>
  <si>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</si>
  <si>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</si>
  <si>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</si>
  <si>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</si>
  <si>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</si>
  <si>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</si>
  <si>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</si>
  <si>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</si>
  <si>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</si>
  <si>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</si>
  <si>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</si>
  <si>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</si>
  <si>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</si>
  <si>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</si>
  <si>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</si>
  <si>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</si>
  <si>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</si>
  <si>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</si>
  <si>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</si>
  <si>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</si>
  <si>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</si>
  <si>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</si>
  <si>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</si>
  <si>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</si>
  <si>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</si>
  <si>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</si>
  <si>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</si>
  <si>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</si>
  <si>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</si>
  <si>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</si>
  <si>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</si>
  <si>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</si>
  <si>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</si>
  <si>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</si>
  <si>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</si>
  <si>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</si>
  <si>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</si>
  <si>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</si>
  <si>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</si>
  <si>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</si>
  <si>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</si>
  <si>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</si>
  <si>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</si>
  <si>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</si>
  <si>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</si>
  <si>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</si>
  <si>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</si>
  <si>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</si>
  <si>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</si>
  <si>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</si>
  <si>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</si>
  <si>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</si>
  <si>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</si>
  <si>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</si>
  <si>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</si>
  <si>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</si>
  <si>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</si>
  <si>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</si>
  <si>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</si>
  <si>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</si>
  <si>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</si>
  <si>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</si>
  <si>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</si>
  <si>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</si>
  <si>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</si>
  <si>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</si>
  <si>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</si>
  <si>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</si>
  <si>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</si>
  <si>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</si>
  <si>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</si>
  <si>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</si>
  <si>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</si>
  <si>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</si>
  <si>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</si>
  <si>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</si>
  <si>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</si>
  <si>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</si>
  <si>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</si>
  <si>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</si>
  <si>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</si>
  <si>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</si>
  <si>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</si>
  <si>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</si>
  <si>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</si>
  <si>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</si>
  <si>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</si>
  <si>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</si>
  <si>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</si>
  <si>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</si>
  <si>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</si>
  <si>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</si>
  <si>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</si>
  <si>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</si>
  <si>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</si>
  <si>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</si>
  <si>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</si>
  <si>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</si>
  <si>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</si>
  <si>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</si>
  <si>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</si>
  <si>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</si>
  <si>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</si>
  <si>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</si>
  <si>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</si>
  <si>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</si>
  <si>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</si>
  <si>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</si>
  <si>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</si>
  <si>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</si>
  <si>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</si>
  <si>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</si>
  <si>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</si>
  <si>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</si>
  <si>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</si>
  <si>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</si>
  <si>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</si>
  <si>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</si>
  <si>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</si>
  <si>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</si>
  <si>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</si>
  <si>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</si>
  <si>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</si>
  <si>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</si>
  <si>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</si>
  <si>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</si>
  <si>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</si>
  <si>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</si>
  <si>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</si>
  <si>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</si>
  <si>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</si>
  <si>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</si>
  <si>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</si>
  <si>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</si>
  <si>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</si>
  <si>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</si>
  <si>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</si>
  <si>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</si>
  <si>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</si>
  <si>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</si>
  <si>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</si>
  <si>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</si>
  <si>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</si>
  <si>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</si>
  <si>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</si>
  <si>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</si>
  <si>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</si>
  <si>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</si>
  <si>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</si>
  <si>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</si>
  <si>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</si>
  <si>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</si>
  <si>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</si>
  <si>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</si>
  <si>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</si>
  <si>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</si>
  <si>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</si>
  <si>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</si>
  <si>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</si>
  <si>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</si>
  <si>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</si>
  <si>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</si>
  <si>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</si>
  <si>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</si>
  <si>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</si>
  <si>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</si>
  <si>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</si>
  <si>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</si>
  <si>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</si>
  <si>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</si>
  <si>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</si>
  <si>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</si>
  <si>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</si>
  <si>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</si>
  <si>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</si>
  <si>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</si>
  <si>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</si>
  <si>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</si>
  <si>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</si>
  <si>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</si>
  <si>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</si>
  <si>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</si>
  <si>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</si>
  <si>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</si>
  <si>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</si>
  <si>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</si>
  <si>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</si>
  <si>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</si>
  <si>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</si>
  <si>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</si>
  <si>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</si>
  <si>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</si>
  <si>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</si>
  <si>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</si>
  <si>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</si>
  <si>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</si>
  <si>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</si>
  <si>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</si>
  <si>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</si>
  <si>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</si>
  <si>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</si>
  <si>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</si>
  <si>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</si>
  <si>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</si>
  <si>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</si>
  <si>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</si>
  <si>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</si>
  <si>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</si>
  <si>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</si>
  <si>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</si>
  <si>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</si>
  <si>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</si>
  <si>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</si>
  <si>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</si>
  <si>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</si>
  <si>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</si>
  <si>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</si>
  <si>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</si>
  <si>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</si>
  <si>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</si>
  <si>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</si>
  <si>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</si>
  <si>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</si>
  <si>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</si>
  <si>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</si>
  <si>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</si>
  <si>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</si>
  <si>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</si>
  <si>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</si>
  <si>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</si>
  <si>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</si>
  <si>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</si>
  <si>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</si>
  <si>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</si>
  <si>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</si>
  <si>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</si>
  <si>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</si>
  <si>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</si>
  <si>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</si>
  <si>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</si>
  <si>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</si>
  <si>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</si>
  <si>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</si>
  <si>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</si>
  <si>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</si>
  <si>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</si>
  <si>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</si>
  <si>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</si>
  <si>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</si>
  <si>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</si>
  <si>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</si>
  <si>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</si>
  <si>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</si>
  <si>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</si>
  <si>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</si>
  <si>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</si>
  <si>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</si>
  <si>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</si>
  <si>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</si>
  <si>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</si>
  <si>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</si>
  <si>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</si>
  <si>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</si>
  <si>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</si>
  <si>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</si>
  <si>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</si>
  <si>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</si>
  <si>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</si>
  <si>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</si>
  <si>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</si>
  <si>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</si>
  <si>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</si>
  <si>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</si>
  <si>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</si>
  <si>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</si>
  <si>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</si>
  <si>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</si>
  <si>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</si>
  <si>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</si>
  <si>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</si>
  <si>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</si>
  <si>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</si>
  <si>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</si>
  <si>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</si>
  <si>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</si>
  <si>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</si>
  <si>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</si>
  <si>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</si>
  <si>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</si>
  <si>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</si>
  <si>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</si>
  <si>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</si>
  <si>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</si>
  <si>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</si>
  <si>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</si>
  <si>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</si>
  <si>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</si>
  <si>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</si>
  <si>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</si>
  <si>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</si>
  <si>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</si>
  <si>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</si>
  <si>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</si>
  <si>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</si>
  <si>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</si>
  <si>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</si>
  <si>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</si>
  <si>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</si>
  <si>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</si>
  <si>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</si>
  <si>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</si>
  <si>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</si>
  <si>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</si>
  <si>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</si>
  <si>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</si>
  <si>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</si>
  <si>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</si>
  <si>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</si>
  <si>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</si>
  <si>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</si>
  <si>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</si>
  <si>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</si>
  <si>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</si>
  <si>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</si>
  <si>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</si>
  <si>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</si>
  <si>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</si>
  <si>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</si>
  <si>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</si>
  <si>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</si>
  <si>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</si>
  <si>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</si>
  <si>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</si>
  <si>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</si>
  <si>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</si>
  <si>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</si>
  <si>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</si>
  <si>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</si>
  <si>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</si>
  <si>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</si>
  <si>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</si>
  <si>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</si>
  <si>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</si>
  <si>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</si>
  <si>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</si>
  <si>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</si>
  <si>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</si>
  <si>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</si>
  <si>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</si>
  <si>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</si>
  <si>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</si>
  <si>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</si>
  <si>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</si>
  <si>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</si>
  <si>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</si>
  <si>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</si>
  <si>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</si>
  <si>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</si>
  <si>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</si>
  <si>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</si>
  <si>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</si>
  <si>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</si>
  <si>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</si>
  <si>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</si>
  <si>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</si>
  <si>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</si>
  <si>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</si>
  <si>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</si>
  <si>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</si>
  <si>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</si>
  <si>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</si>
  <si>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</si>
  <si>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</si>
  <si>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</si>
  <si>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</si>
  <si>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</si>
  <si>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</si>
  <si>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</si>
  <si>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</si>
  <si>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</si>
  <si>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</si>
  <si>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</si>
  <si>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</si>
  <si>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</si>
  <si>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</si>
  <si>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</si>
  <si>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</si>
  <si>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</si>
  <si>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</si>
  <si>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</si>
  <si>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</si>
  <si>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</si>
  <si>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</si>
  <si>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</si>
  <si>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</si>
  <si>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</si>
  <si>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</si>
  <si>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</si>
  <si>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</si>
  <si>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</si>
  <si>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</si>
  <si>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</si>
  <si>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</si>
  <si>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</si>
  <si>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</si>
  <si>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</si>
  <si>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</si>
  <si>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</si>
  <si>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</si>
  <si>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</si>
  <si>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</si>
  <si>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</si>
  <si>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</si>
  <si>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</si>
  <si>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</si>
  <si>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</si>
  <si>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</si>
  <si>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</si>
  <si>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</si>
  <si>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</si>
  <si>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</si>
  <si>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</si>
  <si>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</si>
  <si>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</si>
  <si>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</si>
  <si>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</si>
  <si>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</si>
  <si>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</si>
  <si>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</si>
  <si>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</si>
  <si>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</si>
  <si>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</si>
  <si>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</si>
  <si>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</si>
  <si>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</si>
  <si>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</si>
  <si>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</si>
  <si>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</si>
  <si>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</si>
  <si>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</si>
  <si>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</si>
  <si>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</si>
  <si>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</si>
  <si>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</si>
  <si>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</si>
  <si>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</si>
  <si>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</si>
  <si>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</si>
  <si>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</si>
  <si>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</si>
  <si>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</si>
  <si>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</si>
  <si>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</si>
  <si>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</si>
  <si>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</si>
  <si>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</si>
  <si>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</si>
  <si>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</si>
  <si>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</si>
  <si>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</si>
  <si>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</si>
  <si>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</si>
  <si>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</si>
  <si>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</si>
  <si>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</si>
  <si>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</si>
  <si>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</si>
  <si>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</si>
  <si>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</si>
  <si>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</si>
  <si>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</si>
  <si>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</si>
  <si>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</si>
  <si>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</si>
  <si>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</si>
  <si>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</si>
  <si>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</si>
  <si>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</si>
  <si>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</si>
  <si>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</si>
  <si>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</si>
  <si>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</si>
  <si>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</si>
  <si>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</si>
  <si>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</si>
  <si>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</si>
  <si>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</si>
  <si>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</si>
  <si>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</si>
  <si>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</si>
  <si>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</si>
  <si>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</si>
  <si>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</si>
  <si>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</si>
  <si>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</si>
  <si>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</si>
  <si>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</si>
  <si>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</si>
  <si>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</si>
  <si>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</si>
  <si>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</si>
  <si>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</si>
  <si>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</si>
  <si>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</si>
  <si>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</si>
  <si>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</si>
  <si>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</si>
  <si>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</si>
  <si>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</si>
  <si>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</si>
  <si>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</si>
  <si>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</si>
  <si>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</si>
  <si>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</si>
  <si>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</si>
  <si>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</si>
  <si>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</si>
  <si>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</si>
  <si>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</si>
  <si>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</si>
  <si>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</si>
  <si>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</si>
  <si>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</si>
  <si>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</si>
  <si>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</si>
  <si>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</si>
  <si>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</si>
  <si>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</si>
  <si>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</si>
  <si>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</si>
  <si>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</si>
  <si>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</si>
  <si>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</si>
  <si>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</si>
  <si>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</si>
  <si>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</si>
  <si>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</si>
  <si>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</si>
  <si>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</si>
  <si>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</si>
  <si>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</si>
  <si>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</si>
  <si>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</si>
  <si>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</si>
  <si>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</si>
  <si>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</si>
  <si>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</si>
  <si>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</si>
  <si>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</si>
  <si>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</si>
  <si>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</si>
  <si>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</si>
  <si>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</si>
  <si>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</si>
  <si>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</si>
  <si>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</si>
  <si>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</si>
  <si>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</si>
  <si>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</si>
  <si>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</si>
  <si>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</si>
  <si>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</si>
  <si>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</si>
  <si>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</si>
  <si>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</si>
  <si>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</si>
  <si>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</si>
  <si>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</si>
  <si>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</si>
  <si>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</si>
  <si>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</si>
  <si>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</si>
  <si>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</si>
  <si>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</si>
  <si>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</si>
  <si>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</si>
  <si>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</si>
  <si>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</si>
  <si>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</si>
  <si>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</si>
  <si>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</si>
  <si>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</si>
  <si>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</si>
  <si>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</si>
  <si>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</si>
  <si>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</si>
  <si>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</si>
  <si>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</si>
  <si>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</si>
  <si>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</si>
  <si>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</si>
  <si>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</si>
  <si>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</si>
  <si>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</si>
  <si>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</si>
  <si>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</si>
  <si>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</si>
  <si>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</si>
  <si>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</si>
  <si>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</si>
  <si>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</si>
  <si>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</si>
  <si>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</si>
  <si>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</si>
  <si>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</si>
  <si>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</si>
  <si>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</si>
  <si>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</si>
  <si>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</si>
  <si>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</si>
  <si>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</si>
  <si>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</si>
  <si>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</si>
  <si>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</si>
  <si>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</si>
  <si>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</si>
  <si>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</si>
  <si>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</si>
  <si>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</si>
  <si>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</si>
  <si>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</si>
  <si>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</si>
  <si>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</si>
  <si>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</si>
  <si>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</si>
  <si>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</si>
  <si>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</si>
  <si>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</si>
  <si>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</si>
  <si>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</si>
  <si>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</si>
  <si>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</si>
  <si>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</si>
  <si>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</si>
  <si>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</si>
  <si>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</si>
  <si>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</si>
  <si>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</si>
  <si>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</si>
  <si>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</si>
  <si>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</si>
  <si>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</si>
  <si>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</si>
  <si>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</si>
  <si>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</si>
  <si>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</si>
  <si>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</si>
  <si>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</si>
  <si>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</si>
  <si>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</si>
  <si>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</si>
  <si>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</si>
  <si>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</si>
  <si>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</si>
  <si>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</si>
  <si>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</si>
  <si>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</si>
  <si>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</si>
  <si>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</si>
  <si>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</si>
  <si>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</si>
  <si>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</si>
  <si>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</si>
  <si>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</si>
  <si>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</si>
  <si>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</si>
  <si>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</si>
  <si>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</si>
  <si>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</si>
  <si>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</si>
  <si>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</si>
  <si>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</si>
  <si>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</si>
  <si>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</si>
  <si>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</si>
  <si>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</si>
  <si>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</si>
  <si>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</si>
  <si>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</si>
  <si>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</si>
  <si>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</si>
  <si>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</si>
  <si>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</si>
  <si>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</si>
  <si>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</si>
  <si>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</si>
  <si>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</si>
  <si>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</si>
  <si>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</si>
  <si>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</si>
  <si>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</si>
  <si>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</si>
  <si>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</si>
  <si>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</si>
  <si>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</si>
  <si>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</si>
  <si>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</si>
  <si>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</si>
  <si>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</si>
  <si>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</si>
  <si>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</si>
  <si>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</si>
  <si>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</si>
  <si>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</si>
  <si>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</si>
  <si>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</si>
  <si>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</si>
  <si>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</si>
  <si>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</si>
  <si>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</si>
  <si>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</si>
  <si>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</si>
  <si>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</si>
  <si>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</si>
  <si>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</si>
  <si>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</si>
  <si>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</si>
  <si>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</si>
  <si>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</si>
  <si>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</si>
  <si>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</si>
  <si>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</si>
  <si>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</si>
  <si>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</si>
  <si>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</si>
  <si>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</si>
  <si>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</si>
  <si>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</si>
  <si>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</si>
  <si>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</si>
  <si>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</si>
  <si>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</si>
  <si>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</si>
  <si>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</si>
  <si>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</si>
  <si>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</si>
  <si>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</si>
  <si>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</si>
  <si>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</si>
  <si>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</si>
  <si>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</si>
  <si>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</si>
  <si>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</si>
  <si>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</si>
  <si>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</si>
  <si>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</si>
  <si>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</si>
  <si>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</si>
  <si>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</si>
  <si>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</si>
  <si>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</si>
  <si>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</si>
  <si>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</si>
  <si>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</si>
  <si>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</si>
  <si>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</si>
  <si>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</si>
  <si>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</si>
  <si>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</si>
  <si>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</si>
  <si>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</si>
  <si>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</si>
  <si>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</si>
  <si>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</si>
  <si>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</si>
  <si>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</si>
  <si>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</si>
  <si>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</si>
  <si>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</si>
  <si>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</si>
  <si>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</si>
  <si>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</si>
  <si>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</si>
  <si>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</si>
  <si>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</si>
  <si>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</si>
  <si>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</si>
  <si>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</si>
  <si>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</si>
  <si>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</si>
  <si>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</si>
  <si>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</si>
  <si>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</si>
  <si>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</si>
  <si>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</si>
  <si>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</si>
  <si>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</si>
  <si>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</si>
  <si>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</si>
  <si>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</si>
  <si>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</si>
  <si>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</si>
  <si>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</si>
  <si>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</si>
  <si>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</si>
  <si>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</si>
  <si>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</si>
  <si>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</si>
  <si>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</si>
  <si>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</si>
  <si>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</si>
  <si>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</si>
  <si>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</si>
  <si>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</si>
  <si>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</si>
  <si>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</si>
  <si>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</si>
  <si>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</si>
  <si>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</si>
  <si>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</si>
  <si>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</si>
  <si>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</si>
  <si>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</si>
  <si>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</si>
  <si>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</si>
  <si>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</si>
  <si>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</si>
  <si>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</si>
  <si>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</si>
  <si>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</si>
  <si>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</si>
  <si>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</si>
  <si>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</si>
  <si>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</si>
  <si>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</si>
  <si>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</si>
  <si>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</si>
  <si>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</si>
  <si>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</si>
  <si>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</si>
  <si>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</si>
  <si>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</si>
  <si>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</si>
  <si>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</si>
  <si>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</si>
  <si>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</si>
  <si>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</si>
  <si>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</si>
  <si>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</si>
  <si>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</si>
  <si>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</si>
  <si>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</si>
  <si>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</si>
  <si>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</si>
  <si>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</si>
  <si>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</si>
  <si>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</si>
  <si>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</si>
  <si>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</si>
  <si>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</si>
  <si>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</si>
  <si>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</si>
  <si>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</si>
  <si>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</si>
  <si>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</si>
  <si>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</si>
  <si>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</si>
  <si>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</si>
  <si>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</si>
  <si>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</si>
  <si>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</si>
  <si>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</si>
  <si>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</si>
  <si>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</si>
  <si>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</si>
  <si>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</si>
  <si>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</si>
  <si>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</si>
  <si>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</si>
  <si>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</si>
  <si>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</si>
  <si>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</si>
  <si>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</si>
  <si>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</si>
  <si>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</si>
  <si>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</si>
  <si>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</si>
  <si>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</si>
  <si>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</si>
  <si>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</si>
  <si>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</si>
  <si>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</si>
  <si>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</si>
  <si>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</si>
  <si>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</si>
  <si>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</si>
  <si>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</si>
  <si>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</si>
  <si>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</si>
  <si>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</si>
  <si>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</si>
  <si>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</si>
  <si>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</si>
  <si>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</si>
  <si>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</si>
  <si>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</si>
  <si>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</si>
  <si>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</si>
  <si>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</si>
  <si>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</si>
  <si>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</si>
  <si>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</si>
  <si>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</si>
  <si>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</si>
  <si>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</si>
  <si>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</si>
  <si>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</si>
  <si>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</si>
  <si>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</si>
  <si>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</si>
  <si>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</si>
  <si>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</si>
  <si>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</si>
  <si>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</si>
  <si>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</si>
  <si>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</si>
  <si>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</si>
  <si>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</si>
  <si>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</si>
  <si>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</si>
  <si>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</si>
  <si>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</si>
  <si>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</si>
  <si>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</si>
  <si>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</si>
  <si>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</si>
  <si>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</si>
  <si>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</si>
  <si>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</si>
  <si>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</si>
  <si>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</si>
  <si>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</si>
  <si>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</si>
  <si>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</si>
  <si>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</si>
  <si>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</si>
  <si>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</si>
  <si>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</si>
  <si>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</si>
  <si>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</si>
  <si>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</si>
  <si>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</si>
  <si>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</si>
  <si>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</si>
  <si>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</si>
  <si>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</si>
  <si>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</si>
  <si>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</si>
  <si>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</si>
  <si>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</si>
  <si>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</si>
  <si>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</si>
  <si>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</si>
  <si>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</si>
  <si>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</si>
  <si>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</si>
  <si>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</si>
  <si>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</si>
  <si>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</si>
  <si>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</si>
  <si>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</si>
  <si>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</si>
  <si>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</si>
  <si>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</si>
  <si>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</si>
  <si>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</si>
  <si>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</si>
  <si>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</si>
  <si>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</si>
  <si>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</si>
  <si>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</si>
  <si>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</si>
  <si>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</si>
  <si>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</si>
  <si>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</si>
  <si>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</si>
  <si>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</si>
  <si>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</si>
  <si>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</si>
  <si>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</si>
  <si>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</si>
  <si>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</si>
  <si>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</si>
  <si>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</si>
  <si>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</si>
  <si>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</si>
  <si>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</si>
  <si>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</si>
  <si>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</si>
  <si>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</si>
  <si>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</si>
  <si>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</si>
  <si>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</si>
  <si>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</si>
  <si>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</si>
  <si>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</si>
  <si>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</si>
  <si>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</si>
  <si>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</si>
  <si>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</si>
  <si>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</si>
  <si>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</si>
  <si>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</si>
  <si>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</si>
  <si>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</si>
  <si>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</si>
  <si>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</si>
  <si>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</si>
  <si>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</si>
  <si>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</si>
  <si>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</si>
  <si>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</si>
  <si>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</si>
  <si>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</si>
  <si>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</si>
  <si>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</si>
  <si>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</si>
  <si>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</si>
  <si>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</si>
  <si>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</si>
  <si>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</si>
  <si>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</si>
  <si>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</si>
  <si>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</si>
  <si>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</si>
  <si>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</si>
  <si>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</si>
  <si>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</si>
  <si>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</si>
  <si>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</si>
  <si>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</si>
  <si>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</si>
  <si>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</si>
  <si>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</si>
  <si>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</si>
  <si>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</si>
  <si>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</si>
  <si>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</si>
  <si>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</si>
  <si>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</si>
  <si>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</si>
  <si>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</si>
  <si>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</si>
  <si>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</si>
  <si>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</si>
  <si>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</si>
  <si>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</si>
  <si>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</si>
  <si>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</si>
  <si>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</si>
  <si>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</si>
  <si>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</si>
  <si>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</si>
  <si>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</si>
  <si>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</si>
  <si>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</si>
  <si>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</si>
  <si>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</si>
  <si>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</si>
  <si>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</si>
  <si>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</si>
  <si>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</si>
  <si>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</si>
  <si>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</si>
  <si>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</si>
  <si>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</si>
  <si>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</si>
  <si>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</si>
  <si>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</si>
  <si>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</si>
  <si>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</si>
  <si>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</si>
  <si>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</si>
  <si>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</si>
  <si>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</si>
  <si>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</si>
  <si>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</si>
  <si>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</si>
  <si>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</si>
  <si>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</si>
  <si>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</si>
  <si>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</si>
  <si>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</si>
  <si>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</si>
  <si>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</si>
  <si>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</si>
  <si>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</si>
  <si>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</si>
  <si>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</si>
  <si>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</si>
  <si>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</si>
  <si>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</si>
  <si>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</si>
  <si>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</si>
  <si>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</si>
  <si>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</si>
  <si>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</si>
  <si>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</si>
  <si>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</si>
  <si>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</si>
  <si>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</si>
  <si>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</si>
  <si>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</si>
  <si>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</si>
  <si>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</si>
  <si>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</si>
  <si>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</si>
  <si>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</si>
  <si>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</si>
  <si>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</si>
  <si>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</si>
  <si>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</si>
  <si>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</si>
  <si>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</si>
  <si>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</si>
  <si>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</si>
  <si>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</si>
  <si>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</si>
  <si>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</si>
  <si>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</si>
  <si>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</si>
  <si>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</si>
  <si>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</si>
  <si>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</si>
  <si>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</si>
  <si>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</si>
  <si>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</si>
  <si>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</si>
  <si>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</si>
  <si>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</si>
  <si>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</si>
  <si>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</si>
  <si>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</si>
  <si>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</si>
  <si>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</si>
  <si>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</si>
  <si>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</si>
  <si>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</si>
  <si>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</si>
  <si>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</si>
  <si>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</si>
  <si>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</si>
  <si>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</si>
  <si>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</si>
  <si>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</si>
  <si>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</si>
  <si>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</si>
  <si>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</si>
  <si>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</si>
  <si>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</si>
  <si>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</si>
  <si>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</si>
  <si>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</si>
  <si>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</si>
  <si>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</si>
  <si>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</si>
  <si>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</si>
  <si>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</si>
  <si>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</si>
  <si>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</si>
  <si>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</si>
  <si>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</si>
  <si>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</si>
  <si>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</si>
  <si>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</si>
  <si>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</si>
  <si>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</si>
  <si>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</si>
  <si>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</si>
  <si>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</si>
  <si>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</si>
  <si>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</si>
  <si>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</si>
  <si>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</si>
  <si>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</si>
  <si>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</si>
  <si>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</si>
  <si>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</si>
  <si>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</si>
  <si>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</si>
  <si>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</si>
  <si>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</si>
  <si>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</si>
  <si>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</si>
  <si>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</si>
  <si>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</si>
  <si>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</si>
  <si>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</si>
  <si>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</si>
  <si>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</si>
  <si>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</si>
  <si>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</si>
  <si>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</si>
  <si>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</si>
  <si>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</si>
  <si>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</si>
  <si>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</si>
  <si>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</si>
  <si>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</si>
  <si>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</si>
  <si>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</si>
  <si>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</si>
  <si>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</si>
  <si>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</si>
  <si>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</si>
  <si>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</si>
  <si>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</si>
  <si>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</si>
  <si>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</si>
  <si>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</si>
  <si>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</si>
  <si>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</si>
  <si>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</si>
  <si>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</si>
  <si>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</si>
  <si>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</si>
  <si>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</si>
  <si>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</si>
  <si>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</si>
  <si>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</si>
  <si>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</si>
  <si>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</si>
  <si>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</si>
  <si>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</si>
  <si>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</si>
  <si>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</si>
  <si>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</si>
  <si>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</si>
  <si>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</si>
  <si>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</si>
  <si>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</si>
  <si>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</si>
  <si>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</si>
  <si>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</si>
  <si>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</si>
  <si>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</si>
  <si>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</si>
  <si>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</si>
  <si>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</si>
  <si>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</si>
  <si>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</si>
  <si>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</si>
  <si>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</si>
  <si>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</si>
  <si>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</si>
  <si>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</si>
  <si>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</si>
  <si>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</si>
  <si>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</si>
  <si>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</si>
  <si>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</si>
  <si>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</si>
  <si>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</si>
  <si>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</si>
  <si>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</si>
  <si>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</si>
  <si>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</si>
  <si>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</si>
  <si>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</si>
  <si>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</si>
  <si>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</si>
  <si>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</si>
  <si>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</si>
  <si>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</si>
  <si>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</si>
  <si>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</si>
  <si>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</si>
  <si>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</si>
  <si>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</si>
  <si>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</si>
  <si>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</si>
  <si>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</si>
  <si>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</si>
  <si>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</si>
  <si>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</si>
  <si>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</si>
  <si>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</si>
  <si>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</si>
  <si>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</si>
  <si>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</si>
  <si>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</si>
  <si>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</si>
  <si>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</si>
  <si>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</si>
  <si>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</si>
  <si>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</si>
  <si>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</si>
  <si>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</si>
  <si>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</si>
  <si>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</si>
  <si>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</si>
  <si>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</si>
  <si>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</si>
  <si>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</si>
  <si>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</si>
  <si>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</si>
  <si>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</si>
  <si>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</si>
  <si>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</si>
  <si>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</si>
  <si>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</si>
  <si>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</si>
  <si>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</si>
  <si>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</si>
  <si>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</si>
  <si>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</si>
  <si>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</si>
  <si>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</si>
  <si>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</si>
  <si>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</si>
  <si>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</si>
  <si>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</si>
  <si>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</si>
  <si>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</si>
  <si>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</si>
  <si>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</si>
  <si>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</si>
  <si>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</si>
  <si>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</si>
  <si>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</si>
  <si>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</si>
  <si>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</si>
  <si>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</si>
  <si>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</si>
  <si>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</si>
  <si>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</si>
  <si>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</si>
  <si>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</si>
  <si>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</si>
  <si>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</si>
  <si>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</si>
  <si>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</si>
  <si>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</si>
  <si>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</si>
  <si>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</si>
  <si>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</si>
  <si>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</si>
  <si>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</si>
  <si>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</si>
  <si>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</si>
  <si>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</si>
  <si>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</si>
  <si>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</si>
  <si>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</si>
  <si>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</si>
  <si>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</si>
  <si>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</si>
  <si>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</si>
  <si>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</si>
  <si>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</si>
  <si>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</si>
  <si>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</si>
  <si>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</si>
  <si>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</si>
  <si>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</si>
  <si>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</si>
  <si>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</si>
  <si>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</si>
  <si>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</si>
  <si>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</si>
  <si>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</si>
  <si>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</si>
  <si>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</si>
  <si>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</si>
  <si>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</si>
  <si>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</si>
  <si>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</si>
  <si>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</si>
  <si>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</si>
  <si>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</si>
  <si>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</si>
  <si>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</si>
  <si>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</si>
  <si>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</si>
  <si>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</si>
  <si>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</si>
  <si>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</si>
  <si>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</si>
  <si>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</si>
  <si>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</si>
  <si>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</si>
  <si>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</si>
  <si>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</si>
  <si>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</si>
  <si>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</si>
  <si>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</si>
  <si>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</si>
  <si>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</si>
  <si>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</si>
  <si>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</si>
  <si>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</si>
  <si>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</si>
  <si>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</si>
  <si>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</si>
  <si>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</si>
  <si>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</si>
  <si>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</si>
  <si>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</si>
  <si>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</si>
  <si>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</si>
  <si>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</si>
  <si>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</si>
  <si>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</si>
  <si>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</si>
  <si>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</si>
  <si>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</si>
  <si>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</si>
  <si>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</si>
  <si>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</si>
  <si>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</si>
  <si>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</si>
  <si>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</si>
  <si>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</si>
  <si>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</si>
  <si>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</si>
  <si>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</si>
  <si>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</si>
  <si>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</si>
  <si>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</si>
  <si>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</si>
  <si>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</si>
  <si>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</si>
  <si>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</si>
  <si>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</si>
  <si>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</si>
  <si>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</si>
  <si>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</si>
  <si>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</si>
  <si>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</si>
  <si>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</si>
  <si>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</si>
  <si>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</si>
  <si>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</si>
  <si>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</si>
  <si>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</si>
  <si>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</si>
  <si>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</si>
  <si>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</si>
  <si>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</si>
  <si>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</si>
  <si>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</si>
  <si>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</si>
  <si>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</si>
  <si>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</si>
  <si>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</si>
  <si>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</si>
  <si>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</si>
  <si>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</si>
  <si>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</si>
  <si>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</si>
  <si>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</si>
  <si>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</si>
  <si>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</si>
  <si>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</si>
  <si>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</si>
  <si>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</si>
  <si>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</si>
  <si>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</si>
  <si>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</si>
  <si>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</si>
  <si>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</si>
  <si>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</si>
  <si>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</si>
  <si>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</si>
  <si>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</si>
  <si>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</si>
  <si>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</si>
  <si>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</si>
  <si>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</si>
  <si>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</si>
  <si>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</si>
  <si>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</si>
  <si>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</si>
  <si>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</si>
  <si>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</si>
  <si>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</si>
  <si>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</si>
  <si>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</si>
  <si>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</si>
  <si>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</si>
  <si>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</si>
  <si>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</si>
  <si>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</si>
  <si>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</si>
  <si>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</si>
  <si>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</si>
  <si>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</si>
  <si>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</si>
  <si>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</si>
  <si>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</si>
  <si>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</si>
  <si>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</si>
  <si>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</si>
  <si>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</si>
  <si>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</si>
  <si>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</si>
  <si>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</si>
  <si>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</si>
  <si>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</si>
  <si>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</si>
  <si>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</si>
  <si>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</si>
  <si>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</si>
  <si>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</si>
  <si>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</si>
  <si>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</si>
  <si>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</si>
  <si>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</si>
  <si>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</si>
  <si>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</si>
  <si>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</si>
  <si>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</si>
  <si>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</si>
  <si>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</si>
  <si>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</si>
  <si>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</si>
  <si>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</si>
  <si>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</si>
  <si>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</si>
  <si>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</si>
  <si>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</si>
  <si>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</si>
  <si>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</si>
  <si>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</si>
  <si>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</si>
  <si>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</si>
  <si>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</si>
  <si>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</si>
  <si>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</si>
  <si>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</si>
  <si>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</si>
  <si>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</si>
  <si>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</si>
  <si>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</si>
  <si>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</si>
  <si>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</si>
  <si>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</si>
  <si>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</si>
  <si>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</si>
  <si>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</si>
  <si>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</si>
  <si>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</si>
  <si>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</si>
  <si>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</si>
  <si>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</si>
  <si>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</si>
  <si>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</si>
  <si>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</si>
  <si>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</si>
  <si>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</si>
  <si>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</si>
  <si>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</si>
  <si>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</si>
  <si>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</si>
  <si>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</si>
  <si>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</si>
  <si>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</si>
  <si>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</si>
  <si>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</si>
  <si>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</si>
  <si>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</si>
  <si>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</si>
  <si>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</si>
  <si>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</si>
  <si>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</si>
  <si>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</si>
  <si>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</si>
  <si>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</si>
  <si>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</si>
  <si>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</si>
  <si>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</si>
  <si>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</si>
  <si>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</si>
  <si>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</si>
  <si>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</si>
  <si>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</si>
  <si>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</si>
  <si>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</si>
  <si>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</si>
  <si>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</si>
  <si>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</si>
  <si>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</si>
  <si>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</si>
  <si>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</si>
  <si>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</si>
  <si>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</si>
  <si>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</si>
  <si>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</si>
  <si>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</si>
  <si>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</si>
  <si>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</si>
  <si>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</si>
  <si>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</si>
  <si>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</si>
  <si>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</si>
  <si>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</si>
  <si>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</si>
  <si>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</si>
  <si>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</si>
  <si>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</si>
  <si>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</si>
  <si>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</si>
  <si>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</si>
  <si>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</si>
  <si>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</si>
  <si>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</si>
  <si>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</si>
  <si>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</si>
  <si>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</si>
  <si>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</si>
  <si>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</si>
  <si>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</si>
  <si>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</si>
  <si>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</si>
  <si>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</si>
  <si>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</si>
  <si>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</si>
  <si>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</si>
  <si>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</si>
  <si>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</si>
  <si>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</si>
  <si>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</si>
  <si>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</si>
  <si>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</si>
  <si>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</si>
  <si>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</si>
  <si>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</si>
  <si>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</si>
  <si>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</si>
  <si>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</si>
  <si>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</si>
  <si>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</si>
  <si>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</si>
  <si>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</si>
  <si>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</si>
  <si>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</si>
  <si>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</si>
  <si>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</si>
  <si>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</si>
  <si>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</si>
  <si>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</si>
  <si>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</si>
  <si>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</si>
  <si>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</si>
  <si>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</si>
  <si>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</si>
  <si>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</si>
  <si>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</si>
  <si>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</si>
  <si>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</si>
  <si>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</si>
  <si>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</si>
  <si>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</si>
  <si>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</si>
  <si>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</si>
  <si>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</si>
  <si>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</si>
  <si>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</si>
  <si>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</si>
  <si>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</si>
  <si>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</si>
  <si>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</si>
  <si>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</si>
  <si>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</si>
  <si>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</si>
  <si>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</si>
  <si>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</si>
  <si>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</si>
  <si>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</si>
  <si>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</si>
  <si>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</si>
  <si>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</si>
  <si>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</si>
  <si>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</si>
  <si>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</si>
  <si>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</si>
  <si>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</si>
  <si>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</si>
  <si>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</si>
  <si>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</si>
  <si>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</si>
  <si>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</si>
  <si>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</si>
  <si>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</si>
  <si>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</si>
  <si>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</si>
  <si>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</si>
  <si>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</si>
  <si>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</si>
  <si>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</si>
  <si>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</si>
  <si>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</si>
  <si>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</si>
  <si>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</si>
  <si>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</si>
  <si>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</si>
  <si>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</si>
  <si>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</si>
  <si>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</si>
  <si>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</si>
  <si>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</si>
  <si>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</si>
  <si>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</si>
  <si>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</si>
  <si>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</si>
  <si>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</si>
  <si>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</si>
  <si>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</si>
  <si>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</si>
  <si>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</si>
  <si>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</si>
  <si>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</si>
  <si>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</si>
  <si>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</si>
  <si>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</si>
  <si>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</si>
  <si>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</si>
  <si>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</si>
  <si>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</si>
  <si>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</si>
  <si>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</si>
  <si>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</si>
  <si>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</si>
  <si>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</si>
  <si>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</si>
  <si>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</si>
  <si>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</si>
  <si>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</si>
  <si>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</si>
  <si>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</si>
  <si>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</si>
  <si>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</si>
  <si>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</si>
  <si>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</si>
  <si>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</si>
  <si>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</si>
  <si>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</si>
  <si>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</si>
  <si>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</si>
  <si>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</si>
  <si>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</si>
  <si>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</si>
  <si>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</si>
  <si>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</si>
  <si>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</si>
  <si>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</si>
  <si>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</si>
  <si>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</si>
  <si>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</si>
  <si>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</si>
  <si>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</si>
  <si>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</si>
  <si>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</si>
  <si>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</si>
  <si>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</si>
  <si>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</si>
  <si>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</si>
  <si>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</si>
  <si>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</si>
  <si>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</si>
  <si>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</si>
  <si>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</si>
  <si>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</si>
  <si>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</si>
  <si>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</si>
  <si>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</si>
  <si>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</si>
  <si>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</si>
  <si>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</si>
  <si>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</si>
  <si>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</si>
  <si>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</si>
  <si>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</si>
  <si>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</si>
  <si>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</si>
  <si>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</si>
  <si>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</si>
  <si>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</si>
  <si>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</si>
  <si>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</si>
  <si>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</si>
  <si>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</si>
  <si>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</si>
  <si>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</si>
  <si>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</si>
  <si>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</si>
  <si>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</si>
  <si>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</si>
  <si>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</si>
  <si>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</si>
  <si>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</si>
  <si>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</si>
  <si>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</si>
  <si>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</si>
  <si>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</si>
  <si>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</si>
  <si>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</si>
  <si>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</si>
  <si>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</si>
  <si>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</si>
  <si>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</si>
  <si>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</si>
  <si>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</si>
  <si>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</si>
  <si>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</si>
  <si>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</si>
  <si>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</si>
  <si>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</si>
  <si>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</si>
  <si>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</si>
  <si>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</si>
  <si>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</si>
  <si>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</si>
  <si>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</si>
  <si>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</si>
  <si>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</si>
  <si>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</si>
  <si>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</si>
  <si>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</si>
  <si>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</si>
  <si>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</si>
  <si>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</si>
  <si>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</si>
  <si>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</si>
  <si>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</si>
  <si>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</si>
  <si>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</si>
  <si>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</si>
  <si>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</si>
  <si>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</si>
  <si>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</si>
  <si>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</si>
  <si>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</si>
  <si>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</si>
  <si>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</si>
  <si>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</si>
  <si>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</si>
  <si>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</si>
  <si>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</si>
  <si>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</si>
  <si>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</si>
  <si>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</si>
  <si>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</si>
  <si>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</si>
  <si>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</si>
  <si>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</si>
  <si>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</si>
  <si>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</si>
  <si>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</si>
  <si>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</si>
  <si>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</si>
  <si>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</si>
  <si>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</si>
  <si>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</si>
  <si>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</si>
  <si>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</si>
  <si>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</si>
  <si>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</si>
  <si>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</si>
  <si>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</si>
  <si>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</si>
  <si>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</si>
  <si>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</si>
  <si>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</si>
  <si>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</si>
  <si>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</si>
  <si>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</si>
  <si>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</si>
  <si>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</si>
  <si>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</si>
  <si>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</si>
  <si>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</si>
  <si>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</si>
  <si>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</si>
  <si>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</si>
  <si>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</si>
  <si>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</si>
  <si>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</si>
  <si>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</si>
  <si>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</si>
  <si>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</si>
  <si>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</si>
  <si>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</si>
  <si>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</si>
  <si>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</si>
  <si>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</si>
  <si>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</si>
  <si>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</si>
  <si>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</si>
  <si>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</si>
  <si>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</si>
  <si>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</si>
  <si>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</si>
  <si>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</si>
  <si>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</si>
  <si>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</si>
  <si>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</si>
  <si>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</si>
  <si>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</si>
  <si>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</si>
  <si>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</si>
  <si>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</si>
  <si>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</si>
  <si>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</si>
  <si>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</si>
  <si>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</si>
  <si>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</si>
  <si>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</si>
  <si>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</si>
  <si>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</si>
  <si>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</si>
  <si>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</si>
  <si>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</si>
  <si>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</si>
  <si>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</si>
  <si>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</si>
  <si>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</si>
  <si>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</si>
  <si>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</si>
  <si>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</si>
  <si>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</si>
  <si>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</si>
  <si>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</si>
  <si>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</si>
  <si>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</si>
  <si>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</si>
  <si>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</si>
  <si>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</si>
  <si>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</si>
  <si>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</si>
  <si>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</si>
  <si>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</si>
  <si>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</si>
  <si>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</si>
  <si>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</si>
  <si>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</si>
  <si>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</si>
  <si>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</si>
  <si>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</si>
  <si>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</si>
  <si>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</si>
  <si>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</si>
  <si>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</si>
  <si>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</si>
  <si>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</si>
  <si>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</si>
  <si>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</si>
  <si>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</si>
  <si>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</si>
  <si>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</si>
  <si>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</si>
  <si>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</si>
  <si>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</si>
  <si>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</si>
  <si>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</si>
  <si>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</si>
  <si>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</si>
  <si>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</si>
  <si>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</si>
  <si>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</si>
  <si>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</si>
  <si>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</si>
  <si>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</si>
  <si>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</si>
  <si>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</si>
  <si>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</si>
  <si>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</si>
  <si>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</si>
  <si>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</si>
  <si>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</si>
  <si>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</si>
  <si>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</si>
  <si>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</si>
  <si>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</si>
  <si>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</si>
  <si>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</si>
  <si>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</si>
  <si>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</si>
  <si>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</si>
  <si>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</si>
  <si>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</si>
  <si>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</si>
  <si>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</si>
  <si>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</si>
  <si>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</si>
  <si>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</si>
  <si>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</si>
  <si>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</si>
  <si>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</si>
  <si>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</si>
  <si>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</si>
  <si>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</si>
  <si>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</si>
  <si>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</si>
  <si>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</si>
  <si>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</si>
  <si>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</si>
  <si>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</si>
  <si>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</si>
  <si>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</si>
  <si>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</si>
  <si>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</si>
  <si>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</si>
  <si>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</si>
  <si>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</si>
  <si>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</si>
  <si>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</si>
  <si>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</si>
  <si>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</si>
  <si>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</si>
  <si>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</si>
  <si>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</si>
  <si>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</si>
  <si>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</si>
  <si>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</si>
  <si>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</si>
  <si>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</si>
  <si>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</si>
  <si>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</si>
  <si>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</si>
  <si>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</si>
  <si>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</si>
  <si>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</si>
  <si>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</si>
  <si>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</si>
  <si>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</si>
  <si>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</si>
  <si>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</si>
  <si>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</si>
  <si>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</si>
  <si>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</si>
  <si>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</si>
  <si>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</si>
  <si>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</si>
  <si>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</si>
  <si>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</si>
  <si>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</si>
  <si>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</si>
  <si>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</si>
  <si>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</si>
  <si>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</si>
  <si>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</si>
  <si>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</si>
  <si>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</si>
  <si>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</si>
  <si>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</si>
  <si>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</si>
  <si>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</si>
  <si>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</si>
  <si>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</si>
  <si>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</si>
  <si>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</si>
  <si>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</si>
  <si>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</si>
  <si>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</si>
  <si>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</si>
  <si>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</si>
  <si>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</si>
  <si>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</si>
  <si>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</si>
  <si>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</si>
  <si>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</si>
  <si>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</si>
  <si>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</si>
  <si>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</si>
  <si>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</si>
  <si>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</si>
  <si>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</si>
  <si>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</si>
  <si>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</si>
  <si>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</si>
  <si>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</si>
  <si>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</si>
  <si>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</si>
  <si>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</si>
  <si>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</si>
  <si>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</si>
  <si>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</si>
  <si>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</si>
  <si>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</si>
  <si>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</si>
  <si>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</si>
  <si>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</si>
  <si>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</si>
  <si>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</si>
  <si>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</si>
  <si>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</si>
  <si>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</si>
  <si>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</si>
  <si>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</si>
  <si>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</si>
  <si>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</si>
  <si>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</si>
  <si>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</si>
  <si>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</si>
  <si>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</si>
  <si>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</si>
  <si>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</si>
  <si>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</si>
  <si>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</si>
  <si>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</si>
  <si>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</si>
  <si>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</si>
  <si>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</si>
  <si>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</si>
  <si>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</si>
  <si>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</si>
  <si>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</si>
  <si>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</si>
  <si>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</si>
  <si>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</si>
  <si>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</si>
  <si>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</si>
  <si>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</si>
  <si>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</si>
  <si>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</si>
  <si>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</si>
  <si>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</si>
  <si>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</si>
  <si>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</si>
  <si>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</si>
  <si>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</si>
  <si>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</si>
  <si>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</si>
  <si>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</si>
  <si>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</si>
  <si>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</si>
  <si>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</si>
  <si>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</si>
  <si>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</si>
  <si>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</si>
  <si>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</si>
  <si>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</si>
  <si>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</si>
  <si>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</si>
  <si>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</si>
  <si>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</si>
  <si>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</si>
  <si>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</si>
  <si>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</si>
  <si>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</si>
  <si>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</si>
  <si>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</si>
  <si>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</si>
  <si>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</si>
  <si>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</si>
  <si>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</si>
  <si>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</si>
  <si>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</si>
  <si>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</si>
  <si>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</si>
  <si>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</si>
  <si>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</si>
  <si>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</si>
  <si>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</si>
  <si>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</si>
  <si>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</si>
  <si>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</si>
  <si>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</si>
  <si>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</si>
  <si>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</si>
  <si>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</si>
  <si>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</si>
  <si>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</si>
  <si>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</si>
  <si>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</si>
  <si>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</si>
  <si>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</si>
  <si>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</si>
  <si>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</si>
  <si>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</si>
  <si>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</si>
  <si>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</si>
  <si>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</si>
  <si>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</si>
  <si>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</si>
  <si>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</si>
  <si>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</si>
  <si>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</si>
  <si>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</si>
  <si>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</si>
  <si>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</si>
  <si>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</si>
  <si>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</si>
  <si>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</si>
  <si>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</si>
  <si>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</si>
  <si>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</si>
  <si>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</si>
  <si>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</si>
  <si>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</si>
  <si>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</si>
  <si>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</si>
  <si>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</si>
  <si>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</si>
  <si>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</si>
  <si>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</si>
  <si>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</si>
  <si>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</si>
  <si>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</si>
  <si>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</si>
  <si>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</si>
  <si>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</si>
  <si>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</si>
  <si>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</si>
  <si>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</si>
  <si>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</si>
  <si>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</si>
  <si>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</si>
  <si>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</si>
  <si>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</si>
  <si>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</si>
  <si>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</si>
  <si>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</si>
  <si>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</si>
  <si>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</si>
  <si>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</si>
  <si>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</si>
  <si>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</si>
  <si>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</si>
  <si>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</si>
  <si>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</si>
  <si>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</si>
  <si>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</si>
  <si>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</si>
  <si>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</si>
  <si>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</si>
  <si>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</si>
  <si>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</si>
  <si>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</si>
  <si>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</si>
  <si>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</si>
  <si>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</si>
  <si>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</si>
  <si>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</si>
  <si>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</si>
  <si>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</si>
  <si>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</si>
  <si>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</si>
  <si>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</si>
  <si>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</si>
  <si>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</si>
  <si>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</si>
  <si>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</si>
  <si>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</si>
  <si>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</si>
  <si>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</si>
  <si>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</si>
  <si>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</si>
  <si>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</si>
  <si>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</si>
  <si>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</si>
  <si>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</si>
  <si>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</si>
  <si>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</si>
  <si>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</si>
  <si>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</si>
  <si>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</si>
  <si>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</si>
  <si>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</si>
  <si>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</si>
  <si>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</si>
  <si>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</si>
  <si>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</si>
  <si>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</si>
  <si>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</si>
  <si>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</si>
  <si>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</si>
  <si>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</si>
  <si>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</si>
  <si>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</si>
  <si>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</si>
  <si>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</si>
  <si>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</si>
  <si>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</si>
  <si>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</si>
  <si>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</si>
  <si>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</si>
  <si>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</si>
  <si>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</si>
  <si>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</si>
  <si>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</si>
  <si>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</si>
  <si>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</si>
  <si>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</si>
  <si>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</si>
  <si>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</si>
  <si>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</si>
  <si>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</si>
  <si>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</si>
  <si>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</si>
  <si>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</si>
  <si>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</si>
  <si>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</si>
  <si>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</si>
  <si>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</si>
  <si>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</si>
  <si>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</si>
  <si>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</si>
  <si>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</si>
  <si>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</si>
  <si>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</si>
  <si>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</si>
  <si>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</si>
  <si>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</si>
  <si>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</si>
  <si>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</si>
  <si>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</si>
  <si>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</si>
  <si>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</si>
  <si>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</si>
  <si>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</si>
  <si>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</si>
  <si>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</si>
  <si>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</si>
  <si>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</si>
  <si>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</si>
  <si>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</si>
  <si>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</si>
  <si>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</si>
  <si>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</si>
  <si>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</si>
  <si>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</si>
  <si>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</si>
  <si>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</si>
  <si>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</si>
  <si>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</si>
  <si>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</si>
  <si>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</si>
  <si>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</si>
  <si>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</si>
  <si>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</si>
  <si>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</si>
  <si>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</si>
  <si>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</si>
  <si>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</si>
  <si>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</si>
  <si>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</si>
  <si>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</si>
  <si>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</si>
  <si>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</si>
  <si>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</si>
  <si>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</si>
  <si>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</si>
  <si>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</si>
  <si>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</si>
  <si>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</si>
  <si>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</si>
  <si>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</si>
  <si>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</si>
  <si>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</si>
  <si>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</si>
  <si>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</si>
  <si>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</si>
  <si>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</si>
  <si>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</si>
  <si>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</si>
  <si>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</si>
  <si>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</si>
  <si>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</si>
  <si>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</si>
  <si>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</si>
  <si>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</si>
  <si>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</si>
  <si>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</si>
  <si>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</si>
  <si>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</si>
  <si>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</si>
  <si>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</si>
  <si>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</si>
  <si>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</si>
  <si>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</si>
  <si>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</si>
  <si>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</si>
  <si>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</si>
  <si>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</si>
  <si>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</si>
  <si>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</si>
  <si>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</si>
  <si>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</si>
  <si>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</si>
  <si>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</si>
  <si>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</si>
  <si>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</si>
  <si>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</si>
  <si>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</si>
  <si>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</si>
  <si>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</si>
  <si>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</si>
  <si>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</si>
  <si>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</si>
  <si>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</si>
  <si>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</si>
  <si>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</si>
  <si>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</si>
  <si>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</si>
  <si>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</si>
  <si>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</si>
  <si>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</si>
  <si>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</si>
  <si>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</si>
  <si>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</si>
  <si>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</si>
  <si>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</si>
  <si>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</si>
  <si>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</si>
  <si>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</si>
  <si>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</si>
  <si>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</si>
  <si>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</si>
  <si>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</si>
  <si>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</si>
  <si>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</si>
  <si>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</si>
  <si>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</si>
  <si>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</si>
  <si>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</si>
  <si>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</si>
  <si>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</si>
  <si>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</si>
  <si>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</si>
  <si>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</si>
  <si>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</si>
  <si>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</si>
  <si>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</si>
  <si>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</si>
  <si>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</si>
  <si>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</si>
  <si>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</si>
  <si>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</si>
  <si>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</si>
  <si>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</si>
  <si>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</si>
  <si>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</si>
  <si>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</si>
  <si>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</si>
  <si>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</si>
  <si>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</si>
  <si>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</si>
  <si>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</si>
  <si>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</si>
  <si>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</si>
  <si>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</si>
  <si>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</si>
  <si>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</si>
  <si>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</si>
  <si>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</si>
  <si>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</si>
  <si>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</si>
  <si>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</si>
  <si>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</si>
  <si>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</si>
  <si>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</si>
  <si>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</si>
  <si>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</si>
  <si>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</si>
  <si>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</si>
  <si>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</si>
  <si>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</si>
  <si>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</si>
  <si>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</si>
  <si>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</si>
  <si>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</si>
  <si>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</si>
  <si>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</si>
  <si>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</si>
  <si>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</si>
  <si>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</si>
  <si>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</si>
  <si>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</si>
  <si>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</si>
  <si>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</si>
  <si>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</si>
  <si>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</si>
  <si>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</si>
  <si>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</si>
  <si>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</si>
  <si>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</si>
  <si>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</si>
  <si>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</si>
  <si>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</si>
  <si>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</si>
  <si>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</si>
  <si>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</si>
  <si>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</si>
  <si>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</si>
  <si>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</si>
  <si>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</si>
  <si>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</si>
  <si>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</si>
  <si>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</si>
  <si>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</si>
  <si>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</si>
  <si>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</si>
  <si>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</si>
  <si>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</si>
  <si>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</si>
  <si>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</si>
  <si>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</si>
  <si>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</si>
  <si>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</si>
  <si>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</si>
  <si>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</si>
  <si>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</si>
  <si>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</si>
  <si>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</si>
  <si>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</si>
  <si>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</si>
  <si>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</si>
  <si>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</si>
  <si>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</si>
  <si>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</si>
  <si>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</si>
  <si>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</si>
  <si>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</si>
  <si>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</si>
  <si>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</si>
  <si>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</si>
  <si>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</si>
  <si>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</si>
  <si>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</si>
  <si>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</si>
  <si>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</si>
  <si>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</si>
  <si>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</si>
  <si>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</si>
  <si>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</si>
  <si>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</si>
  <si>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</si>
  <si>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</si>
  <si>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</si>
  <si>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</si>
  <si>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</si>
  <si>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</si>
  <si>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</si>
  <si>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</si>
  <si>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</si>
  <si>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</si>
  <si>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</si>
  <si>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</si>
  <si>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</si>
  <si>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</si>
  <si>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</si>
  <si>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</si>
  <si>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</si>
  <si>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</si>
  <si>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</si>
  <si>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</si>
  <si>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</si>
  <si>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</si>
  <si>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</si>
  <si>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</si>
  <si>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</si>
  <si>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</si>
  <si>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</si>
  <si>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</si>
  <si>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</si>
  <si>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</si>
  <si>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</si>
  <si>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</si>
  <si>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</si>
  <si>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</si>
  <si>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</si>
  <si>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</si>
  <si>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</si>
  <si>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</si>
  <si>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</si>
  <si>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</si>
  <si>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</si>
  <si>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</si>
  <si>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</si>
  <si>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</si>
  <si>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</si>
  <si>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</si>
  <si>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</si>
  <si>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</si>
  <si>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</si>
  <si>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</si>
  <si>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</si>
  <si>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</si>
  <si>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</si>
  <si>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</si>
  <si>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</si>
  <si>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</si>
  <si>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</si>
  <si>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</si>
  <si>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</si>
  <si>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</si>
  <si>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</si>
  <si>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</si>
  <si>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</si>
  <si>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</si>
  <si>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</si>
  <si>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</si>
  <si>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</si>
  <si>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</si>
  <si>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</si>
  <si>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</si>
  <si>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</si>
  <si>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</si>
  <si>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</si>
  <si>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</si>
  <si>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</si>
  <si>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</si>
  <si>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</si>
  <si>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</si>
  <si>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</si>
  <si>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</si>
  <si>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</si>
  <si>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</si>
  <si>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</si>
  <si>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</si>
  <si>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</si>
  <si>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</si>
  <si>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</si>
  <si>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</si>
  <si>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</si>
  <si>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</si>
  <si>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</si>
  <si>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</si>
  <si>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</si>
  <si>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</si>
  <si>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</si>
  <si>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</si>
  <si>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</si>
  <si>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</si>
  <si>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</si>
  <si>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</si>
  <si>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</si>
  <si>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</si>
  <si>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</si>
  <si>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</si>
  <si>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</si>
  <si>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</si>
  <si>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</si>
  <si>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</si>
  <si>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</si>
  <si>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</si>
  <si>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</si>
  <si>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</si>
  <si>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</si>
  <si>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</si>
  <si>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</si>
  <si>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</si>
  <si>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</si>
  <si>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</si>
  <si>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</si>
  <si>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</si>
  <si>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</si>
  <si>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</si>
  <si>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</si>
  <si>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</si>
  <si>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</si>
  <si>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</si>
  <si>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</si>
  <si>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</si>
  <si>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</si>
  <si>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</si>
  <si>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</si>
  <si>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</si>
  <si>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</si>
  <si>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</si>
  <si>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</si>
  <si>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</si>
  <si>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</si>
  <si>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</si>
  <si>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</si>
  <si>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</si>
  <si>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</si>
  <si>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</si>
  <si>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</si>
  <si>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</si>
  <si>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</si>
  <si>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</si>
  <si>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</si>
  <si>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</si>
  <si>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</si>
  <si>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</si>
  <si>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</si>
  <si>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</si>
  <si>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</si>
  <si>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</si>
  <si>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</si>
  <si>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</si>
  <si>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</si>
  <si>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</si>
  <si>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</si>
  <si>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</si>
  <si>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</si>
  <si>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</si>
  <si>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</si>
  <si>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</si>
  <si>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</si>
  <si>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</si>
  <si>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</si>
  <si>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</si>
  <si>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</si>
  <si>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</si>
  <si>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</si>
  <si>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</si>
  <si>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</si>
  <si>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</si>
  <si>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</si>
  <si>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</si>
  <si>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</si>
  <si>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</si>
  <si>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</si>
  <si>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</si>
  <si>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</si>
  <si>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</si>
  <si>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</si>
  <si>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</si>
  <si>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</si>
  <si>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</si>
  <si>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</si>
  <si>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</si>
  <si>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</si>
  <si>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</si>
  <si>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</si>
  <si>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</si>
  <si>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</si>
  <si>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</si>
  <si>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</si>
  <si>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</si>
  <si>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</si>
  <si>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</si>
  <si>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</si>
  <si>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</si>
  <si>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</si>
  <si>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</si>
  <si>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</si>
  <si>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</si>
  <si>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</si>
  <si>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</si>
  <si>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</si>
  <si>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</si>
  <si>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</si>
  <si>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</si>
  <si>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</si>
  <si>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</si>
  <si>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</si>
  <si>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</si>
  <si>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</si>
  <si>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</si>
  <si>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</si>
  <si>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</si>
  <si>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</si>
  <si>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</si>
  <si>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</si>
  <si>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</si>
  <si>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</si>
  <si>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</si>
  <si>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</si>
  <si>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</si>
  <si>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</si>
  <si>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</si>
  <si>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</si>
  <si>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</si>
  <si>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</si>
  <si>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</si>
  <si>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</si>
  <si>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</si>
  <si>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</si>
  <si>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</si>
  <si>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</si>
  <si>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</si>
  <si>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</si>
  <si>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</si>
  <si>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</si>
  <si>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</si>
  <si>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</si>
  <si>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</si>
  <si>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</si>
  <si>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</si>
  <si>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</si>
  <si>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</si>
  <si>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</si>
  <si>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</si>
  <si>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</si>
  <si>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</si>
  <si>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</si>
  <si>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</si>
  <si>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</si>
  <si>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</si>
  <si>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</si>
  <si>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</si>
  <si>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</si>
  <si>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</si>
  <si>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</si>
  <si>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</si>
  <si>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</si>
  <si>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</si>
  <si>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</si>
  <si>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</si>
  <si>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</si>
  <si>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</si>
  <si>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</si>
  <si>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</si>
  <si>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</si>
  <si>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</si>
  <si>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</si>
  <si>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</si>
  <si>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</si>
  <si>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</si>
  <si>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</si>
  <si>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</si>
  <si>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</si>
  <si>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</si>
  <si>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</si>
  <si>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</si>
  <si>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</si>
  <si>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</si>
  <si>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</si>
  <si>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</si>
  <si>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</si>
  <si>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</si>
  <si>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</si>
  <si>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</si>
  <si>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</si>
  <si>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</si>
  <si>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</si>
  <si>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</si>
  <si>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</si>
  <si>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</si>
  <si>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</si>
  <si>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</si>
  <si>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</si>
  <si>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</si>
  <si>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</si>
  <si>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</si>
  <si>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</si>
  <si>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</si>
  <si>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</si>
  <si>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</si>
  <si>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</si>
  <si>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</si>
  <si>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</si>
  <si>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</si>
  <si>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</si>
  <si>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</si>
  <si>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</si>
  <si>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</si>
  <si>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</si>
  <si>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</si>
  <si>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</si>
  <si>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</si>
  <si>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</si>
  <si>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</si>
  <si>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</si>
  <si>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</si>
  <si>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</si>
  <si>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</si>
  <si>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</si>
  <si>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</si>
  <si>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</si>
  <si>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</si>
  <si>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</si>
  <si>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</si>
  <si>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</si>
  <si>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</si>
  <si>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</si>
  <si>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</si>
  <si>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</si>
  <si>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</si>
  <si>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</si>
  <si>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</si>
  <si>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</si>
  <si>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</si>
  <si>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</si>
  <si>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</si>
  <si>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</si>
  <si>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</si>
  <si>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</si>
  <si>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</si>
  <si>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</si>
  <si>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</si>
  <si>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</si>
  <si>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</si>
  <si>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</si>
  <si>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</si>
  <si>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</si>
  <si>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</si>
  <si>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</si>
  <si>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</si>
  <si>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</si>
  <si>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</si>
  <si>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</si>
  <si>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</si>
  <si>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</si>
  <si>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</si>
  <si>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</si>
  <si>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</si>
  <si>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</si>
  <si>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</si>
  <si>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</si>
  <si>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</si>
  <si>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</si>
  <si>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</si>
  <si>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</si>
  <si>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</si>
  <si>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</si>
  <si>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</si>
  <si>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</si>
  <si>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</si>
  <si>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</si>
  <si>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</si>
  <si>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</si>
  <si>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</si>
  <si>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</si>
  <si>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</si>
  <si>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</si>
  <si>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</si>
  <si>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</si>
  <si>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</si>
  <si>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</si>
  <si>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</si>
  <si>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</si>
  <si>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</si>
  <si>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</si>
  <si>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</si>
  <si>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</si>
  <si>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</si>
  <si>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</si>
  <si>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</si>
  <si>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</si>
  <si>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</si>
  <si>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</si>
  <si>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</si>
  <si>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</si>
  <si>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</si>
  <si>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</si>
  <si>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</si>
  <si>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</si>
  <si>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</si>
  <si>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</si>
  <si>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</si>
  <si>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</si>
  <si>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</si>
  <si>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</si>
  <si>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</si>
  <si>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</si>
  <si>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</si>
  <si>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</si>
  <si>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</si>
  <si>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</si>
  <si>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</si>
  <si>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</si>
  <si>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</si>
  <si>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</si>
  <si>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</si>
  <si>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</si>
  <si>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</si>
  <si>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</si>
  <si>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</si>
  <si>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</si>
  <si>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</si>
  <si>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</si>
  <si>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</si>
  <si>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</si>
  <si>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</si>
  <si>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</si>
  <si>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</si>
  <si>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</si>
  <si>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</si>
  <si>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</si>
  <si>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</si>
  <si>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</si>
  <si>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</si>
  <si>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</si>
  <si>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</si>
  <si>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</si>
  <si>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</si>
  <si>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</si>
  <si>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</si>
  <si>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</si>
  <si>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</si>
  <si>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</si>
  <si>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</si>
  <si>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</si>
  <si>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</si>
  <si>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</si>
  <si>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</si>
  <si>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</si>
  <si>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</si>
  <si>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</si>
  <si>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</si>
  <si>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</si>
  <si>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</si>
  <si>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</si>
  <si>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</si>
  <si>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</si>
  <si>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</si>
  <si>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</si>
  <si>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</si>
  <si>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</si>
  <si>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</si>
  <si>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</si>
  <si>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</si>
  <si>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</si>
  <si>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</si>
  <si>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</si>
  <si>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</si>
  <si>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</si>
  <si>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</si>
  <si>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</si>
  <si>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</si>
  <si>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</si>
  <si>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</si>
  <si>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</si>
  <si>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</si>
  <si>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</si>
  <si>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</si>
  <si>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</si>
  <si>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</si>
  <si>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</si>
  <si>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</si>
  <si>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</si>
  <si>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</si>
  <si>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</si>
  <si>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</si>
  <si>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</si>
  <si>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</si>
  <si>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</si>
  <si>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</si>
  <si>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</si>
  <si>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</si>
  <si>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</si>
  <si>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</si>
  <si>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</si>
  <si>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</si>
  <si>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</si>
  <si>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</si>
  <si>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</si>
  <si>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</si>
  <si>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</si>
  <si>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</si>
  <si>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</si>
  <si>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</si>
  <si>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</si>
  <si>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</si>
  <si>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</si>
  <si>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</si>
  <si>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</si>
  <si>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</si>
  <si>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</si>
  <si>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</si>
  <si>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</si>
  <si>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</si>
  <si>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</si>
  <si>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</si>
  <si>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</si>
  <si>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</si>
  <si>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</si>
  <si>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</si>
  <si>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</si>
  <si>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</si>
  <si>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</si>
  <si>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</si>
  <si>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</si>
  <si>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</si>
  <si>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</si>
  <si>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</si>
  <si>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</si>
  <si>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</si>
  <si>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</si>
  <si>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</si>
  <si>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</si>
  <si>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</si>
  <si>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</si>
  <si>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</si>
  <si>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</si>
  <si>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</si>
  <si>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</si>
  <si>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</si>
  <si>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</si>
  <si>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</si>
  <si>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</si>
  <si>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</si>
  <si>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</si>
  <si>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</si>
  <si>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</si>
  <si>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</si>
  <si>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</si>
  <si>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</si>
  <si>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</si>
  <si>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</si>
  <si>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</si>
  <si>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</si>
  <si>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</si>
  <si>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</si>
  <si>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</si>
  <si>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</si>
  <si>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</si>
  <si>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</si>
  <si>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</si>
  <si>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</si>
  <si>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</si>
  <si>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</si>
  <si>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</si>
  <si>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</si>
  <si>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</si>
  <si>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</si>
  <si>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</si>
  <si>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</si>
  <si>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</si>
  <si>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</si>
  <si>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</si>
  <si>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</si>
  <si>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</si>
  <si>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</si>
  <si>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</si>
  <si>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</si>
  <si>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</si>
  <si>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</si>
  <si>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</si>
  <si>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</si>
  <si>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</si>
  <si>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</si>
  <si>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</si>
  <si>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</si>
  <si>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</si>
  <si>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</si>
  <si>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</si>
  <si>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</si>
  <si>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</si>
  <si>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</si>
  <si>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</si>
  <si>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</si>
  <si>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</si>
  <si>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</si>
  <si>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</si>
  <si>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</si>
  <si>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</si>
  <si>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</si>
  <si>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</si>
  <si>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</si>
  <si>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</si>
  <si>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</si>
  <si>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</si>
  <si>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</si>
  <si>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</si>
  <si>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</si>
  <si>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</si>
  <si>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</si>
  <si>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</si>
  <si>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</si>
  <si>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</si>
  <si>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</si>
  <si>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</si>
  <si>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</si>
  <si>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</si>
  <si>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</si>
  <si>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</si>
  <si>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</si>
  <si>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</si>
  <si>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</si>
  <si>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</si>
  <si>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</si>
  <si>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</si>
  <si>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</si>
  <si>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</si>
  <si>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</si>
  <si>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</si>
  <si>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</si>
  <si>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</si>
  <si>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</si>
  <si>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</si>
  <si>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</si>
  <si>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</si>
  <si>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</si>
  <si>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</si>
  <si>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</si>
  <si>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</si>
  <si>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</si>
  <si>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</si>
  <si>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</si>
  <si>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</si>
  <si>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</si>
  <si>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</si>
  <si>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</si>
  <si>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</si>
  <si>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</si>
  <si>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</si>
  <si>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</si>
  <si>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</si>
  <si>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</si>
  <si>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</si>
  <si>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</si>
  <si>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</si>
  <si>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</si>
  <si>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</si>
  <si>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</si>
  <si>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</si>
  <si>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</si>
  <si>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</si>
  <si>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</si>
  <si>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</si>
  <si>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</si>
  <si>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</si>
  <si>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</si>
  <si>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</si>
  <si>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</si>
  <si>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</si>
  <si>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</si>
  <si>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</si>
  <si>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</si>
  <si>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</si>
  <si>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</si>
  <si>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</si>
  <si>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</si>
  <si>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</si>
  <si>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</si>
  <si>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</si>
  <si>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</si>
  <si>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</si>
  <si>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</si>
  <si>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</si>
  <si>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</si>
  <si>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</si>
  <si>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</si>
  <si>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</si>
  <si>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</si>
  <si>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</si>
  <si>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</si>
  <si>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</si>
  <si>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</si>
  <si>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</si>
  <si>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</si>
  <si>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</si>
  <si>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</si>
  <si>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</si>
  <si>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</si>
  <si>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</si>
  <si>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</si>
  <si>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</si>
  <si>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</si>
  <si>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</si>
  <si>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</si>
  <si>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</si>
  <si>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</si>
  <si>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</si>
  <si>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</si>
  <si>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</si>
  <si>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</si>
  <si>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</si>
  <si>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</si>
  <si>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</si>
  <si>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</si>
  <si>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</si>
  <si>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</si>
  <si>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</si>
  <si>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</si>
  <si>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</si>
  <si>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</si>
  <si>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</si>
  <si>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</si>
  <si>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</si>
  <si>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</si>
  <si>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</si>
  <si>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</si>
  <si>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</si>
  <si>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</si>
  <si>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</si>
  <si>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</si>
  <si>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</si>
  <si>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</si>
  <si>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</si>
  <si>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</si>
  <si>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</si>
  <si>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</si>
  <si>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</si>
  <si>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</si>
  <si>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</si>
  <si>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</si>
  <si>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</si>
  <si>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</si>
  <si>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</si>
  <si>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</si>
  <si>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</si>
  <si>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</si>
  <si>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</si>
  <si>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</si>
  <si>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</si>
  <si>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</si>
  <si>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</si>
  <si>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</si>
  <si>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</si>
  <si>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</si>
  <si>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</si>
  <si>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</si>
  <si>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</si>
  <si>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</si>
  <si>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</si>
  <si>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</si>
  <si>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</si>
  <si>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</si>
  <si>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</si>
  <si>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</si>
  <si>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</si>
  <si>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</si>
  <si>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</si>
  <si>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</si>
  <si>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</si>
  <si>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</si>
  <si>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</si>
  <si>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</si>
  <si>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</si>
  <si>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</si>
  <si>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</si>
  <si>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</si>
  <si>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</si>
  <si>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</si>
  <si>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</si>
  <si>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</si>
  <si>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</si>
  <si>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</si>
  <si>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</si>
  <si>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</si>
  <si>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</si>
  <si>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</si>
  <si>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</si>
  <si>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</si>
  <si>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</si>
  <si>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</si>
  <si>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</si>
  <si>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</si>
  <si>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</si>
  <si>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</si>
  <si>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</si>
  <si>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</si>
  <si>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</si>
  <si>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</si>
  <si>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</si>
  <si>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</si>
  <si>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</si>
  <si>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</si>
  <si>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</si>
  <si>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</si>
  <si>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</si>
  <si>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</si>
  <si>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</si>
  <si>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</si>
  <si>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</si>
  <si>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</si>
  <si>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</si>
  <si>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</si>
  <si>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</si>
  <si>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</si>
  <si>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</si>
  <si>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</si>
  <si>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</si>
  <si>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</si>
  <si>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</si>
  <si>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</si>
  <si>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</si>
  <si>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</si>
  <si>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</si>
  <si>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</si>
  <si>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</si>
  <si>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</si>
  <si>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</si>
  <si>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</si>
  <si>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</si>
  <si>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</si>
  <si>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</si>
  <si>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</si>
  <si>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</si>
  <si>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</si>
  <si>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</si>
  <si>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</si>
  <si>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</si>
  <si>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</si>
  <si>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</si>
  <si>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</si>
  <si>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</si>
  <si>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</si>
  <si>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</si>
  <si>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</si>
  <si>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</si>
  <si>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</si>
  <si>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</si>
  <si>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</si>
  <si>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</si>
  <si>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</si>
  <si>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</si>
  <si>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</si>
  <si>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</si>
  <si>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</si>
  <si>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</si>
  <si>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</si>
  <si>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</si>
  <si>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</si>
  <si>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</si>
  <si>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</si>
  <si>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</si>
  <si>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</si>
  <si>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</si>
  <si>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</si>
  <si>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</si>
  <si>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</si>
  <si>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</si>
  <si>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</si>
  <si>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</si>
  <si>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</si>
  <si>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</si>
  <si>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</si>
  <si>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</si>
  <si>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</si>
  <si>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</si>
  <si>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</si>
  <si>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</si>
  <si>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</si>
  <si>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</si>
  <si>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</si>
  <si>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</si>
  <si>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</si>
  <si>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</si>
  <si>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</si>
  <si>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</si>
  <si>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</si>
  <si>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</si>
  <si>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</si>
  <si>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</si>
  <si>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</si>
  <si>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</si>
  <si>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</si>
  <si>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</si>
  <si>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</si>
  <si>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</si>
  <si>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</si>
  <si>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</si>
  <si>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</si>
  <si>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</si>
  <si>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</si>
  <si>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</si>
  <si>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</si>
  <si>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</si>
  <si>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</si>
  <si>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</si>
  <si>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</si>
  <si>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</si>
  <si>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</si>
  <si>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</si>
  <si>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</si>
  <si>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</si>
  <si>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</si>
  <si>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</si>
  <si>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</si>
  <si>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</si>
  <si>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</si>
  <si>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</si>
  <si>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</si>
  <si>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</si>
  <si>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</si>
  <si>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</si>
  <si>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</si>
  <si>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</si>
  <si>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</si>
  <si>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</si>
  <si>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</si>
  <si>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</si>
  <si>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</si>
  <si>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</si>
  <si>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</si>
  <si>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</si>
  <si>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</si>
  <si>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</si>
  <si>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</si>
  <si>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</si>
  <si>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</si>
  <si>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</si>
  <si>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</si>
  <si>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</si>
  <si>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</si>
  <si>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</si>
  <si>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</si>
  <si>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</si>
  <si>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</si>
  <si>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</si>
  <si>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</si>
  <si>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</si>
  <si>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</si>
  <si>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</si>
  <si>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</si>
  <si>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</si>
  <si>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</si>
  <si>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</si>
  <si>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</si>
  <si>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</si>
  <si>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</si>
  <si>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</si>
  <si>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</si>
  <si>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</si>
  <si>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</si>
  <si>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</si>
  <si>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</si>
  <si>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</si>
  <si>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</si>
  <si>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</si>
  <si>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</si>
  <si>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</si>
  <si>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</si>
  <si>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</si>
  <si>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</si>
  <si>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</si>
  <si>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</si>
  <si>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</si>
  <si>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</si>
  <si>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</si>
  <si>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</si>
  <si>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</si>
  <si>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</si>
  <si>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</si>
  <si>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</si>
  <si>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</si>
  <si>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</si>
  <si>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</si>
  <si>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</si>
  <si>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</si>
  <si>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</si>
  <si>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</si>
  <si>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</si>
  <si>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</si>
  <si>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</si>
  <si>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</si>
  <si>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</si>
  <si>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</si>
  <si>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</si>
  <si>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</si>
  <si>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</si>
  <si>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</si>
  <si>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</si>
  <si>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</si>
  <si>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</si>
  <si>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</si>
  <si>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</si>
  <si>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</si>
  <si>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</si>
  <si>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</si>
  <si>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</si>
  <si>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</si>
  <si>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</si>
  <si>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</si>
  <si>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</si>
  <si>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</si>
  <si>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</si>
  <si>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</si>
  <si>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</si>
  <si>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</si>
  <si>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</si>
  <si>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</si>
  <si>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</si>
  <si>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</si>
  <si>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</si>
  <si>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</si>
  <si>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</si>
  <si>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</si>
  <si>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</si>
  <si>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</si>
  <si>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</si>
  <si>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</si>
  <si>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</si>
  <si>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</si>
  <si>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</si>
  <si>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</si>
  <si>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</si>
  <si>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</si>
  <si>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</si>
  <si>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</si>
  <si>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</si>
  <si>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</si>
  <si>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</si>
  <si>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</si>
  <si>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</si>
  <si>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</si>
  <si>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</si>
  <si>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</si>
  <si>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</si>
  <si>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</si>
  <si>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</si>
  <si>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</si>
  <si>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</si>
  <si>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</si>
  <si>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</si>
  <si>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</si>
  <si>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</si>
  <si>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</si>
  <si>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</si>
  <si>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</si>
  <si>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</si>
  <si>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</si>
  <si>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</si>
  <si>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</si>
  <si>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</si>
  <si>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</si>
  <si>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</si>
  <si>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</si>
  <si>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</si>
  <si>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</si>
  <si>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</si>
  <si>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</si>
  <si>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</si>
  <si>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</si>
  <si>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</si>
  <si>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</si>
  <si>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</si>
  <si>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</si>
  <si>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</si>
  <si>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</si>
  <si>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</si>
  <si>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</si>
  <si>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</si>
  <si>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</si>
  <si>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</si>
  <si>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</si>
  <si>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</si>
  <si>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</si>
  <si>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</si>
  <si>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</si>
  <si>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</si>
  <si>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</si>
  <si>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</si>
  <si>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</si>
  <si>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</si>
  <si>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</si>
  <si>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</si>
  <si>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</si>
  <si>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</si>
  <si>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</si>
  <si>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</si>
  <si>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</si>
  <si>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</si>
  <si>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</si>
  <si>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</si>
  <si>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</si>
  <si>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</si>
  <si>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</si>
  <si>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</si>
  <si>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</si>
  <si>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</si>
  <si>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</si>
  <si>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</si>
  <si>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</si>
  <si>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</si>
  <si>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</si>
  <si>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</si>
  <si>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</si>
  <si>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</si>
  <si>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</si>
  <si>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</si>
  <si>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</si>
  <si>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</si>
  <si>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</si>
  <si>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</si>
  <si>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</si>
  <si>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</si>
  <si>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</si>
  <si>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</si>
  <si>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</si>
  <si>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</si>
  <si>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</si>
  <si>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</si>
  <si>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</si>
  <si>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</si>
  <si>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</si>
  <si>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</si>
  <si>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</si>
  <si>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</si>
  <si>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</si>
  <si>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</si>
  <si>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</si>
  <si>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</si>
  <si>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</si>
  <si>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</si>
  <si>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</si>
  <si>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</si>
  <si>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</si>
  <si>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</si>
  <si>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</si>
  <si>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</si>
  <si>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</si>
  <si>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</si>
  <si>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</si>
  <si>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</si>
  <si>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</si>
  <si>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</si>
  <si>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</si>
  <si>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</si>
  <si>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</si>
  <si>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</si>
  <si>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</si>
  <si>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</si>
  <si>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</si>
  <si>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</si>
  <si>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</si>
  <si>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</si>
  <si>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</si>
  <si>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</si>
  <si>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</si>
  <si>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</si>
  <si>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</si>
  <si>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</si>
  <si>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</si>
  <si>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</si>
  <si>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</si>
  <si>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</si>
  <si>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</si>
  <si>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</si>
  <si>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</si>
  <si>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</si>
  <si>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</si>
  <si>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</si>
  <si>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</si>
  <si>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</si>
  <si>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</si>
  <si>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</si>
  <si>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</si>
  <si>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</si>
  <si>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</si>
  <si>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</si>
  <si>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</si>
  <si>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</si>
  <si>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</si>
  <si>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</si>
  <si>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</si>
  <si>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</si>
  <si>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</si>
  <si>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</si>
  <si>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</si>
  <si>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</si>
  <si>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</si>
  <si>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</si>
  <si>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</si>
  <si>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</si>
  <si>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</si>
  <si>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</si>
  <si>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</si>
  <si>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</si>
  <si>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</si>
  <si>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</si>
  <si>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</si>
  <si>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</si>
  <si>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</si>
  <si>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</si>
  <si>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</si>
  <si>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</si>
  <si>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</si>
  <si>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</si>
  <si>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</si>
  <si>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</si>
  <si>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</si>
  <si>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</si>
  <si>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</si>
  <si>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</si>
  <si>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</si>
  <si>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</si>
  <si>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</si>
  <si>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</si>
  <si>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</si>
  <si>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</si>
  <si>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</si>
  <si>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</si>
  <si>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</si>
  <si>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</si>
  <si>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</si>
  <si>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</si>
  <si>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</si>
  <si>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</si>
  <si>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</si>
  <si>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</si>
  <si>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</si>
  <si>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</si>
  <si>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</si>
  <si>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</si>
  <si>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</si>
  <si>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</si>
  <si>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</si>
  <si>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</si>
  <si>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</si>
  <si>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</si>
  <si>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</si>
  <si>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</si>
  <si>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</si>
  <si>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</si>
  <si>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</si>
  <si>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</si>
  <si>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</si>
  <si>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</si>
  <si>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</si>
  <si>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</si>
  <si>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</si>
  <si>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</si>
  <si>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</si>
  <si>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</si>
  <si>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</si>
  <si>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</si>
  <si>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</si>
  <si>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</si>
  <si>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</si>
  <si>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</si>
  <si>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</si>
  <si>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</si>
  <si>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</si>
  <si>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</si>
  <si>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</si>
  <si>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</si>
  <si>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</si>
  <si>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</si>
  <si>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</si>
  <si>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</si>
  <si>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</si>
  <si>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</si>
  <si>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</si>
  <si>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</si>
  <si>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</si>
  <si>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</si>
  <si>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</si>
  <si>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</si>
  <si>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</si>
  <si>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</si>
  <si>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</si>
  <si>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</si>
  <si>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</si>
  <si>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</si>
  <si>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</si>
  <si>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</si>
  <si>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</si>
  <si>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</si>
  <si>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</si>
  <si>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</si>
  <si>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</si>
  <si>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</si>
  <si>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</si>
  <si>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</si>
  <si>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</si>
  <si>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</si>
  <si>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</si>
  <si>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</si>
  <si>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</si>
  <si>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</si>
  <si>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</si>
  <si>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</si>
  <si>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</si>
  <si>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</si>
  <si>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</si>
  <si>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</si>
  <si>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</si>
  <si>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</si>
  <si>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</si>
  <si>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</si>
  <si>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</si>
  <si>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</si>
  <si>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</si>
  <si>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</si>
  <si>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</si>
  <si>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</si>
  <si>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</si>
  <si>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</si>
  <si>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</si>
  <si>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</si>
  <si>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</si>
  <si>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</si>
  <si>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</si>
  <si>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</si>
  <si>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</si>
  <si>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</si>
  <si>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</si>
  <si>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</si>
  <si>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</si>
  <si>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</si>
  <si>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</si>
  <si>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</si>
  <si>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</si>
  <si>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</si>
  <si>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</si>
  <si>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</si>
  <si>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</si>
  <si>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</si>
  <si>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</si>
  <si>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</si>
  <si>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</si>
  <si>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</si>
  <si>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</si>
  <si>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</si>
  <si>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</si>
  <si>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</si>
  <si>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</si>
  <si>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</si>
  <si>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</si>
  <si>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</si>
  <si>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</si>
  <si>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</si>
  <si>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</si>
  <si>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</si>
  <si>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</si>
  <si>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</si>
  <si>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</si>
  <si>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</si>
  <si>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</si>
  <si>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</si>
  <si>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</si>
  <si>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</si>
  <si>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</si>
  <si>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</si>
  <si>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</si>
  <si>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</si>
  <si>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</si>
  <si>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</si>
  <si>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</si>
  <si>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</si>
  <si>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(All)</t>
  </si>
  <si>
    <t>Row Labels</t>
  </si>
  <si>
    <t>film &amp; video/</t>
  </si>
  <si>
    <t>food/</t>
  </si>
  <si>
    <t>games/</t>
  </si>
  <si>
    <t>journalism/</t>
  </si>
  <si>
    <t>music/</t>
  </si>
  <si>
    <t>photography/</t>
  </si>
  <si>
    <t>publishing/</t>
  </si>
  <si>
    <t>technology/</t>
  </si>
  <si>
    <t>theater/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</si>
  <si>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</si>
  <si>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</si>
  <si>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</si>
  <si>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</si>
  <si>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</si>
  <si>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</si>
  <si>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</si>
  <si>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</si>
  <si>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</si>
  <si>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</si>
  <si>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</si>
  <si>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</si>
  <si>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</si>
  <si>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</si>
  <si>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</si>
  <si>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</si>
  <si>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</si>
  <si>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</si>
  <si>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</si>
  <si>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</si>
  <si>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</si>
  <si>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</si>
  <si>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</si>
  <si>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</si>
  <si>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</si>
  <si>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</si>
  <si>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</si>
  <si>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</si>
  <si>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</si>
  <si>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</si>
  <si>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</si>
  <si>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</si>
  <si>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</si>
  <si>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</si>
  <si>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</si>
  <si>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</si>
  <si>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</si>
  <si>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</si>
  <si>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</si>
  <si>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</si>
  <si>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</si>
  <si>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</si>
  <si>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</si>
  <si>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</si>
  <si>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</si>
  <si>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</si>
  <si>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</si>
  <si>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</si>
  <si>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</si>
  <si>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</si>
  <si>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</si>
  <si>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</si>
  <si>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</si>
  <si>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</si>
  <si>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</si>
  <si>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</si>
  <si>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</si>
  <si>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</si>
  <si>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</si>
  <si>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</si>
  <si>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</si>
  <si>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</si>
  <si>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</si>
  <si>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</si>
  <si>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</si>
  <si>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</si>
  <si>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</si>
  <si>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</si>
  <si>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</si>
  <si>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</si>
  <si>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</si>
  <si>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</si>
  <si>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</si>
  <si>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</si>
  <si>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</si>
  <si>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</si>
  <si>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</si>
  <si>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Greater than 50000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</si>
</sst>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800]dddd\,\ mmmm\ dd\,\ yyyy"/>
    <numFmt numFmtId="165" formatCode="[$-409]mmmmm;@"/>
    <numFmt numFmtId="166" formatCode="[$-409]mmmm\ d\,\ yyyy;@"/>
    <numFmt numFmtId="167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5">
    <dxf>
      <fill>
        <patternFill>
          <bgColor rgb="FF00B0F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Ritwik Ravin.xlsx]Sub Category Tables!PivotTable1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Tables'!$B$4:$B$5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Tables'!$A$6:$A$47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Tables'!$B$6:$B$47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CC-4AAE-959E-368B75C56BB7}"/>
            </c:ext>
          </c:extLst>
        </c:ser>
        <c:ser>
          <c:idx val="1"/>
          <c:order val="1"/>
          <c:tx>
            <c:strRef>
              <c:f>'Sub Category Tables'!$C$4:$C$5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Tables'!$A$6:$A$47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Tables'!$C$6:$C$47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CC-4AAE-959E-368B75C56BB7}"/>
            </c:ext>
          </c:extLst>
        </c:ser>
        <c:ser>
          <c:idx val="2"/>
          <c:order val="2"/>
          <c:tx>
            <c:strRef>
              <c:f>'Sub Category Tables'!$D$4:$D$5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Tables'!$A$6:$A$47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Tables'!$D$6:$D$47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CC-4AAE-959E-368B75C56BB7}"/>
            </c:ext>
          </c:extLst>
        </c:ser>
        <c:ser>
          <c:idx val="3"/>
          <c:order val="3"/>
          <c:tx>
            <c:strRef>
              <c:f>'Sub Category Tables'!$E$4:$E$5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Tables'!$A$6:$A$47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Tables'!$E$6:$E$47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CC-4AAE-959E-368B75C56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9141496"/>
        <c:axId val="549141816"/>
      </c:barChart>
      <c:catAx>
        <c:axId val="549141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41816"/>
        <c:crosses val="autoZero"/>
        <c:auto val="1"/>
        <c:lblAlgn val="ctr"/>
        <c:lblOffset val="100"/>
        <c:noMultiLvlLbl val="0"/>
      </c:catAx>
      <c:valAx>
        <c:axId val="549141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4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Ritwik Ravin.xlsx]Years Table!PivotTable4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'Years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'Years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84-4917-80FF-B76552546D49}"/>
            </c:ext>
          </c:extLst>
        </c:ser>
        <c:ser>
          <c:idx val="1"/>
          <c:order val="1"/>
          <c:tx>
            <c:strRef>
              <c:f>'Years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'Years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84-4917-80FF-B76552546D49}"/>
            </c:ext>
          </c:extLst>
        </c:ser>
        <c:ser>
          <c:idx val="2"/>
          <c:order val="2"/>
          <c:tx>
            <c:strRef>
              <c:f>'Years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'Years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84-4917-80FF-B76552546D49}"/>
            </c:ext>
          </c:extLst>
        </c:ser>
        <c:ser>
          <c:idx val="3"/>
          <c:order val="3"/>
          <c:tx>
            <c:strRef>
              <c:f>'Years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'Years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Table'!$E$6:$E$18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84-4917-80FF-B76552546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662072"/>
        <c:axId val="547662392"/>
      </c:lineChart>
      <c:catAx>
        <c:axId val="547662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662392"/>
        <c:crosses val="autoZero"/>
        <c:auto val="1"/>
        <c:lblAlgn val="ctr"/>
        <c:lblOffset val="100"/>
        <c:noMultiLvlLbl val="0"/>
      </c:catAx>
      <c:valAx>
        <c:axId val="54766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662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Ritwik Ravin.xlsx]Category Tables!PivotTable2</c:name>
    <c:fmtId val="0"/>
  </c:pivotSource>
  <c:chart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880109530052863E-2"/>
          <c:y val="0.16305836533241694"/>
          <c:w val="0.83631886677382639"/>
          <c:h val="0.7041845338592638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Tables'!$B$3:$B$4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'Category Tables'!$A$5:$A$14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'Category Tables'!$B$5:$B$14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8C-4FAB-856C-CAC20779AAF2}"/>
            </c:ext>
          </c:extLst>
        </c:ser>
        <c:ser>
          <c:idx val="1"/>
          <c:order val="1"/>
          <c:tx>
            <c:strRef>
              <c:f>'Category Tables'!$C$3:$C$4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Tables'!$A$5:$A$14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'Category Tables'!$C$5:$C$14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16-4436-8C51-FEE7E6A1C7F4}"/>
            </c:ext>
          </c:extLst>
        </c:ser>
        <c:ser>
          <c:idx val="2"/>
          <c:order val="2"/>
          <c:tx>
            <c:strRef>
              <c:f>'Category Tables'!$D$3:$D$4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Tables'!$A$5:$A$14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'Category Tables'!$D$5:$D$14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16-4436-8C51-FEE7E6A1C7F4}"/>
            </c:ext>
          </c:extLst>
        </c:ser>
        <c:ser>
          <c:idx val="3"/>
          <c:order val="3"/>
          <c:tx>
            <c:strRef>
              <c:f>'Category Tables'!$E$3:$E$4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Tables'!$A$5:$A$14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'Category Tables'!$E$5:$E$14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85-4E3F-A26E-9D7B08DE1D0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560980080"/>
        <c:axId val="560978480"/>
      </c:barChart>
      <c:catAx>
        <c:axId val="56098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78480"/>
        <c:crosses val="autoZero"/>
        <c:auto val="1"/>
        <c:lblAlgn val="ctr"/>
        <c:lblOffset val="100"/>
        <c:noMultiLvlLbl val="0"/>
      </c:catAx>
      <c:valAx>
        <c:axId val="56097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8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Table'!$F$1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'Bonus Table'!$F$2:$F$13</c:f>
              <c:numCache>
                <c:formatCode>0.0</c:formatCode>
                <c:ptCount val="12"/>
                <c:pt idx="0">
                  <c:v>69.848156182212591</c:v>
                </c:pt>
                <c:pt idx="1">
                  <c:v>65.403508771929822</c:v>
                </c:pt>
                <c:pt idx="2">
                  <c:v>52.770083102493068</c:v>
                </c:pt>
                <c:pt idx="3">
                  <c:v>46.53739612188366</c:v>
                </c:pt>
                <c:pt idx="4">
                  <c:v>45.853658536585371</c:v>
                </c:pt>
                <c:pt idx="5">
                  <c:v>41.61073825503356</c:v>
                </c:pt>
                <c:pt idx="6">
                  <c:v>39.855072463768117</c:v>
                </c:pt>
                <c:pt idx="7">
                  <c:v>38.095238095238095</c:v>
                </c:pt>
                <c:pt idx="8">
                  <c:v>47.272727272727273</c:v>
                </c:pt>
                <c:pt idx="9">
                  <c:v>47.727272727272727</c:v>
                </c:pt>
                <c:pt idx="10">
                  <c:v>28.571428571428569</c:v>
                </c:pt>
                <c:pt idx="11">
                  <c:v>19.153674832962139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9-4F5A-903D-43C2795B315D}"/>
            </c:ext>
          </c:extLst>
        </c:ser>
        <c:ser>
          <c:idx val="1"/>
          <c:order val="1"/>
          <c:tx>
            <c:strRef>
              <c:f>'Bonus Table'!$G$1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'Bonus Table'!$G$2:$G$13</c:f>
              <c:numCache>
                <c:formatCode>0.0</c:formatCode>
                <c:ptCount val="12"/>
                <c:pt idx="0">
                  <c:v>24.511930585683299</c:v>
                </c:pt>
                <c:pt idx="1">
                  <c:v>29.473684210526311</c:v>
                </c:pt>
                <c:pt idx="2">
                  <c:v>39.196675900277008</c:v>
                </c:pt>
                <c:pt idx="3">
                  <c:v>39.88919667590028</c:v>
                </c:pt>
                <c:pt idx="4">
                  <c:v>43.902439024390247</c:v>
                </c:pt>
                <c:pt idx="5">
                  <c:v>48.322147651006716</c:v>
                </c:pt>
                <c:pt idx="6">
                  <c:v>46.376811594202898</c:v>
                </c:pt>
                <c:pt idx="7">
                  <c:v>44.047619047619044</c:v>
                </c:pt>
                <c:pt idx="8">
                  <c:v>40</c:v>
                </c:pt>
                <c:pt idx="9">
                  <c:v>36.363636363636367</c:v>
                </c:pt>
                <c:pt idx="10">
                  <c:v>52.380952380952387</c:v>
                </c:pt>
                <c:pt idx="11">
                  <c:v>57.461024498886417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9-4F5A-903D-43C2795B315D}"/>
            </c:ext>
          </c:extLst>
        </c:ser>
        <c:ser>
          <c:idx val="2"/>
          <c:order val="2"/>
          <c:tx>
            <c:strRef>
              <c:f>'Bonus Table'!$H$1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'Bonus Table'!$H$2:$H$13</c:f>
              <c:numCache>
                <c:formatCode>0.0</c:formatCode>
                <c:ptCount val="12"/>
                <c:pt idx="0">
                  <c:v>3.9045553145336225</c:v>
                </c:pt>
                <c:pt idx="1">
                  <c:v>4.2105263157894735</c:v>
                </c:pt>
                <c:pt idx="2">
                  <c:v>7.202216066481995</c:v>
                </c:pt>
                <c:pt idx="3">
                  <c:v>11.080332409972298</c:v>
                </c:pt>
                <c:pt idx="4">
                  <c:v>8.2926829268292686</c:v>
                </c:pt>
                <c:pt idx="5">
                  <c:v>9.3959731543624159</c:v>
                </c:pt>
                <c:pt idx="6">
                  <c:v>13.043478260869565</c:v>
                </c:pt>
                <c:pt idx="7">
                  <c:v>15.476190476190476</c:v>
                </c:pt>
                <c:pt idx="8">
                  <c:v>12.727272727272727</c:v>
                </c:pt>
                <c:pt idx="9">
                  <c:v>13.636363636363635</c:v>
                </c:pt>
                <c:pt idx="10">
                  <c:v>19.047619047619047</c:v>
                </c:pt>
                <c:pt idx="11">
                  <c:v>22.271714922049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9-4F5A-903D-43C2795B3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9096"/>
        <c:axId val="534794296"/>
      </c:lineChart>
      <c:catAx>
        <c:axId val="534799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94296"/>
        <c:crosses val="autoZero"/>
        <c:auto val="1"/>
        <c:lblAlgn val="ctr"/>
        <c:lblOffset val="100"/>
        <c:noMultiLvlLbl val="0"/>
      </c:catAx>
      <c:valAx>
        <c:axId val="53479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99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0</xdr:row>
      <xdr:rowOff>76200</xdr:rowOff>
    </xdr:from>
    <xdr:to>
      <xdr:col>16</xdr:col>
      <xdr:colOff>480060</xdr:colOff>
      <xdr:row>32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80628C-3745-4DE6-BD9F-7A29625F8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8</xdr:row>
      <xdr:rowOff>7620</xdr:rowOff>
    </xdr:from>
    <xdr:to>
      <xdr:col>15</xdr:col>
      <xdr:colOff>228600</xdr:colOff>
      <xdr:row>23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A9C5-5605-450C-B1F0-424E538E6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2</xdr:row>
      <xdr:rowOff>83820</xdr:rowOff>
    </xdr:from>
    <xdr:to>
      <xdr:col>15</xdr:col>
      <xdr:colOff>403860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E4CD06-DECD-466C-9F23-561841C80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281940</xdr:colOff>
      <xdr:row>13</xdr:row>
      <xdr:rowOff>121920</xdr:rowOff>
    </xdr:from>
    <xdr:to>
      <xdr:col>7</xdr:col>
      <xdr:colOff>419100</xdr:colOff>
      <xdr:row>28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EB5DF3-8A88-4E2A-8D8F-4427EA2FB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n" refreshedDate="43415.581169212965" createdVersion="6" refreshedVersion="6" minRefreshableVersion="3" recordCount="4115" xr:uid="{1B11A9DE-1D99-4A77-A64E-724C87A13E15}">
  <cacheSource type="worksheet">
    <worksheetSource ref="A1:R1048576" sheet="Original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/"/>
        <s v="theater/"/>
        <s v="technology/"/>
        <s v="publishing/"/>
        <s v="music/"/>
        <s v="journalism/"/>
        <s v="games/"/>
        <s v="food/"/>
        <s v="photography/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n" refreshedDate="43415.731299421299" createdVersion="6" refreshedVersion="6" minRefreshableVersion="3" recordCount="4115" xr:uid="{C479FF1A-91FD-4A52-8AC1-36A02832FAA8}">
  <cacheSource type="worksheet">
    <worksheetSource ref="A1:T1048576" sheet="Original 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/"/>
        <s v="theater/"/>
        <s v="technology/"/>
        <s v="publishing/"/>
        <s v="music/"/>
        <s v="journalism/"/>
        <s v="games/"/>
        <s v="food/"/>
        <s v="photography/"/>
        <m/>
      </sharedItems>
    </cacheField>
    <cacheField name="sub-category" numFmtId="0">
      <sharedItems containsBlank="1"/>
    </cacheField>
    <cacheField name="date created conversion" numFmtId="165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B0DF65-638D-4DDF-95BE-E5676B1C42D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51A229-947F-4E35-A98B-949ABBE9C61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1CCD98-FF2E-4E9F-B079-381E252E0AF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8CD3-9D45-4C1F-91EE-C524AF5F1286}">
  <sheetPr codeName="Sheet1"/>
  <dimension ref="A1:F47"/>
  <sheetViews>
    <sheetView workbookViewId="0">
      <selection activeCell="F4" sqref="F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8311</v>
      </c>
    </row>
    <row r="2" spans="1:6" x14ac:dyDescent="0.3">
      <c r="A2" s="6" t="s">
        <v>8308</v>
      </c>
      <c r="B2" t="s">
        <v>8311</v>
      </c>
    </row>
    <row r="4" spans="1:6" x14ac:dyDescent="0.3">
      <c r="A4" s="6" t="s">
        <v>8310</v>
      </c>
      <c r="B4" s="6" t="s">
        <v>8323</v>
      </c>
    </row>
    <row r="5" spans="1:6" x14ac:dyDescent="0.3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3">
      <c r="A6" s="7" t="s">
        <v>8324</v>
      </c>
      <c r="B6" s="5"/>
      <c r="C6" s="5">
        <v>100</v>
      </c>
      <c r="D6" s="5"/>
      <c r="E6" s="5"/>
      <c r="F6" s="5">
        <v>100</v>
      </c>
    </row>
    <row r="7" spans="1:6" x14ac:dyDescent="0.3">
      <c r="A7" s="7" t="s">
        <v>8325</v>
      </c>
      <c r="B7" s="5">
        <v>20</v>
      </c>
      <c r="C7" s="5"/>
      <c r="D7" s="5"/>
      <c r="E7" s="5"/>
      <c r="F7" s="5">
        <v>20</v>
      </c>
    </row>
    <row r="8" spans="1:6" x14ac:dyDescent="0.3">
      <c r="A8" s="7" t="s">
        <v>8326</v>
      </c>
      <c r="B8" s="5">
        <v>24</v>
      </c>
      <c r="C8" s="5"/>
      <c r="D8" s="5"/>
      <c r="E8" s="5"/>
      <c r="F8" s="5">
        <v>24</v>
      </c>
    </row>
    <row r="9" spans="1:6" x14ac:dyDescent="0.3">
      <c r="A9" s="7" t="s">
        <v>8327</v>
      </c>
      <c r="B9" s="5"/>
      <c r="C9" s="5">
        <v>40</v>
      </c>
      <c r="D9" s="5"/>
      <c r="E9" s="5"/>
      <c r="F9" s="5">
        <v>40</v>
      </c>
    </row>
    <row r="10" spans="1:6" x14ac:dyDescent="0.3">
      <c r="A10" s="7" t="s">
        <v>8328</v>
      </c>
      <c r="B10" s="5"/>
      <c r="C10" s="5"/>
      <c r="D10" s="5"/>
      <c r="E10" s="5">
        <v>40</v>
      </c>
      <c r="F10" s="5">
        <v>40</v>
      </c>
    </row>
    <row r="11" spans="1:6" x14ac:dyDescent="0.3">
      <c r="A11" s="7" t="s">
        <v>8329</v>
      </c>
      <c r="B11" s="5"/>
      <c r="C11" s="5"/>
      <c r="D11" s="5"/>
      <c r="E11" s="5">
        <v>180</v>
      </c>
      <c r="F11" s="5">
        <v>180</v>
      </c>
    </row>
    <row r="12" spans="1:6" x14ac:dyDescent="0.3">
      <c r="A12" s="7" t="s">
        <v>8330</v>
      </c>
      <c r="B12" s="5"/>
      <c r="C12" s="5">
        <v>80</v>
      </c>
      <c r="D12" s="5"/>
      <c r="E12" s="5"/>
      <c r="F12" s="5">
        <v>80</v>
      </c>
    </row>
    <row r="13" spans="1:6" x14ac:dyDescent="0.3">
      <c r="A13" s="7" t="s">
        <v>8331</v>
      </c>
      <c r="B13" s="5"/>
      <c r="C13" s="5"/>
      <c r="D13" s="5"/>
      <c r="E13" s="5">
        <v>40</v>
      </c>
      <c r="F13" s="5">
        <v>40</v>
      </c>
    </row>
    <row r="14" spans="1:6" x14ac:dyDescent="0.3">
      <c r="A14" s="7" t="s">
        <v>8332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">
      <c r="A15" s="7" t="s">
        <v>8333</v>
      </c>
      <c r="B15" s="5"/>
      <c r="C15" s="5">
        <v>40</v>
      </c>
      <c r="D15" s="5"/>
      <c r="E15" s="5"/>
      <c r="F15" s="5">
        <v>40</v>
      </c>
    </row>
    <row r="16" spans="1:6" x14ac:dyDescent="0.3">
      <c r="A16" s="7" t="s">
        <v>8334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">
      <c r="A17" s="7" t="s">
        <v>8335</v>
      </c>
      <c r="B17" s="5"/>
      <c r="C17" s="5">
        <v>20</v>
      </c>
      <c r="D17" s="5"/>
      <c r="E17" s="5"/>
      <c r="F17" s="5">
        <v>20</v>
      </c>
    </row>
    <row r="18" spans="1:6" x14ac:dyDescent="0.3">
      <c r="A18" s="7" t="s">
        <v>8336</v>
      </c>
      <c r="B18" s="5"/>
      <c r="C18" s="5"/>
      <c r="D18" s="5"/>
      <c r="E18" s="5">
        <v>140</v>
      </c>
      <c r="F18" s="5">
        <v>140</v>
      </c>
    </row>
    <row r="19" spans="1:6" x14ac:dyDescent="0.3">
      <c r="A19" s="7" t="s">
        <v>8337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">
      <c r="A20" s="7" t="s">
        <v>8338</v>
      </c>
      <c r="B20" s="5"/>
      <c r="C20" s="5">
        <v>60</v>
      </c>
      <c r="D20" s="5"/>
      <c r="E20" s="5"/>
      <c r="F20" s="5">
        <v>60</v>
      </c>
    </row>
    <row r="21" spans="1:6" x14ac:dyDescent="0.3">
      <c r="A21" s="7" t="s">
        <v>8339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">
      <c r="A22" s="7" t="s">
        <v>8340</v>
      </c>
      <c r="B22" s="5"/>
      <c r="C22" s="5"/>
      <c r="D22" s="5"/>
      <c r="E22" s="5">
        <v>20</v>
      </c>
      <c r="F22" s="5">
        <v>20</v>
      </c>
    </row>
    <row r="23" spans="1:6" x14ac:dyDescent="0.3">
      <c r="A23" s="7" t="s">
        <v>8341</v>
      </c>
      <c r="B23" s="5"/>
      <c r="C23" s="5">
        <v>40</v>
      </c>
      <c r="D23" s="5"/>
      <c r="E23" s="5"/>
      <c r="F23" s="5">
        <v>40</v>
      </c>
    </row>
    <row r="24" spans="1:6" x14ac:dyDescent="0.3">
      <c r="A24" s="7" t="s">
        <v>8342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">
      <c r="A25" s="7" t="s">
        <v>8343</v>
      </c>
      <c r="B25" s="5"/>
      <c r="C25" s="5">
        <v>20</v>
      </c>
      <c r="D25" s="5"/>
      <c r="E25" s="5"/>
      <c r="F25" s="5">
        <v>20</v>
      </c>
    </row>
    <row r="26" spans="1:6" x14ac:dyDescent="0.3">
      <c r="A26" s="7" t="s">
        <v>8344</v>
      </c>
      <c r="B26" s="5"/>
      <c r="C26" s="5"/>
      <c r="D26" s="5"/>
      <c r="E26" s="5">
        <v>60</v>
      </c>
      <c r="F26" s="5">
        <v>60</v>
      </c>
    </row>
    <row r="27" spans="1:6" x14ac:dyDescent="0.3">
      <c r="A27" s="7" t="s">
        <v>8345</v>
      </c>
      <c r="B27" s="5"/>
      <c r="C27" s="5">
        <v>20</v>
      </c>
      <c r="D27" s="5"/>
      <c r="E27" s="5"/>
      <c r="F27" s="5">
        <v>20</v>
      </c>
    </row>
    <row r="28" spans="1:6" x14ac:dyDescent="0.3">
      <c r="A28" s="7" t="s">
        <v>8346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">
      <c r="A29" s="7" t="s">
        <v>8347</v>
      </c>
      <c r="B29" s="5"/>
      <c r="C29" s="5">
        <v>20</v>
      </c>
      <c r="D29" s="5"/>
      <c r="E29" s="5"/>
      <c r="F29" s="5">
        <v>20</v>
      </c>
    </row>
    <row r="30" spans="1:6" x14ac:dyDescent="0.3">
      <c r="A30" s="7" t="s">
        <v>8348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">
      <c r="A31" s="7" t="s">
        <v>8349</v>
      </c>
      <c r="B31" s="5"/>
      <c r="C31" s="5"/>
      <c r="D31" s="5"/>
      <c r="E31" s="5">
        <v>40</v>
      </c>
      <c r="F31" s="5">
        <v>40</v>
      </c>
    </row>
    <row r="32" spans="1:6" x14ac:dyDescent="0.3">
      <c r="A32" s="7" t="s">
        <v>8350</v>
      </c>
      <c r="B32" s="5"/>
      <c r="C32" s="5"/>
      <c r="D32" s="5"/>
      <c r="E32" s="5">
        <v>20</v>
      </c>
      <c r="F32" s="5">
        <v>20</v>
      </c>
    </row>
    <row r="33" spans="1:6" x14ac:dyDescent="0.3">
      <c r="A33" s="7" t="s">
        <v>8351</v>
      </c>
      <c r="B33" s="5"/>
      <c r="C33" s="5">
        <v>20</v>
      </c>
      <c r="D33" s="5"/>
      <c r="E33" s="5"/>
      <c r="F33" s="5">
        <v>20</v>
      </c>
    </row>
    <row r="34" spans="1:6" x14ac:dyDescent="0.3">
      <c r="A34" s="7" t="s">
        <v>8352</v>
      </c>
      <c r="B34" s="5"/>
      <c r="C34" s="5"/>
      <c r="D34" s="5"/>
      <c r="E34" s="5">
        <v>260</v>
      </c>
      <c r="F34" s="5">
        <v>260</v>
      </c>
    </row>
    <row r="35" spans="1:6" x14ac:dyDescent="0.3">
      <c r="A35" s="7" t="s">
        <v>8353</v>
      </c>
      <c r="B35" s="5">
        <v>40</v>
      </c>
      <c r="C35" s="5"/>
      <c r="D35" s="5"/>
      <c r="E35" s="5"/>
      <c r="F35" s="5">
        <v>40</v>
      </c>
    </row>
    <row r="36" spans="1:6" x14ac:dyDescent="0.3">
      <c r="A36" s="7" t="s">
        <v>8354</v>
      </c>
      <c r="B36" s="5"/>
      <c r="C36" s="5"/>
      <c r="D36" s="5"/>
      <c r="E36" s="5">
        <v>60</v>
      </c>
      <c r="F36" s="5">
        <v>60</v>
      </c>
    </row>
    <row r="37" spans="1:6" x14ac:dyDescent="0.3">
      <c r="A37" s="7" t="s">
        <v>8355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">
      <c r="A38" s="7" t="s">
        <v>8356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">
      <c r="A39" s="7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">
      <c r="A40" s="7" t="s">
        <v>8358</v>
      </c>
      <c r="B40" s="5"/>
      <c r="C40" s="5"/>
      <c r="D40" s="5"/>
      <c r="E40" s="5">
        <v>80</v>
      </c>
      <c r="F40" s="5">
        <v>80</v>
      </c>
    </row>
    <row r="41" spans="1:6" x14ac:dyDescent="0.3">
      <c r="A41" s="7" t="s">
        <v>8359</v>
      </c>
      <c r="B41" s="5"/>
      <c r="C41" s="5"/>
      <c r="D41" s="5"/>
      <c r="E41" s="5">
        <v>60</v>
      </c>
      <c r="F41" s="5">
        <v>60</v>
      </c>
    </row>
    <row r="42" spans="1:6" x14ac:dyDescent="0.3">
      <c r="A42" s="7" t="s">
        <v>8360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">
      <c r="A43" s="7" t="s">
        <v>8361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7" t="s">
        <v>8362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">
      <c r="A45" s="7" t="s">
        <v>8363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">
      <c r="A46" s="7" t="s">
        <v>8364</v>
      </c>
      <c r="B46" s="5">
        <v>20</v>
      </c>
      <c r="C46" s="5"/>
      <c r="D46" s="5"/>
      <c r="E46" s="5"/>
      <c r="F46" s="5">
        <v>20</v>
      </c>
    </row>
    <row r="47" spans="1:6" x14ac:dyDescent="0.3">
      <c r="A47" s="7" t="s">
        <v>8322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025-BE2A-494D-B1D9-DDED36EA96AC}">
  <sheetPr codeName="Sheet2"/>
  <dimension ref="A1:F18"/>
  <sheetViews>
    <sheetView workbookViewId="0">
      <selection activeCell="H23" sqref="H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8308</v>
      </c>
      <c r="B1" t="s">
        <v>8311</v>
      </c>
    </row>
    <row r="2" spans="1:6" x14ac:dyDescent="0.3">
      <c r="A2" s="6" t="s">
        <v>8379</v>
      </c>
      <c r="B2" t="s">
        <v>8311</v>
      </c>
    </row>
    <row r="4" spans="1:6" x14ac:dyDescent="0.3">
      <c r="A4" s="6" t="s">
        <v>8310</v>
      </c>
      <c r="B4" s="6" t="s">
        <v>8323</v>
      </c>
    </row>
    <row r="5" spans="1:6" x14ac:dyDescent="0.3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3">
      <c r="A6" s="7" t="s">
        <v>8373</v>
      </c>
      <c r="B6" s="5">
        <v>34</v>
      </c>
      <c r="C6" s="5">
        <v>149</v>
      </c>
      <c r="D6" s="5">
        <v>2</v>
      </c>
      <c r="E6" s="5">
        <v>183</v>
      </c>
      <c r="F6" s="5">
        <v>368</v>
      </c>
    </row>
    <row r="7" spans="1:6" x14ac:dyDescent="0.3">
      <c r="A7" s="7" t="s">
        <v>8374</v>
      </c>
      <c r="B7" s="5">
        <v>27</v>
      </c>
      <c r="C7" s="5">
        <v>105</v>
      </c>
      <c r="D7" s="5">
        <v>18</v>
      </c>
      <c r="E7" s="5">
        <v>202</v>
      </c>
      <c r="F7" s="5">
        <v>352</v>
      </c>
    </row>
    <row r="8" spans="1:6" x14ac:dyDescent="0.3">
      <c r="A8" s="7" t="s">
        <v>8375</v>
      </c>
      <c r="B8" s="5">
        <v>28</v>
      </c>
      <c r="C8" s="5">
        <v>108</v>
      </c>
      <c r="D8" s="5">
        <v>30</v>
      </c>
      <c r="E8" s="5">
        <v>179</v>
      </c>
      <c r="F8" s="5">
        <v>345</v>
      </c>
    </row>
    <row r="9" spans="1:6" x14ac:dyDescent="0.3">
      <c r="A9" s="7" t="s">
        <v>8376</v>
      </c>
      <c r="B9" s="5">
        <v>27</v>
      </c>
      <c r="C9" s="5">
        <v>103</v>
      </c>
      <c r="D9" s="5"/>
      <c r="E9" s="5">
        <v>193</v>
      </c>
      <c r="F9" s="5">
        <v>323</v>
      </c>
    </row>
    <row r="10" spans="1:6" x14ac:dyDescent="0.3">
      <c r="A10" s="7" t="s">
        <v>8367</v>
      </c>
      <c r="B10" s="5">
        <v>26</v>
      </c>
      <c r="C10" s="5">
        <v>126</v>
      </c>
      <c r="D10" s="5"/>
      <c r="E10" s="5">
        <v>233</v>
      </c>
      <c r="F10" s="5">
        <v>385</v>
      </c>
    </row>
    <row r="11" spans="1:6" x14ac:dyDescent="0.3">
      <c r="A11" s="7" t="s">
        <v>8377</v>
      </c>
      <c r="B11" s="5">
        <v>27</v>
      </c>
      <c r="C11" s="5">
        <v>148</v>
      </c>
      <c r="D11" s="5"/>
      <c r="E11" s="5">
        <v>213</v>
      </c>
      <c r="F11" s="5">
        <v>388</v>
      </c>
    </row>
    <row r="12" spans="1:6" x14ac:dyDescent="0.3">
      <c r="A12" s="7" t="s">
        <v>8368</v>
      </c>
      <c r="B12" s="5">
        <v>44</v>
      </c>
      <c r="C12" s="5">
        <v>148</v>
      </c>
      <c r="D12" s="5"/>
      <c r="E12" s="5">
        <v>192</v>
      </c>
      <c r="F12" s="5">
        <v>384</v>
      </c>
    </row>
    <row r="13" spans="1:6" x14ac:dyDescent="0.3">
      <c r="A13" s="7" t="s">
        <v>8369</v>
      </c>
      <c r="B13" s="5">
        <v>32</v>
      </c>
      <c r="C13" s="5">
        <v>134</v>
      </c>
      <c r="D13" s="5"/>
      <c r="E13" s="5">
        <v>167</v>
      </c>
      <c r="F13" s="5">
        <v>333</v>
      </c>
    </row>
    <row r="14" spans="1:6" x14ac:dyDescent="0.3">
      <c r="A14" s="7" t="s">
        <v>8370</v>
      </c>
      <c r="B14" s="5">
        <v>24</v>
      </c>
      <c r="C14" s="5">
        <v>127</v>
      </c>
      <c r="D14" s="5"/>
      <c r="E14" s="5">
        <v>148</v>
      </c>
      <c r="F14" s="5">
        <v>299</v>
      </c>
    </row>
    <row r="15" spans="1:6" x14ac:dyDescent="0.3">
      <c r="A15" s="7" t="s">
        <v>8371</v>
      </c>
      <c r="B15" s="5">
        <v>20</v>
      </c>
      <c r="C15" s="5">
        <v>150</v>
      </c>
      <c r="D15" s="5"/>
      <c r="E15" s="5">
        <v>184</v>
      </c>
      <c r="F15" s="5">
        <v>354</v>
      </c>
    </row>
    <row r="16" spans="1:6" x14ac:dyDescent="0.3">
      <c r="A16" s="7" t="s">
        <v>8372</v>
      </c>
      <c r="B16" s="5">
        <v>37</v>
      </c>
      <c r="C16" s="5">
        <v>113</v>
      </c>
      <c r="D16" s="5"/>
      <c r="E16" s="5">
        <v>180</v>
      </c>
      <c r="F16" s="5">
        <v>330</v>
      </c>
    </row>
    <row r="17" spans="1:6" x14ac:dyDescent="0.3">
      <c r="A17" s="7" t="s">
        <v>8378</v>
      </c>
      <c r="B17" s="5">
        <v>23</v>
      </c>
      <c r="C17" s="5">
        <v>119</v>
      </c>
      <c r="D17" s="5"/>
      <c r="E17" s="5">
        <v>111</v>
      </c>
      <c r="F17" s="5">
        <v>253</v>
      </c>
    </row>
    <row r="18" spans="1:6" x14ac:dyDescent="0.3">
      <c r="A18" s="7" t="s">
        <v>8322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opLeftCell="F1" zoomScale="55" zoomScaleNormal="55" workbookViewId="0">
      <selection activeCell="R5" sqref="R5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4" bestFit="1" customWidth="1"/>
    <col min="11" max="11" width="20.88671875" bestFit="1" customWidth="1"/>
    <col min="12" max="12" width="26.77734375" bestFit="1" customWidth="1"/>
    <col min="13" max="13" width="19.5546875" bestFit="1" customWidth="1"/>
    <col min="14" max="14" width="41.88671875" customWidth="1"/>
    <col min="15" max="15" width="27.21875" bestFit="1" customWidth="1"/>
    <col min="16" max="16" width="29.77734375" bestFit="1" customWidth="1"/>
    <col min="17" max="17" width="19.6640625" customWidth="1"/>
    <col min="18" max="18" width="25.109375" customWidth="1"/>
    <col min="19" max="19" width="29.5546875" style="11" customWidth="1"/>
    <col min="20" max="20" width="28" style="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8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tr">
        <f t="shared" ref="Q2:Q66" si="0">LEFT(N2, SEARCH("/",N2,1)-1)</f>
        <v>film &amp; video</v>
      </c>
      <c r="R2" t="str">
        <f>RIGHT(N2,LEN(N2)-SEARCH("/",N2,1))</f>
        <v>television</v>
      </c>
      <c r="S2" s="12">
        <f>(J2/86400)+25569+(-5/24)</f>
        <v>42176.798738425925</v>
      </c>
      <c r="T2" s="9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E3/D3*100</f>
        <v>142.60827250608273</v>
      </c>
      <c r="P3">
        <f t="shared" ref="P3:P66" si="2">E3/L3</f>
        <v>185.48101265822785</v>
      </c>
      <c r="Q3" t="str">
        <f t="shared" si="0"/>
        <v>film &amp; video</v>
      </c>
      <c r="R3" t="str">
        <f t="shared" ref="R3:R66" si="3">RIGHT(N3,LEN(N3)-SEARCH("/",N3,1))</f>
        <v>television</v>
      </c>
      <c r="S3" s="12">
        <f t="shared" ref="S3:S66" si="4">(J3/86400)+25569+(-5/24)</f>
        <v>42766.392164351848</v>
      </c>
      <c r="T3" s="9">
        <f t="shared" ref="T3:T66" si="5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>
        <f t="shared" si="2"/>
        <v>15</v>
      </c>
      <c r="Q4" t="str">
        <f t="shared" si="0"/>
        <v>film &amp; video</v>
      </c>
      <c r="R4" t="str">
        <f t="shared" si="3"/>
        <v>television</v>
      </c>
      <c r="S4" s="12">
        <f t="shared" si="4"/>
        <v>42405.494016203702</v>
      </c>
      <c r="T4" s="9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103.89999999999999</v>
      </c>
      <c r="P5">
        <f t="shared" si="2"/>
        <v>69.266666666666666</v>
      </c>
      <c r="Q5" t="str">
        <f t="shared" si="0"/>
        <v>film &amp; video</v>
      </c>
      <c r="R5" t="str">
        <f t="shared" si="3"/>
        <v>television</v>
      </c>
      <c r="S5" s="12">
        <f t="shared" si="4"/>
        <v>41828.306793981479</v>
      </c>
      <c r="T5" s="9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122.99154545454545</v>
      </c>
      <c r="P6">
        <f t="shared" si="2"/>
        <v>190.55028169014085</v>
      </c>
      <c r="Q6" t="str">
        <f t="shared" si="0"/>
        <v>film &amp; video</v>
      </c>
      <c r="R6" t="str">
        <f t="shared" si="3"/>
        <v>television</v>
      </c>
      <c r="S6" s="12">
        <f t="shared" si="4"/>
        <v>42327.625914351847</v>
      </c>
      <c r="T6" s="9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109.77744436109028</v>
      </c>
      <c r="P7">
        <f t="shared" si="2"/>
        <v>93.40425531914893</v>
      </c>
      <c r="Q7" t="str">
        <f t="shared" si="0"/>
        <v>film &amp; video</v>
      </c>
      <c r="R7" t="str">
        <f t="shared" si="3"/>
        <v>television</v>
      </c>
      <c r="S7" s="12">
        <f t="shared" si="4"/>
        <v>42563.724618055552</v>
      </c>
      <c r="T7" s="9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106.4875</v>
      </c>
      <c r="P8">
        <f t="shared" si="2"/>
        <v>146.87931034482759</v>
      </c>
      <c r="Q8" t="str">
        <f t="shared" si="0"/>
        <v>film &amp; video</v>
      </c>
      <c r="R8" t="str">
        <f t="shared" si="3"/>
        <v>television</v>
      </c>
      <c r="S8" s="12">
        <f t="shared" si="4"/>
        <v>41793.864004629628</v>
      </c>
      <c r="T8" s="9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101.22222222222221</v>
      </c>
      <c r="P9">
        <f t="shared" si="2"/>
        <v>159.82456140350877</v>
      </c>
      <c r="Q9" t="str">
        <f t="shared" si="0"/>
        <v>film &amp; video</v>
      </c>
      <c r="R9" t="str">
        <f t="shared" si="3"/>
        <v>television</v>
      </c>
      <c r="S9" s="12">
        <f t="shared" si="4"/>
        <v>42515.838738425919</v>
      </c>
      <c r="T9" s="9">
        <f t="shared" si="5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100.04342857142856</v>
      </c>
      <c r="P10">
        <f t="shared" si="2"/>
        <v>291.79333333333335</v>
      </c>
      <c r="Q10" t="str">
        <f t="shared" si="0"/>
        <v>film &amp; video</v>
      </c>
      <c r="R10" t="str">
        <f t="shared" si="3"/>
        <v>television</v>
      </c>
      <c r="S10" s="12">
        <f t="shared" si="4"/>
        <v>42468.736249999994</v>
      </c>
      <c r="T10" s="9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125.998</v>
      </c>
      <c r="P11">
        <f t="shared" si="2"/>
        <v>31.499500000000001</v>
      </c>
      <c r="Q11" t="str">
        <f t="shared" si="0"/>
        <v>film &amp; video</v>
      </c>
      <c r="R11" t="str">
        <f t="shared" si="3"/>
        <v>television</v>
      </c>
      <c r="S11" s="12">
        <f t="shared" si="4"/>
        <v>42446.895185185182</v>
      </c>
      <c r="T11" s="9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100.49999999999999</v>
      </c>
      <c r="P12">
        <f t="shared" si="2"/>
        <v>158.68421052631578</v>
      </c>
      <c r="Q12" t="str">
        <f t="shared" si="0"/>
        <v>film &amp; video</v>
      </c>
      <c r="R12" t="str">
        <f t="shared" si="3"/>
        <v>television</v>
      </c>
      <c r="S12" s="12">
        <f t="shared" si="4"/>
        <v>41779.859710648147</v>
      </c>
      <c r="T12" s="9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120.5</v>
      </c>
      <c r="P13">
        <f t="shared" si="2"/>
        <v>80.333333333333329</v>
      </c>
      <c r="Q13" t="str">
        <f t="shared" si="0"/>
        <v>film &amp; video</v>
      </c>
      <c r="R13" t="str">
        <f t="shared" si="3"/>
        <v>television</v>
      </c>
      <c r="S13" s="12">
        <f t="shared" si="4"/>
        <v>42572.570162037031</v>
      </c>
      <c r="T13" s="9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165.29333333333335</v>
      </c>
      <c r="P14">
        <f t="shared" si="2"/>
        <v>59.961305925030231</v>
      </c>
      <c r="Q14" t="str">
        <f t="shared" si="0"/>
        <v>film &amp; video</v>
      </c>
      <c r="R14" t="str">
        <f t="shared" si="3"/>
        <v>television</v>
      </c>
      <c r="S14" s="12">
        <f t="shared" si="4"/>
        <v>41791.504918981482</v>
      </c>
      <c r="T14" s="9">
        <f t="shared" si="5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159.97142857142856</v>
      </c>
      <c r="P15">
        <f t="shared" si="2"/>
        <v>109.78431372549019</v>
      </c>
      <c r="Q15" t="str">
        <f t="shared" si="0"/>
        <v>film &amp; video</v>
      </c>
      <c r="R15" t="str">
        <f t="shared" si="3"/>
        <v>television</v>
      </c>
      <c r="S15" s="12">
        <f t="shared" si="4"/>
        <v>42508.468854166662</v>
      </c>
      <c r="T15" s="9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100.93333333333334</v>
      </c>
      <c r="P16">
        <f t="shared" si="2"/>
        <v>147.70731707317074</v>
      </c>
      <c r="Q16" t="str">
        <f t="shared" si="0"/>
        <v>film &amp; video</v>
      </c>
      <c r="R16" t="str">
        <f t="shared" si="3"/>
        <v>television</v>
      </c>
      <c r="S16" s="12">
        <f t="shared" si="4"/>
        <v>41807.818148148144</v>
      </c>
      <c r="T16" s="9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106.60000000000001</v>
      </c>
      <c r="P17">
        <f t="shared" si="2"/>
        <v>21.755102040816325</v>
      </c>
      <c r="Q17" t="str">
        <f t="shared" si="0"/>
        <v>film &amp; video</v>
      </c>
      <c r="R17" t="str">
        <f t="shared" si="3"/>
        <v>television</v>
      </c>
      <c r="S17" s="12">
        <f t="shared" si="4"/>
        <v>42256.183541666665</v>
      </c>
      <c r="T17" s="9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100.24166666666667</v>
      </c>
      <c r="P18">
        <f t="shared" si="2"/>
        <v>171.84285714285716</v>
      </c>
      <c r="Q18" t="str">
        <f t="shared" si="0"/>
        <v>film &amp; video</v>
      </c>
      <c r="R18" t="str">
        <f t="shared" si="3"/>
        <v>television</v>
      </c>
      <c r="S18" s="12">
        <f t="shared" si="4"/>
        <v>41760.588090277779</v>
      </c>
      <c r="T18" s="9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100.66666666666666</v>
      </c>
      <c r="P19">
        <f t="shared" si="2"/>
        <v>41.944444444444443</v>
      </c>
      <c r="Q19" t="str">
        <f t="shared" si="0"/>
        <v>film &amp; video</v>
      </c>
      <c r="R19" t="str">
        <f t="shared" si="3"/>
        <v>television</v>
      </c>
      <c r="S19" s="12">
        <f t="shared" si="4"/>
        <v>41917.523402777777</v>
      </c>
      <c r="T19" s="9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106.32110000000002</v>
      </c>
      <c r="P20">
        <f t="shared" si="2"/>
        <v>93.264122807017543</v>
      </c>
      <c r="Q20" t="str">
        <f t="shared" si="0"/>
        <v>film &amp; video</v>
      </c>
      <c r="R20" t="str">
        <f t="shared" si="3"/>
        <v>television</v>
      </c>
      <c r="S20" s="12">
        <f t="shared" si="4"/>
        <v>41869.333981481475</v>
      </c>
      <c r="T20" s="9">
        <f t="shared" si="5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145.29411764705881</v>
      </c>
      <c r="P21">
        <f t="shared" si="2"/>
        <v>56.136363636363633</v>
      </c>
      <c r="Q21" t="str">
        <f t="shared" si="0"/>
        <v>film &amp; video</v>
      </c>
      <c r="R21" t="str">
        <f t="shared" si="3"/>
        <v>television</v>
      </c>
      <c r="S21" s="12">
        <f t="shared" si="4"/>
        <v>42175.608032407406</v>
      </c>
      <c r="T21" s="9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100.2</v>
      </c>
      <c r="P22">
        <f t="shared" si="2"/>
        <v>80.16</v>
      </c>
      <c r="Q22" t="str">
        <f t="shared" si="0"/>
        <v>film &amp; video</v>
      </c>
      <c r="R22" t="str">
        <f t="shared" si="3"/>
        <v>television</v>
      </c>
      <c r="S22" s="12">
        <f t="shared" si="4"/>
        <v>42200.549907407403</v>
      </c>
      <c r="T22" s="9">
        <f t="shared" si="5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109.13513513513513</v>
      </c>
      <c r="P23">
        <f t="shared" si="2"/>
        <v>199.9009900990099</v>
      </c>
      <c r="Q23" t="str">
        <f t="shared" si="0"/>
        <v>film &amp; video</v>
      </c>
      <c r="R23" t="str">
        <f t="shared" si="3"/>
        <v>television</v>
      </c>
      <c r="S23" s="12">
        <f t="shared" si="4"/>
        <v>41878.418854166666</v>
      </c>
      <c r="T23" s="9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117.14285714285715</v>
      </c>
      <c r="P24">
        <f t="shared" si="2"/>
        <v>51.25</v>
      </c>
      <c r="Q24" t="str">
        <f t="shared" si="0"/>
        <v>film &amp; video</v>
      </c>
      <c r="R24" t="str">
        <f t="shared" si="3"/>
        <v>television</v>
      </c>
      <c r="S24" s="12">
        <f t="shared" si="4"/>
        <v>41989.703009259254</v>
      </c>
      <c r="T24" s="9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118.5</v>
      </c>
      <c r="P25">
        <f t="shared" si="2"/>
        <v>103.04347826086956</v>
      </c>
      <c r="Q25" t="str">
        <f t="shared" si="0"/>
        <v>film &amp; video</v>
      </c>
      <c r="R25" t="str">
        <f t="shared" si="3"/>
        <v>television</v>
      </c>
      <c r="S25" s="12">
        <f t="shared" si="4"/>
        <v>42097.570613425924</v>
      </c>
      <c r="T25" s="9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108.80768571428572</v>
      </c>
      <c r="P26">
        <f t="shared" si="2"/>
        <v>66.346149825783982</v>
      </c>
      <c r="Q26" t="str">
        <f t="shared" si="0"/>
        <v>film &amp; video</v>
      </c>
      <c r="R26" t="str">
        <f t="shared" si="3"/>
        <v>television</v>
      </c>
      <c r="S26" s="12">
        <f t="shared" si="4"/>
        <v>42229.611840277772</v>
      </c>
      <c r="T26" s="9">
        <f t="shared" si="5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133.33333333333331</v>
      </c>
      <c r="P27">
        <f t="shared" si="2"/>
        <v>57.142857142857146</v>
      </c>
      <c r="Q27" t="str">
        <f t="shared" si="0"/>
        <v>film &amp; video</v>
      </c>
      <c r="R27" t="str">
        <f t="shared" si="3"/>
        <v>television</v>
      </c>
      <c r="S27" s="12">
        <f t="shared" si="4"/>
        <v>42317.816678240742</v>
      </c>
      <c r="T27" s="9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155.20000000000002</v>
      </c>
      <c r="P28">
        <f t="shared" si="2"/>
        <v>102.10526315789474</v>
      </c>
      <c r="Q28" t="str">
        <f t="shared" si="0"/>
        <v>film &amp; video</v>
      </c>
      <c r="R28" t="str">
        <f t="shared" si="3"/>
        <v>television</v>
      </c>
      <c r="S28" s="12">
        <f t="shared" si="4"/>
        <v>41828.307222222218</v>
      </c>
      <c r="T28" s="9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111.72500000000001</v>
      </c>
      <c r="P29">
        <f t="shared" si="2"/>
        <v>148.96666666666667</v>
      </c>
      <c r="Q29" t="str">
        <f t="shared" si="0"/>
        <v>film &amp; video</v>
      </c>
      <c r="R29" t="str">
        <f t="shared" si="3"/>
        <v>television</v>
      </c>
      <c r="S29" s="12">
        <f t="shared" si="4"/>
        <v>41928.956400462957</v>
      </c>
      <c r="T29" s="9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100.35000000000001</v>
      </c>
      <c r="P30">
        <f t="shared" si="2"/>
        <v>169.6056338028169</v>
      </c>
      <c r="Q30" t="str">
        <f t="shared" si="0"/>
        <v>film &amp; video</v>
      </c>
      <c r="R30" t="str">
        <f t="shared" si="3"/>
        <v>television</v>
      </c>
      <c r="S30" s="12">
        <f t="shared" si="4"/>
        <v>42324.755601851844</v>
      </c>
      <c r="T30" s="9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123.33333333333334</v>
      </c>
      <c r="P31">
        <f t="shared" si="2"/>
        <v>31.623931623931625</v>
      </c>
      <c r="Q31" t="str">
        <f t="shared" si="0"/>
        <v>film &amp; video</v>
      </c>
      <c r="R31" t="str">
        <f t="shared" si="3"/>
        <v>television</v>
      </c>
      <c r="S31" s="12">
        <f t="shared" si="4"/>
        <v>41812.464907407404</v>
      </c>
      <c r="T31" s="9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101.29975</v>
      </c>
      <c r="P32">
        <f t="shared" si="2"/>
        <v>76.45264150943396</v>
      </c>
      <c r="Q32" t="str">
        <f t="shared" si="0"/>
        <v>film &amp; video</v>
      </c>
      <c r="R32" t="str">
        <f t="shared" si="3"/>
        <v>television</v>
      </c>
      <c r="S32" s="12">
        <f t="shared" si="4"/>
        <v>41842.084664351853</v>
      </c>
      <c r="T32" s="9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>
        <f t="shared" si="2"/>
        <v>13</v>
      </c>
      <c r="Q33" t="str">
        <f t="shared" si="0"/>
        <v>film &amp; video</v>
      </c>
      <c r="R33" t="str">
        <f t="shared" si="3"/>
        <v>television</v>
      </c>
      <c r="S33" s="12">
        <f t="shared" si="4"/>
        <v>42376.583726851844</v>
      </c>
      <c r="T33" s="9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100.24604569420035</v>
      </c>
      <c r="P34">
        <f t="shared" si="2"/>
        <v>320.44943820224717</v>
      </c>
      <c r="Q34" t="str">
        <f t="shared" si="0"/>
        <v>film &amp; video</v>
      </c>
      <c r="R34" t="str">
        <f t="shared" si="3"/>
        <v>television</v>
      </c>
      <c r="S34" s="12">
        <f t="shared" si="4"/>
        <v>42461.419178240736</v>
      </c>
      <c r="T34" s="9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102.0952380952381</v>
      </c>
      <c r="P35">
        <f t="shared" si="2"/>
        <v>83.75</v>
      </c>
      <c r="Q35" t="str">
        <f t="shared" si="0"/>
        <v>film &amp; video</v>
      </c>
      <c r="R35" t="str">
        <f t="shared" si="3"/>
        <v>television</v>
      </c>
      <c r="S35" s="12">
        <f t="shared" si="4"/>
        <v>42286.452557870369</v>
      </c>
      <c r="T35" s="9">
        <f t="shared" si="5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130.46153846153845</v>
      </c>
      <c r="P36">
        <f t="shared" si="2"/>
        <v>49.882352941176471</v>
      </c>
      <c r="Q36" t="str">
        <f t="shared" si="0"/>
        <v>film &amp; video</v>
      </c>
      <c r="R36" t="str">
        <f t="shared" si="3"/>
        <v>television</v>
      </c>
      <c r="S36" s="12">
        <f t="shared" si="4"/>
        <v>41841.113437499997</v>
      </c>
      <c r="T36" s="9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166.5</v>
      </c>
      <c r="P37">
        <f t="shared" si="2"/>
        <v>59.464285714285715</v>
      </c>
      <c r="Q37" t="str">
        <f t="shared" si="0"/>
        <v>film &amp; video</v>
      </c>
      <c r="R37" t="str">
        <f t="shared" si="3"/>
        <v>television</v>
      </c>
      <c r="S37" s="12">
        <f t="shared" si="4"/>
        <v>42098.083495370367</v>
      </c>
      <c r="T37" s="9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142.15</v>
      </c>
      <c r="P38">
        <f t="shared" si="2"/>
        <v>193.84090909090909</v>
      </c>
      <c r="Q38" t="str">
        <f t="shared" si="0"/>
        <v>film &amp; video</v>
      </c>
      <c r="R38" t="str">
        <f t="shared" si="3"/>
        <v>television</v>
      </c>
      <c r="S38" s="12">
        <f t="shared" si="4"/>
        <v>42068.098668981482</v>
      </c>
      <c r="T38" s="9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183.44090909090909</v>
      </c>
      <c r="P39">
        <f t="shared" si="2"/>
        <v>159.51383399209487</v>
      </c>
      <c r="Q39" t="str">
        <f t="shared" si="0"/>
        <v>film &amp; video</v>
      </c>
      <c r="R39" t="str">
        <f t="shared" si="3"/>
        <v>television</v>
      </c>
      <c r="S39" s="12">
        <f t="shared" si="4"/>
        <v>42032.484710648147</v>
      </c>
      <c r="T39" s="9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110.04</v>
      </c>
      <c r="P40">
        <f t="shared" si="2"/>
        <v>41.68181818181818</v>
      </c>
      <c r="Q40" t="str">
        <f t="shared" si="0"/>
        <v>film &amp; video</v>
      </c>
      <c r="R40" t="str">
        <f t="shared" si="3"/>
        <v>television</v>
      </c>
      <c r="S40" s="12">
        <f t="shared" si="4"/>
        <v>41374.84888888889</v>
      </c>
      <c r="T40" s="9">
        <f t="shared" si="5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130.98000000000002</v>
      </c>
      <c r="P41">
        <f t="shared" si="2"/>
        <v>150.89861751152074</v>
      </c>
      <c r="Q41" t="str">
        <f t="shared" si="0"/>
        <v>film &amp; video</v>
      </c>
      <c r="R41" t="str">
        <f t="shared" si="3"/>
        <v>television</v>
      </c>
      <c r="S41" s="12">
        <f t="shared" si="4"/>
        <v>41753.838749999995</v>
      </c>
      <c r="T41" s="9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101.35000000000001</v>
      </c>
      <c r="P42">
        <f t="shared" si="2"/>
        <v>126.6875</v>
      </c>
      <c r="Q42" t="str">
        <f t="shared" si="0"/>
        <v>film &amp; video</v>
      </c>
      <c r="R42" t="str">
        <f t="shared" si="3"/>
        <v>television</v>
      </c>
      <c r="S42" s="12">
        <f t="shared" si="4"/>
        <v>41789.005648148144</v>
      </c>
      <c r="T42" s="9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>
        <f t="shared" si="2"/>
        <v>105.26315789473684</v>
      </c>
      <c r="Q43" t="str">
        <f t="shared" si="0"/>
        <v>film &amp; video</v>
      </c>
      <c r="R43" t="str">
        <f t="shared" si="3"/>
        <v>television</v>
      </c>
      <c r="S43" s="12">
        <f t="shared" si="4"/>
        <v>41887.360578703701</v>
      </c>
      <c r="T43" s="9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141.85714285714286</v>
      </c>
      <c r="P44">
        <f t="shared" si="2"/>
        <v>117.51479289940828</v>
      </c>
      <c r="Q44" t="str">
        <f t="shared" si="0"/>
        <v>film &amp; video</v>
      </c>
      <c r="R44" t="str">
        <f t="shared" si="3"/>
        <v>television</v>
      </c>
      <c r="S44" s="12">
        <f t="shared" si="4"/>
        <v>41971.430856481478</v>
      </c>
      <c r="T44" s="9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308.65999999999997</v>
      </c>
      <c r="P45">
        <f t="shared" si="2"/>
        <v>117.36121673003802</v>
      </c>
      <c r="Q45" t="str">
        <f t="shared" si="0"/>
        <v>film &amp; video</v>
      </c>
      <c r="R45" t="str">
        <f t="shared" si="3"/>
        <v>television</v>
      </c>
      <c r="S45" s="12">
        <f t="shared" si="4"/>
        <v>41802.582013888888</v>
      </c>
      <c r="T45" s="9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>
        <f t="shared" si="2"/>
        <v>133.33333333333334</v>
      </c>
      <c r="Q46" t="str">
        <f t="shared" si="0"/>
        <v>film &amp; video</v>
      </c>
      <c r="R46" t="str">
        <f t="shared" si="3"/>
        <v>television</v>
      </c>
      <c r="S46" s="12">
        <f t="shared" si="4"/>
        <v>41873.890474537031</v>
      </c>
      <c r="T46" s="9">
        <f t="shared" si="5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>
        <f t="shared" si="2"/>
        <v>98.360655737704917</v>
      </c>
      <c r="Q47" t="str">
        <f t="shared" si="0"/>
        <v>film &amp; video</v>
      </c>
      <c r="R47" t="str">
        <f t="shared" si="3"/>
        <v>television</v>
      </c>
      <c r="S47" s="12">
        <f t="shared" si="4"/>
        <v>42457.415590277778</v>
      </c>
      <c r="T47" s="9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104.16666666666667</v>
      </c>
      <c r="P48">
        <f t="shared" si="2"/>
        <v>194.44444444444446</v>
      </c>
      <c r="Q48" t="str">
        <f t="shared" si="0"/>
        <v>film &amp; video</v>
      </c>
      <c r="R48" t="str">
        <f t="shared" si="3"/>
        <v>television</v>
      </c>
      <c r="S48" s="12">
        <f t="shared" si="4"/>
        <v>42323.756643518514</v>
      </c>
      <c r="T48" s="9">
        <f t="shared" si="5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107.61100000000002</v>
      </c>
      <c r="P49">
        <f t="shared" si="2"/>
        <v>76.865000000000009</v>
      </c>
      <c r="Q49" t="str">
        <f t="shared" si="0"/>
        <v>film &amp; video</v>
      </c>
      <c r="R49" t="str">
        <f t="shared" si="3"/>
        <v>television</v>
      </c>
      <c r="S49" s="12">
        <f t="shared" si="4"/>
        <v>41932.611192129625</v>
      </c>
      <c r="T49" s="9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107.94999999999999</v>
      </c>
      <c r="P50">
        <f t="shared" si="2"/>
        <v>56.815789473684212</v>
      </c>
      <c r="Q50" t="str">
        <f t="shared" si="0"/>
        <v>film &amp; video</v>
      </c>
      <c r="R50" t="str">
        <f t="shared" si="3"/>
        <v>television</v>
      </c>
      <c r="S50" s="12">
        <f t="shared" si="4"/>
        <v>42033.308564814812</v>
      </c>
      <c r="T50" s="9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>
        <f t="shared" si="2"/>
        <v>137.93103448275863</v>
      </c>
      <c r="Q51" t="str">
        <f t="shared" si="0"/>
        <v>film &amp; video</v>
      </c>
      <c r="R51" t="str">
        <f t="shared" si="3"/>
        <v>television</v>
      </c>
      <c r="S51" s="12">
        <f t="shared" si="4"/>
        <v>42270.968113425923</v>
      </c>
      <c r="T51" s="9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>
        <f t="shared" si="2"/>
        <v>27.272727272727273</v>
      </c>
      <c r="Q52" t="str">
        <f t="shared" si="0"/>
        <v>film &amp; video</v>
      </c>
      <c r="R52" t="str">
        <f t="shared" si="3"/>
        <v>television</v>
      </c>
      <c r="S52" s="12">
        <f t="shared" si="4"/>
        <v>41995.544652777775</v>
      </c>
      <c r="T52" s="9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128.0181818181818</v>
      </c>
      <c r="P53">
        <f t="shared" si="2"/>
        <v>118.33613445378151</v>
      </c>
      <c r="Q53" t="str">
        <f t="shared" si="0"/>
        <v>film &amp; video</v>
      </c>
      <c r="R53" t="str">
        <f t="shared" si="3"/>
        <v>television</v>
      </c>
      <c r="S53" s="12">
        <f t="shared" si="4"/>
        <v>42196.72033564814</v>
      </c>
      <c r="T53" s="9">
        <f t="shared" si="5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116.21</v>
      </c>
      <c r="P54">
        <f t="shared" si="2"/>
        <v>223.48076923076923</v>
      </c>
      <c r="Q54" t="str">
        <f t="shared" si="0"/>
        <v>film &amp; video</v>
      </c>
      <c r="R54" t="str">
        <f t="shared" si="3"/>
        <v>television</v>
      </c>
      <c r="S54" s="12">
        <f t="shared" si="4"/>
        <v>41807.493587962963</v>
      </c>
      <c r="T54" s="9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109.63333333333334</v>
      </c>
      <c r="P55">
        <f t="shared" si="2"/>
        <v>28.111111111111111</v>
      </c>
      <c r="Q55" t="str">
        <f t="shared" si="0"/>
        <v>film &amp; video</v>
      </c>
      <c r="R55" t="str">
        <f t="shared" si="3"/>
        <v>television</v>
      </c>
      <c r="S55" s="12">
        <f t="shared" si="4"/>
        <v>41719.340798611105</v>
      </c>
      <c r="T55" s="9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>
        <f t="shared" si="2"/>
        <v>194.23076923076923</v>
      </c>
      <c r="Q56" t="str">
        <f t="shared" si="0"/>
        <v>film &amp; video</v>
      </c>
      <c r="R56" t="str">
        <f t="shared" si="3"/>
        <v>television</v>
      </c>
      <c r="S56" s="12">
        <f t="shared" si="4"/>
        <v>42333.504872685182</v>
      </c>
      <c r="T56" s="9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128.95348837209301</v>
      </c>
      <c r="P57">
        <f t="shared" si="2"/>
        <v>128.95348837209303</v>
      </c>
      <c r="Q57" t="str">
        <f t="shared" si="0"/>
        <v>film &amp; video</v>
      </c>
      <c r="R57" t="str">
        <f t="shared" si="3"/>
        <v>television</v>
      </c>
      <c r="S57" s="12">
        <f t="shared" si="4"/>
        <v>42496.760601851849</v>
      </c>
      <c r="T57" s="9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107.26249999999999</v>
      </c>
      <c r="P58">
        <f t="shared" si="2"/>
        <v>49.316091954022987</v>
      </c>
      <c r="Q58" t="str">
        <f t="shared" si="0"/>
        <v>film &amp; video</v>
      </c>
      <c r="R58" t="str">
        <f t="shared" si="3"/>
        <v>television</v>
      </c>
      <c r="S58" s="12">
        <f t="shared" si="4"/>
        <v>42149.340555555558</v>
      </c>
      <c r="T58" s="9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101.89999999999999</v>
      </c>
      <c r="P59">
        <f t="shared" si="2"/>
        <v>221.52173913043478</v>
      </c>
      <c r="Q59" t="str">
        <f t="shared" si="0"/>
        <v>film &amp; video</v>
      </c>
      <c r="R59" t="str">
        <f t="shared" si="3"/>
        <v>television</v>
      </c>
      <c r="S59" s="12">
        <f t="shared" si="4"/>
        <v>42089.624560185184</v>
      </c>
      <c r="T59" s="9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102.91</v>
      </c>
      <c r="P60">
        <f t="shared" si="2"/>
        <v>137.21333333333334</v>
      </c>
      <c r="Q60" t="str">
        <f t="shared" si="0"/>
        <v>film &amp; video</v>
      </c>
      <c r="R60" t="str">
        <f t="shared" si="3"/>
        <v>television</v>
      </c>
      <c r="S60" s="12">
        <f t="shared" si="4"/>
        <v>41932.536712962959</v>
      </c>
      <c r="T60" s="9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100.12570000000001</v>
      </c>
      <c r="P61">
        <f t="shared" si="2"/>
        <v>606.82242424242418</v>
      </c>
      <c r="Q61" t="str">
        <f t="shared" si="0"/>
        <v>film &amp; video</v>
      </c>
      <c r="R61" t="str">
        <f t="shared" si="3"/>
        <v>television</v>
      </c>
      <c r="S61" s="12">
        <f t="shared" si="4"/>
        <v>42230.027499999997</v>
      </c>
      <c r="T61" s="9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103.29622222222221</v>
      </c>
      <c r="P62">
        <f t="shared" si="2"/>
        <v>43.040092592592593</v>
      </c>
      <c r="Q62" t="str">
        <f t="shared" si="0"/>
        <v>film &amp; video</v>
      </c>
      <c r="R62" t="str">
        <f t="shared" si="3"/>
        <v>shorts</v>
      </c>
      <c r="S62" s="12">
        <f t="shared" si="4"/>
        <v>41701.693483796298</v>
      </c>
      <c r="T62" s="9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148.30000000000001</v>
      </c>
      <c r="P63">
        <f t="shared" si="2"/>
        <v>322.39130434782606</v>
      </c>
      <c r="Q63" t="str">
        <f t="shared" si="0"/>
        <v>film &amp; video</v>
      </c>
      <c r="R63" t="str">
        <f t="shared" si="3"/>
        <v>shorts</v>
      </c>
      <c r="S63" s="12">
        <f t="shared" si="4"/>
        <v>41409.605983796289</v>
      </c>
      <c r="T63" s="9">
        <f t="shared" si="5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154.73333333333332</v>
      </c>
      <c r="P64">
        <f t="shared" si="2"/>
        <v>96.708333333333329</v>
      </c>
      <c r="Q64" t="str">
        <f t="shared" si="0"/>
        <v>film &amp; video</v>
      </c>
      <c r="R64" t="str">
        <f t="shared" si="3"/>
        <v>shorts</v>
      </c>
      <c r="S64" s="12">
        <f t="shared" si="4"/>
        <v>41311.591180555552</v>
      </c>
      <c r="T64" s="9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113.51849999999999</v>
      </c>
      <c r="P65">
        <f t="shared" si="2"/>
        <v>35.474531249999998</v>
      </c>
      <c r="Q65" t="str">
        <f t="shared" si="0"/>
        <v>film &amp; video</v>
      </c>
      <c r="R65" t="str">
        <f t="shared" si="3"/>
        <v>shorts</v>
      </c>
      <c r="S65" s="12">
        <f t="shared" si="4"/>
        <v>41612.703854166662</v>
      </c>
      <c r="T65" s="9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173.33333333333334</v>
      </c>
      <c r="P66">
        <f t="shared" si="2"/>
        <v>86.666666666666671</v>
      </c>
      <c r="Q66" t="str">
        <f t="shared" si="0"/>
        <v>film &amp; video</v>
      </c>
      <c r="R66" t="str">
        <f t="shared" si="3"/>
        <v>shorts</v>
      </c>
      <c r="S66" s="12">
        <f t="shared" si="4"/>
        <v>41432.809965277775</v>
      </c>
      <c r="T66" s="9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E67/D67*100</f>
        <v>107.52857142857141</v>
      </c>
      <c r="P67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RIGHT(N67,LEN(N67)-SEARCH("/",N67,1))</f>
        <v>shorts</v>
      </c>
      <c r="S67" s="12">
        <f t="shared" ref="S67:S130" si="10">(J67/86400)+25569+(-5/24)</f>
        <v>41835.612893518519</v>
      </c>
      <c r="T67" s="9">
        <f t="shared" ref="T67:T130" si="11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9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9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9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9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9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9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41207.801863425928</v>
      </c>
      <c r="T74" s="9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9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9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9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9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40996.936539351846</v>
      </c>
      <c r="T79" s="9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9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9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9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41099.950543981475</v>
      </c>
      <c r="T83" s="9">
        <f t="shared" si="11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9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9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9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9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9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40322.331053240741</v>
      </c>
      <c r="T89" s="9">
        <f t="shared" si="11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9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41402.543888888882</v>
      </c>
      <c r="T91" s="9">
        <f t="shared" si="11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9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9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9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9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9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9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9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9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41214.586504629631</v>
      </c>
      <c r="T100" s="9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9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9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9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9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9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9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9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40987.568298611106</v>
      </c>
      <c r="T108" s="9">
        <f t="shared" si="11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9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9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9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9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9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41717.834699074076</v>
      </c>
      <c r="T114" s="9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9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9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40918.530601851853</v>
      </c>
      <c r="T117" s="9">
        <f t="shared" si="11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9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9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9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9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9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9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9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9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9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9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9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9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9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E131/D131*100</f>
        <v>0</v>
      </c>
      <c r="P131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RIGHT(N131,LEN(N131)-SEARCH("/",N131,1))</f>
        <v>science fiction</v>
      </c>
      <c r="S131" s="12">
        <f t="shared" ref="S131:S194" si="16">(J131/86400)+25569+(-5/24)</f>
        <v>41882.728969907403</v>
      </c>
      <c r="T131" s="9">
        <f t="shared" ref="T131:T194" si="17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41778.707083333335</v>
      </c>
      <c r="T132" s="9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9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9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9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9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9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9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9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9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9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9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9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9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42558.855810185181</v>
      </c>
      <c r="T145" s="9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9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9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9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9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9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9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9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9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41874.869212962956</v>
      </c>
      <c r="T154" s="9">
        <f t="shared" si="17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9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9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9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9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9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9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9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</v>
      </c>
      <c r="T162" s="9">
        <f t="shared" si="17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9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9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9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9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9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9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9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9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9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9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9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9">
        <f t="shared" si="17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9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9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9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9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9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9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9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9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9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9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9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9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9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9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9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9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9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9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9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9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E195/D195*100</f>
        <v>0</v>
      </c>
      <c r="P195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RIGHT(N195,LEN(N195)-SEARCH("/",N195,1))</f>
        <v>drama</v>
      </c>
      <c r="S195" s="12">
        <f t="shared" ref="S195:S258" si="22">(J195/86400)+25569+(-5/24)</f>
        <v>41911.726458333331</v>
      </c>
      <c r="T195" s="9">
        <f t="shared" ref="T195:T258" si="23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9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9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9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9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9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9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41866.875034722216</v>
      </c>
      <c r="T202" s="9">
        <f t="shared" si="23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9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9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9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9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9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9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9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9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9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9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42235.951585648145</v>
      </c>
      <c r="T213" s="9">
        <f t="shared" si="23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9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9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9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9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9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9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9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9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9">
        <f t="shared" si="23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9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9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9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9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9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9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9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9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9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42129.568877314814</v>
      </c>
      <c r="T232" s="9">
        <f t="shared" si="23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</v>
      </c>
      <c r="T233" s="9">
        <f t="shared" si="23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9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9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9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9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42320.876145833332</v>
      </c>
      <c r="T238" s="9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9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42713.754166666666</v>
      </c>
      <c r="T240" s="9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9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9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9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9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9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9">
        <f t="shared" si="23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9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9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9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9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9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9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9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40266.454374999994</v>
      </c>
      <c r="T254" s="9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9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42263.744328703702</v>
      </c>
      <c r="T256" s="9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9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9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E259/D259*100</f>
        <v>106.72648571428572</v>
      </c>
      <c r="P259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RIGHT(N259,LEN(N259)-SEARCH("/",N259,1))</f>
        <v>documentary</v>
      </c>
      <c r="S259" s="12">
        <f t="shared" ref="S259:S322" si="28">(J259/86400)+25569+(-5/24)</f>
        <v>42479.418541666666</v>
      </c>
      <c r="T259" s="9">
        <f t="shared" ref="T259:T322" si="2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9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9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9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9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9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9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9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40267.03738425926</v>
      </c>
      <c r="T267" s="9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9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9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9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9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40637.658217592594</v>
      </c>
      <c r="T272" s="9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41611.891909722217</v>
      </c>
      <c r="T273" s="9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9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9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9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9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40966.873541666668</v>
      </c>
      <c r="T278" s="9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9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9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9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41744.382349537038</v>
      </c>
      <c r="T282" s="9">
        <f t="shared" si="2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9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9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9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9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9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41313.607916666668</v>
      </c>
      <c r="T288" s="9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9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9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9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9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9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9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9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9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9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9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42089.519687499997</v>
      </c>
      <c r="T299" s="9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9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9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9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9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9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41031.862800925919</v>
      </c>
      <c r="T305" s="9">
        <f t="shared" si="2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9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9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9">
        <f t="shared" si="2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41282.736122685186</v>
      </c>
      <c r="T309" s="9">
        <f t="shared" si="2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9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9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9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9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9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9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9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9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9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9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9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9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9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E323/D323*100</f>
        <v>102.66285714285715</v>
      </c>
      <c r="P323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RIGHT(N323,LEN(N323)-SEARCH("/",N323,1))</f>
        <v>documentary</v>
      </c>
      <c r="S323" s="12">
        <f t="shared" ref="S323:S386" si="34">(J323/86400)+25569+(-5/24)</f>
        <v>42647.238263888888</v>
      </c>
      <c r="T323" s="9">
        <f t="shared" ref="T323:T386" si="35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9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9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9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9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9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9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9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9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9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9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9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9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9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9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9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9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9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9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9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9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9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9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9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9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42261.291909722218</v>
      </c>
      <c r="T348" s="9">
        <f t="shared" si="35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9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9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9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9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9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9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9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9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9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9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9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9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41934.86215277778</v>
      </c>
      <c r="T361" s="9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9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9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9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9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9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9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41019.584699074076</v>
      </c>
      <c r="T368" s="9">
        <f t="shared" si="35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9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9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9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9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9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9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9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9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9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9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9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9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9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9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9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9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9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9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E387/D387*100</f>
        <v>105.982</v>
      </c>
      <c r="P387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RIGHT(N387,LEN(N387)-SEARCH("/",N387,1))</f>
        <v>documentary</v>
      </c>
      <c r="S387" s="12">
        <f t="shared" ref="S387:S450" si="40">(J387/86400)+25569+(-5/24)</f>
        <v>41934.376168981478</v>
      </c>
      <c r="T387" s="9">
        <f t="shared" ref="T387:T450" si="41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9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9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</v>
      </c>
      <c r="T390" s="9">
        <f t="shared" si="41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41673.854745370372</v>
      </c>
      <c r="T391" s="9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9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40864.833923611106</v>
      </c>
      <c r="T393" s="9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9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9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9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9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41082.356550925928</v>
      </c>
      <c r="T398" s="9">
        <f t="shared" si="41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9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9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9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9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9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9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9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41646.419699074067</v>
      </c>
      <c r="T406" s="9">
        <f t="shared" si="41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9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9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9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9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9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42113.773113425923</v>
      </c>
      <c r="T412" s="9">
        <f t="shared" si="41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9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9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9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9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9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9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41360.762268518512</v>
      </c>
      <c r="T419" s="9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9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9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9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9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41863.052048611113</v>
      </c>
      <c r="T424" s="9">
        <f t="shared" si="41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9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9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9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9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42285.700694444444</v>
      </c>
      <c r="T429" s="9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9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9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9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42526.662997685184</v>
      </c>
      <c r="T433" s="9">
        <f t="shared" si="41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9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42228.421550925923</v>
      </c>
      <c r="T435" s="9">
        <f t="shared" si="41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9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9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9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9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9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41919.553449074076</v>
      </c>
      <c r="T441" s="9">
        <f t="shared" si="41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9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9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9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9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9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9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9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9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9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E451/D451*100</f>
        <v>2.25</v>
      </c>
      <c r="P451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RIGHT(N451,LEN(N451)-SEARCH("/",N451,1))</f>
        <v>animation</v>
      </c>
      <c r="S451" s="12">
        <f t="shared" ref="S451:S514" si="46">(J451/86400)+25569+(-5/24)</f>
        <v>41534.359780092593</v>
      </c>
      <c r="T451" s="9">
        <f t="shared" ref="T451:T514" si="47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9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9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42107.49554398148</v>
      </c>
      <c r="T454" s="9">
        <f t="shared" si="47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9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9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40970.794236111113</v>
      </c>
      <c r="T457" s="9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41547.486122685186</v>
      </c>
      <c r="T458" s="9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9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9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9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9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9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40704.918298611105</v>
      </c>
      <c r="T464" s="9">
        <f t="shared" si="47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9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42488.640451388885</v>
      </c>
      <c r="T466" s="9">
        <f t="shared" si="47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9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9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9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41040.959293981483</v>
      </c>
      <c r="T470" s="9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9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9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9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9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9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9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9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9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9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9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9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41465.29184027778</v>
      </c>
      <c r="T482" s="9">
        <f t="shared" si="47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9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42447.688541666663</v>
      </c>
      <c r="T484" s="9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9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9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41381.297442129631</v>
      </c>
      <c r="T487" s="9">
        <f t="shared" si="47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9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9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9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9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41113.760243055549</v>
      </c>
      <c r="T492" s="9">
        <f t="shared" si="47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42366.774293981478</v>
      </c>
      <c r="T493" s="9">
        <f t="shared" si="47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9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42114.517800925925</v>
      </c>
      <c r="T495" s="9">
        <f t="shared" si="47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9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9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9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9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9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9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40247.677673611106</v>
      </c>
      <c r="T502" s="9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9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9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9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9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9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9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9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9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9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9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9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9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E515/D515*100</f>
        <v>13.923999999999999</v>
      </c>
      <c r="P515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RIGHT(N515,LEN(N515)-SEARCH("/",N515,1))</f>
        <v>animation</v>
      </c>
      <c r="S515" s="12">
        <f t="shared" ref="S515:S578" si="52">(J515/86400)+25569+(-5/24)</f>
        <v>42552.445659722223</v>
      </c>
      <c r="T515" s="9">
        <f t="shared" ref="T515:T578" si="53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9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9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9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9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9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41218.183113425919</v>
      </c>
      <c r="T521" s="9">
        <f t="shared" si="53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9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9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9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9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9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9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9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9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9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9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9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9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9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9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9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42711.336863425924</v>
      </c>
      <c r="T537" s="9">
        <f t="shared" si="53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42179.136655092589</v>
      </c>
      <c r="T538" s="9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9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9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9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9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9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9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9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9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9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9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9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9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9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9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9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9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9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9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9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9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9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9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9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9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9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42692.180729166663</v>
      </c>
      <c r="T564" s="9">
        <f t="shared" si="53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9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9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42165.576956018514</v>
      </c>
      <c r="T567" s="9">
        <f t="shared" si="53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9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9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9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9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42388.589918981474</v>
      </c>
      <c r="T572" s="9">
        <f t="shared" si="53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9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42282.507962962962</v>
      </c>
      <c r="T574" s="9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9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9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9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9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E579/D579*100</f>
        <v>0.2</v>
      </c>
      <c r="P579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RIGHT(N579,LEN(N579)-SEARCH("/",N579,1))</f>
        <v>web</v>
      </c>
      <c r="S579" s="12">
        <f t="shared" ref="S579:S642" si="58">(J579/86400)+25569+(-5/24)</f>
        <v>42450.380810185183</v>
      </c>
      <c r="T579" s="9">
        <f t="shared" ref="T579:T642" si="5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9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9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9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9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9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9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9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9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9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9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42631.561180555553</v>
      </c>
      <c r="T590" s="9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9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9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9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9">
        <f t="shared" si="5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9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9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42082.861550925925</v>
      </c>
      <c r="T597" s="9">
        <f t="shared" si="5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9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9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9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9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9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9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9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9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9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42194.149398148147</v>
      </c>
      <c r="T607" s="9">
        <f t="shared" si="5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9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9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9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9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9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9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42584.823449074072</v>
      </c>
      <c r="T614" s="9">
        <f t="shared" si="5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9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9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9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42761.167905092589</v>
      </c>
      <c r="T618" s="9">
        <f t="shared" si="5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9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9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9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9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9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9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9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9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9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9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9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9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9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9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9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9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42507.090995370367</v>
      </c>
      <c r="T635" s="9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9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9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9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9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9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9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42683.211979166663</v>
      </c>
      <c r="T642" s="9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E643/D643*100</f>
        <v>119.16249999999999</v>
      </c>
      <c r="P643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RIGHT(N643,LEN(N643)-SEARCH("/",N643,1))</f>
        <v>wearables</v>
      </c>
      <c r="S643" s="12">
        <f t="shared" ref="S643:S706" si="64">(J643/86400)+25569+(-5/24)</f>
        <v>42199.361666666664</v>
      </c>
      <c r="T643" s="9">
        <f t="shared" ref="T643:T706" si="65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9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9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9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9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9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9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9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9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9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9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9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9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9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9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9">
        <f t="shared" si="65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9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9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9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9">
        <f t="shared" si="65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9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9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9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9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9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41838.623819444438</v>
      </c>
      <c r="T668" s="9">
        <f t="shared" si="65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9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9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9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9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9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9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9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9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9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42012.559965277775</v>
      </c>
      <c r="T678" s="9">
        <f t="shared" si="65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9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9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9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9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9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9">
        <f t="shared" si="65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9">
        <f t="shared" si="6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9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9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9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9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9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9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9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9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9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9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9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9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9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9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41866.722743055558</v>
      </c>
      <c r="T700" s="9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9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9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9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9">
        <f t="shared" si="65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9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9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E707/D707*100</f>
        <v>0.97699999999999987</v>
      </c>
      <c r="P707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RIGHT(N707,LEN(N707)-SEARCH("/",N707,1))</f>
        <v>wearables</v>
      </c>
      <c r="S707" s="12">
        <f t="shared" ref="S707:S770" si="70">(J707/86400)+25569+(-5/24)</f>
        <v>42726.283310185179</v>
      </c>
      <c r="T707" s="9">
        <f t="shared" ref="T707:T770" si="71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9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9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9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9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9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9">
        <f t="shared" si="7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42384.472592592589</v>
      </c>
      <c r="T714" s="9">
        <f t="shared" si="71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9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9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9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9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41857.645856481475</v>
      </c>
      <c r="T719" s="9">
        <f t="shared" si="71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9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9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9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9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9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42184.608206018514</v>
      </c>
      <c r="T725" s="9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9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9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9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41246.811909722222</v>
      </c>
      <c r="T729" s="9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9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9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9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9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9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9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9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9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9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9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41943.39576388889</v>
      </c>
      <c r="T740" s="9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9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9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9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9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9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9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9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9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9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9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9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9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9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9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9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9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9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9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9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9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9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9">
        <f t="shared" si="71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9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9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41471.238518518519</v>
      </c>
      <c r="T765" s="9">
        <f t="shared" si="71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9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9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9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9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9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E771/D771*100</f>
        <v>41.4</v>
      </c>
      <c r="P771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RIGHT(N771,LEN(N771)-SEARCH("/",N771,1))</f>
        <v>fiction</v>
      </c>
      <c r="S771" s="12">
        <f t="shared" ref="S771:S834" si="76">(J771/86400)+25569+(-5/24)</f>
        <v>41604.788124999999</v>
      </c>
      <c r="T771" s="9">
        <f t="shared" ref="T771:T834" si="77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41289.791307870364</v>
      </c>
      <c r="T772" s="9">
        <f t="shared" si="77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9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9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42100.527604166666</v>
      </c>
      <c r="T775" s="9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9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9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9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9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9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9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9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41402.792523148142</v>
      </c>
      <c r="T783" s="9">
        <f t="shared" si="77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9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9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9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41303.38559027778</v>
      </c>
      <c r="T787" s="9">
        <f t="shared" si="77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9">
        <f t="shared" si="77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9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9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41276.977777777771</v>
      </c>
      <c r="T791" s="9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9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9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41555.665312499994</v>
      </c>
      <c r="T794" s="9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9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9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9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9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9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9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9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9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9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41122.813935185179</v>
      </c>
      <c r="T804" s="9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9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40729.897291666661</v>
      </c>
      <c r="T806" s="9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9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9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9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9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9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9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9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9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9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9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9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9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9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9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9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9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9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9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9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9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9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9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9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41072.842384259253</v>
      </c>
      <c r="T830" s="9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9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9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9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9">
        <f t="shared" si="77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E835/D835*100</f>
        <v>101.66666666666666</v>
      </c>
      <c r="P835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RIGHT(N835,LEN(N835)-SEARCH("/",N835,1))</f>
        <v>rock</v>
      </c>
      <c r="S835" s="12">
        <f t="shared" ref="S835:S898" si="82">(J835/86400)+25569+(-5/24)</f>
        <v>41718.669849537036</v>
      </c>
      <c r="T835" s="9">
        <f t="shared" ref="T835:T898" si="83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9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9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9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9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9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9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9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41923.630358796298</v>
      </c>
      <c r="T843" s="9">
        <f t="shared" si="83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41526.384062499994</v>
      </c>
      <c r="T844" s="9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9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9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9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9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</v>
      </c>
      <c r="T849" s="9">
        <f t="shared" si="83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9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9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9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9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9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9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9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42544.916863425919</v>
      </c>
      <c r="T857" s="9">
        <f t="shared" si="83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9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9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9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9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9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9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9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9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9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41230.564780092587</v>
      </c>
      <c r="T867" s="9">
        <f t="shared" si="83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9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9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9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41342.637233796289</v>
      </c>
      <c r="T871" s="9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9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9">
        <f t="shared" si="83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9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41183.958796296291</v>
      </c>
      <c r="T875" s="9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9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9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9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41597.580555555549</v>
      </c>
      <c r="T879" s="9">
        <f t="shared" si="83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9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9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9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9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9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9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40981.594282407408</v>
      </c>
      <c r="T886" s="9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9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9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9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9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9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9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9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9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9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42496.773263888885</v>
      </c>
      <c r="T896" s="9">
        <f t="shared" si="83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9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</v>
      </c>
      <c r="T898" s="9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E899/D899*100</f>
        <v>0</v>
      </c>
      <c r="P899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RIGHT(N899,LEN(N899)-SEARCH("/",N899,1))</f>
        <v>indie rock</v>
      </c>
      <c r="S899" s="12">
        <f t="shared" ref="S899:S962" si="88">(J899/86400)+25569+(-5/24)</f>
        <v>41211.480416666665</v>
      </c>
      <c r="T899" s="9">
        <f t="shared" ref="T899:T962" si="8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9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9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9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9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9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9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9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9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9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9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9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9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9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9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9">
        <f t="shared" si="8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9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41116.554942129624</v>
      </c>
      <c r="T916" s="9">
        <f t="shared" si="8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9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9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9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9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9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41562.463217592587</v>
      </c>
      <c r="T922" s="9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40846.962685185186</v>
      </c>
      <c r="T923" s="9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9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9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41288.734594907401</v>
      </c>
      <c r="T926" s="9">
        <f t="shared" si="8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9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9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9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9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9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9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9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9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41710.960752314808</v>
      </c>
      <c r="T935" s="9">
        <f t="shared" si="8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9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9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9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9">
        <f t="shared" si="8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9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9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9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9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42382.634953703702</v>
      </c>
      <c r="T944" s="9">
        <f t="shared" si="8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9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9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</v>
      </c>
      <c r="T947" s="9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9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9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9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9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9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42480.445277777777</v>
      </c>
      <c r="T953" s="9">
        <f t="shared" si="8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9">
        <f t="shared" si="8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9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9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9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9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9">
        <f t="shared" si="8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9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9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9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E963/D963*100</f>
        <v>42.188421052631583</v>
      </c>
      <c r="P963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RIGHT(N963,LEN(N963)-SEARCH("/",N963,1))</f>
        <v>wearables</v>
      </c>
      <c r="S963" s="12">
        <f t="shared" ref="S963:S1026" si="94">(J963/86400)+25569+(-5/24)</f>
        <v>42740.485358796293</v>
      </c>
      <c r="T963" s="9">
        <f t="shared" ref="T963:T1026" si="95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9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9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9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9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9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9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9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9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9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9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9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9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9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9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9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9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9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42506.208657407406</v>
      </c>
      <c r="T981" s="9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9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9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9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42574.459317129622</v>
      </c>
      <c r="T985" s="9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9">
        <f t="shared" si="95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9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9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9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9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9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9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9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9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9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9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9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9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9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9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9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42748.851388888885</v>
      </c>
      <c r="T1002" s="9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9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9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9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9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42276.41646990741</v>
      </c>
      <c r="T1007" s="9">
        <f t="shared" si="95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9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9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9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9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9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9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9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9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9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9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9">
        <f t="shared" si="95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9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9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9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9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9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42111.438391203701</v>
      </c>
      <c r="T1024" s="9">
        <f t="shared" si="95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9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9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E1027/D1027*100</f>
        <v>109.92831428571431</v>
      </c>
      <c r="P1027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RIGHT(N1027,LEN(N1027)-SEARCH("/",N1027,1))</f>
        <v>electronic music</v>
      </c>
      <c r="S1027" s="12">
        <f t="shared" ref="S1027:S1090" si="100">(J1027/86400)+25569+(-5/24)</f>
        <v>42049.625428240739</v>
      </c>
      <c r="T1027" s="9">
        <f t="shared" ref="T1027:T1090" si="101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9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9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9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9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9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9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9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</v>
      </c>
      <c r="T1035" s="9">
        <f t="shared" si="101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9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9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9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9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9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9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9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41830.851759259254</v>
      </c>
      <c r="T1043" s="9">
        <f t="shared" si="101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9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9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9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41844.666087962956</v>
      </c>
      <c r="T1047" s="9">
        <f t="shared" si="101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9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41918.610127314816</v>
      </c>
      <c r="T1049" s="9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9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9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9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9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9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9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9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9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9">
        <f t="shared" si="101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42678.662997685184</v>
      </c>
      <c r="T1059" s="9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9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9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9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9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9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9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9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9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41445.754421296289</v>
      </c>
      <c r="T1068" s="9">
        <f t="shared" si="101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9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42440.162777777776</v>
      </c>
      <c r="T1070" s="9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9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9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9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9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9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9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9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9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9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9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42479.358055555553</v>
      </c>
      <c r="T1081" s="9">
        <f t="shared" si="101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9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9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41101.697777777772</v>
      </c>
      <c r="T1084" s="9">
        <f t="shared" si="101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9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9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9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9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41775.505636574067</v>
      </c>
      <c r="T1089" s="9">
        <f t="shared" si="101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9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E1091/D1091*100</f>
        <v>7.8266666666666662</v>
      </c>
      <c r="P1091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RIGHT(N1091,LEN(N1091)-SEARCH("/",N1091,1))</f>
        <v>video games</v>
      </c>
      <c r="S1091" s="12">
        <f t="shared" ref="S1091:S1154" si="106">(J1091/86400)+25569+(-5/24)</f>
        <v>42150.981192129628</v>
      </c>
      <c r="T1091" s="9">
        <f t="shared" ref="T1091:T1154" si="107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9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9">
        <f t="shared" si="107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9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9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40795.505011574074</v>
      </c>
      <c r="T1096" s="9">
        <f t="shared" si="107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9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9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9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9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9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9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9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9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9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9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9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9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9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9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9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9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42346.995254629626</v>
      </c>
      <c r="T1113" s="9">
        <f t="shared" si="107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9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9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9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9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41009.638981481483</v>
      </c>
      <c r="T1118" s="9">
        <f t="shared" si="107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9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9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9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9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9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9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9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9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9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42535.119143518517</v>
      </c>
      <c r="T1128" s="9">
        <f t="shared" si="107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9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9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9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9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9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9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9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9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42558.781180555554</v>
      </c>
      <c r="T1137" s="9">
        <f t="shared" si="107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42327.46329861111</v>
      </c>
      <c r="T1138" s="9">
        <f t="shared" si="107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9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9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41975.139189814814</v>
      </c>
      <c r="T1141" s="9">
        <f t="shared" si="107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9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9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42021.797766203701</v>
      </c>
      <c r="T1144" s="9">
        <f t="shared" si="107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9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9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41854.539259259254</v>
      </c>
      <c r="T1147" s="9">
        <f t="shared" si="107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9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9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9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9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9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42223.894247685188</v>
      </c>
      <c r="T1153" s="9">
        <f t="shared" si="107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9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E1155/D1155*100</f>
        <v>0.625</v>
      </c>
      <c r="P1155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RIGHT(N1155,LEN(N1155)-SEARCH("/",N1155,1))</f>
        <v>food trucks</v>
      </c>
      <c r="S1155" s="12">
        <f t="shared" ref="S1155:S1218" si="112">(J1155/86400)+25569+(-5/24)</f>
        <v>42143.505844907406</v>
      </c>
      <c r="T1155" s="9">
        <f t="shared" ref="T1155:T1218" si="113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9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9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9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9">
        <f t="shared" si="113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9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9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9">
        <f t="shared" si="113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9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9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9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9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41792.00613425926</v>
      </c>
      <c r="T1167" s="9">
        <f t="shared" si="113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9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9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9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9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9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9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41841.473981481475</v>
      </c>
      <c r="T1174" s="9">
        <f t="shared" si="113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9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9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9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9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9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9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9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9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9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9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9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9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9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9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9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9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9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9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9">
        <f t="shared" si="113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9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42409.567743055552</v>
      </c>
      <c r="T1195" s="9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9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9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9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9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9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9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9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9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42152.08048611111</v>
      </c>
      <c r="T1204" s="9">
        <f t="shared" si="113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9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9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9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42772.567743055552</v>
      </c>
      <c r="T1208" s="9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9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9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9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9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9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9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9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9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9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9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E1219/D1219*100</f>
        <v>102.60000000000001</v>
      </c>
      <c r="P1219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RIGHT(N1219,LEN(N1219)-SEARCH("/",N1219,1))</f>
        <v>photobooks</v>
      </c>
      <c r="S1219" s="12">
        <f t="shared" ref="S1219:S1282" si="118">(J1219/86400)+25569+(-5/24)</f>
        <v>42535.6011574074</v>
      </c>
      <c r="T1219" s="9">
        <f t="shared" ref="T1219:T1282" si="11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9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42633.253622685188</v>
      </c>
      <c r="T1221" s="9">
        <f t="shared" si="11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9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9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9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9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9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9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9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9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9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9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9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9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41506.639699074069</v>
      </c>
      <c r="T1234" s="9">
        <f t="shared" si="11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9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9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9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9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9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9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9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9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9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9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9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41355.617164351854</v>
      </c>
      <c r="T1246" s="9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41774.391597222224</v>
      </c>
      <c r="T1247" s="9">
        <f t="shared" si="11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9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9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9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41067.532534722217</v>
      </c>
      <c r="T1251" s="9">
        <f t="shared" si="11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9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9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9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9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9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9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40921.711006944439</v>
      </c>
      <c r="T1258" s="9">
        <f t="shared" si="11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9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9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9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9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9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9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9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9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9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9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9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9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42445.614722222221</v>
      </c>
      <c r="T1271" s="9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40933.648634259254</v>
      </c>
      <c r="T1272" s="9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9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9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9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9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9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9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9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9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9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9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E1283/D1283*100</f>
        <v>110.71428571428572</v>
      </c>
      <c r="P1283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RIGHT(N1283,LEN(N1283)-SEARCH("/",N1283,1))</f>
        <v>rock</v>
      </c>
      <c r="S1283" s="12">
        <f t="shared" ref="S1283:S1346" si="124">(J1283/86400)+25569+(-5/24)</f>
        <v>41463.535138888888</v>
      </c>
      <c r="T1283" s="9">
        <f t="shared" ref="T1283:T1346" si="125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41586.266840277771</v>
      </c>
      <c r="T1284" s="9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9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9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9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9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9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9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42708.926446759258</v>
      </c>
      <c r="T1291" s="9">
        <f t="shared" si="125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9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9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9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9">
        <f t="shared" si="125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9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9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9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9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42458.472592592589</v>
      </c>
      <c r="T1300" s="9">
        <f t="shared" si="125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9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9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9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9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9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9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9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9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42387.294895833336</v>
      </c>
      <c r="T1309" s="9">
        <f t="shared" si="125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9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9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9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9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9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9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9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9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42393.753576388888</v>
      </c>
      <c r="T1318" s="9">
        <f t="shared" si="125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9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9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9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9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9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9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9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9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9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41974.583657407406</v>
      </c>
      <c r="T1328" s="9">
        <f t="shared" si="125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9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9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9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9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9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9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9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9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9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9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9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9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9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9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9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42172.608090277776</v>
      </c>
      <c r="T1344" s="9">
        <f t="shared" si="125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9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9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E1347/D1347*100</f>
        <v>125</v>
      </c>
      <c r="P1347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RIGHT(N1347,LEN(N1347)-SEARCH("/",N1347,1))</f>
        <v>nonfiction</v>
      </c>
      <c r="S1347" s="12">
        <f t="shared" ref="S1347:S1410" si="130">(J1347/86400)+25569+(-5/24)</f>
        <v>41799.606006944443</v>
      </c>
      <c r="T1347" s="9">
        <f t="shared" ref="T1347:T1410" si="131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9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9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41963.297835648147</v>
      </c>
      <c r="T1350" s="9">
        <f t="shared" si="131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9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9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9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9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9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9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9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41429.830555555549</v>
      </c>
      <c r="T1358" s="9">
        <f t="shared" si="131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9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9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9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9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9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9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9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41951.487337962964</v>
      </c>
      <c r="T1366" s="9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9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9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9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9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9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9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9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9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9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9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9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9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9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42568.551041666666</v>
      </c>
      <c r="T1380" s="9">
        <f t="shared" si="131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42130.283287037033</v>
      </c>
      <c r="T1381" s="9">
        <f t="shared" si="131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9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9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9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9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9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9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9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9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9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9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42087.594976851855</v>
      </c>
      <c r="T1392" s="9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9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9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9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9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9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9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9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9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9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9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9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9">
        <f t="shared" si="131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9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9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9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9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9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9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E1411/D1411*100</f>
        <v>0</v>
      </c>
      <c r="P1411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RIGHT(N1411,LEN(N1411)-SEARCH("/",N1411,1))</f>
        <v>translations</v>
      </c>
      <c r="S1411" s="12">
        <f t="shared" ref="S1411:S1474" si="136">(J1411/86400)+25569+(-5/24)</f>
        <v>41944.925173611111</v>
      </c>
      <c r="T1411" s="9">
        <f t="shared" ref="T1411:T1474" si="137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9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9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9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9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9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9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9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9">
        <f t="shared" si="137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9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9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9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9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9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9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9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9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9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9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9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42073.852337962962</v>
      </c>
      <c r="T1431" s="9">
        <f t="shared" si="137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41961.605185185188</v>
      </c>
      <c r="T1432" s="9">
        <f t="shared" si="137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9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9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9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9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9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9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9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9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42040.621539351851</v>
      </c>
      <c r="T1441" s="9">
        <f t="shared" si="137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9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9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9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9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9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9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9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9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9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9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9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9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9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9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9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9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9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9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9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9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9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9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9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9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9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9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9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9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40645.806122685179</v>
      </c>
      <c r="T1470" s="9">
        <f t="shared" si="137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9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9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9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9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E1475/D1475*100</f>
        <v>120.51600000000001</v>
      </c>
      <c r="P1475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RIGHT(N1475,LEN(N1475)-SEARCH("/",N1475,1))</f>
        <v>radio &amp; podcasts</v>
      </c>
      <c r="S1475" s="12">
        <f t="shared" ref="S1475:S1538" si="142">(J1475/86400)+25569+(-5/24)</f>
        <v>40939.771284722221</v>
      </c>
      <c r="T1475" s="9">
        <f t="shared" ref="T1475:T1538" si="143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41500.519583333335</v>
      </c>
      <c r="T1476" s="9">
        <f t="shared" si="143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9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9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9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9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9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9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9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41136.649722222217</v>
      </c>
      <c r="T1484" s="9">
        <f t="shared" si="143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9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9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9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9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9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9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9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9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9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9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41411.658275462956</v>
      </c>
      <c r="T1495" s="9">
        <f t="shared" si="143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9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9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9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9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9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9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9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9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9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9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9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9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9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40254.242002314808</v>
      </c>
      <c r="T1509" s="9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9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9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41809.176828703705</v>
      </c>
      <c r="T1512" s="9">
        <f t="shared" si="143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9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9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9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9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9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9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9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9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9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9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9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9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9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9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9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9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9">
        <f t="shared" si="143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9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9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42275.558969907404</v>
      </c>
      <c r="T1532" s="9">
        <f t="shared" si="143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9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9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9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42221.465995370367</v>
      </c>
      <c r="T1536" s="9">
        <f t="shared" si="143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9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9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E1539/D1539*100</f>
        <v>179.9</v>
      </c>
      <c r="P1539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RIGHT(N1539,LEN(N1539)-SEARCH("/",N1539,1))</f>
        <v>photobooks</v>
      </c>
      <c r="S1539" s="12">
        <f t="shared" ref="S1539:S1602" si="148">(J1539/86400)+25569+(-5/24)</f>
        <v>42552.106793981475</v>
      </c>
      <c r="T1539" s="9">
        <f t="shared" ref="T1539:T1602" si="14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9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42705.710868055554</v>
      </c>
      <c r="T1541" s="9">
        <f t="shared" si="14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9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9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9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9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9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9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9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9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9">
        <f t="shared" si="14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9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9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9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9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9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9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9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9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9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9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42107.844895833332</v>
      </c>
      <c r="T1561" s="9">
        <f t="shared" si="14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9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9">
        <f t="shared" si="14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9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9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9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9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9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41671.728530092594</v>
      </c>
      <c r="T1569" s="9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9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9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9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</v>
      </c>
      <c r="T1573" s="9">
        <f t="shared" si="14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9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9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9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41799.315925925919</v>
      </c>
      <c r="T1577" s="9">
        <f t="shared" si="14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9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41054.639444444438</v>
      </c>
      <c r="T1579" s="9">
        <f t="shared" si="14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9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9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40989.841736111106</v>
      </c>
      <c r="T1582" s="9">
        <f t="shared" si="14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9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9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9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9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9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42068.896087962959</v>
      </c>
      <c r="T1588" s="9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9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9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9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9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9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9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9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9">
        <f t="shared" si="14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9">
        <f t="shared" si="14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9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9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9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9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41790.848981481475</v>
      </c>
      <c r="T1602" s="9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E1603/D1603*100</f>
        <v>108.2492</v>
      </c>
      <c r="P1603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RIGHT(N1603,LEN(N1603)-SEARCH("/",N1603,1))</f>
        <v>rock</v>
      </c>
      <c r="S1603" s="12">
        <f t="shared" ref="S1603:S1666" si="154">(J1603/86400)+25569+(-5/24)</f>
        <v>40637.884641203702</v>
      </c>
      <c r="T1603" s="9">
        <f t="shared" ref="T1603:T1666" si="155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9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9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9">
        <f t="shared" si="155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9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9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9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9">
        <f t="shared" si="155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9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9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9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9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9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41794.772789351853</v>
      </c>
      <c r="T1616" s="9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9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9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9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9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41875.977847222217</v>
      </c>
      <c r="T1621" s="9">
        <f t="shared" si="155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9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9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41950.086504629631</v>
      </c>
      <c r="T1624" s="9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9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9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9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41579.639664351846</v>
      </c>
      <c r="T1628" s="9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9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9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9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9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9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40750.132569444446</v>
      </c>
      <c r="T1634" s="9">
        <f t="shared" si="155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9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9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9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9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9">
        <f t="shared" si="155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9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9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9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9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9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9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9">
        <f t="shared" si="155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41521.40902777778</v>
      </c>
      <c r="T1647" s="9">
        <f t="shared" si="155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9">
        <f t="shared" si="155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9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9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9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9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9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9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9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9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9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9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9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9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9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9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9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9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9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40939.553449074076</v>
      </c>
      <c r="T1666" s="9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E1667/D1667*100</f>
        <v>119.45714285714286</v>
      </c>
      <c r="P1667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RIGHT(N1667,LEN(N1667)-SEARCH("/",N1667,1))</f>
        <v>pop</v>
      </c>
      <c r="S1667" s="12">
        <f t="shared" ref="S1667:S1730" si="160">(J1667/86400)+25569+(-5/24)</f>
        <v>40564.441122685181</v>
      </c>
      <c r="T1667" s="9">
        <f t="shared" ref="T1667:T1730" si="161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9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9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40844.941423611112</v>
      </c>
      <c r="T1670" s="9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9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40313.722210648142</v>
      </c>
      <c r="T1672" s="9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9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9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9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9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9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40973.517905092587</v>
      </c>
      <c r="T1678" s="9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9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9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9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9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9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9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9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9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9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9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9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9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9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9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42795.493148148147</v>
      </c>
      <c r="T1693" s="9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9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9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9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9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9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42804.824629629627</v>
      </c>
      <c r="T1699" s="9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9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9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9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9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9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42187.073344907403</v>
      </c>
      <c r="T1705" s="9">
        <f t="shared" si="161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9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9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9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9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9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41841.355486111112</v>
      </c>
      <c r="T1711" s="9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42341.382962962962</v>
      </c>
      <c r="T1712" s="9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9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9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9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9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9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9">
        <f t="shared" si="161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42460.773587962962</v>
      </c>
      <c r="T1719" s="9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9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9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9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9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9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9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9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9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9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42044.719641203701</v>
      </c>
      <c r="T1729" s="9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9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E1731/D1731*100</f>
        <v>0</v>
      </c>
      <c r="P1731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RIGHT(N1731,LEN(N1731)-SEARCH("/",N1731,1))</f>
        <v>faith</v>
      </c>
      <c r="S1731" s="12">
        <f t="shared" ref="S1731:S1794" si="166">(J1731/86400)+25569+(-5/24)</f>
        <v>42470.843819444439</v>
      </c>
      <c r="T1731" s="9">
        <f t="shared" ref="T1731:T1794" si="167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42271.879432870366</v>
      </c>
      <c r="T1732" s="9">
        <f t="shared" si="167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9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9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9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9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42559.605844907404</v>
      </c>
      <c r="T1737" s="9">
        <f t="shared" si="167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9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42175.740648148145</v>
      </c>
      <c r="T1739" s="9">
        <f t="shared" si="167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9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9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42171.609050925923</v>
      </c>
      <c r="T1742" s="9">
        <f t="shared" si="167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9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42710.668634259258</v>
      </c>
      <c r="T1744" s="9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9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9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9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9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</v>
      </c>
      <c r="T1749" s="9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9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9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9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9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9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9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9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9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9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9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9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9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9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9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9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9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9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9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9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9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9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9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9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41905.771296296291</v>
      </c>
      <c r="T1773" s="9">
        <f t="shared" si="167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9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9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9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41891.768055555549</v>
      </c>
      <c r="T1777" s="9">
        <f t="shared" si="167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9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9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9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9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42493.392476851848</v>
      </c>
      <c r="T1782" s="9">
        <f t="shared" si="167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9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9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9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9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9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9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9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9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9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42010.466180555552</v>
      </c>
      <c r="T1792" s="9">
        <f t="shared" si="167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9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9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E1795/D1795*100</f>
        <v>1.3333333333333335</v>
      </c>
      <c r="P1795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RIGHT(N1795,LEN(N1795)-SEARCH("/",N1795,1))</f>
        <v>photobooks</v>
      </c>
      <c r="S1795" s="12">
        <f t="shared" ref="S1795:S1858" si="172">(J1795/86400)+25569+(-5/24)</f>
        <v>41940.683333333327</v>
      </c>
      <c r="T1795" s="9">
        <f t="shared" ref="T1795:T1858" si="173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9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9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9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9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9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9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9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9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9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42017.863217592589</v>
      </c>
      <c r="T1805" s="9">
        <f t="shared" si="173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9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9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9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9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9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9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9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9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9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9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9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42172.698344907403</v>
      </c>
      <c r="T1817" s="9">
        <f t="shared" si="173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9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9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9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9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42064.876041666663</v>
      </c>
      <c r="T1822" s="9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9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41634.588680555556</v>
      </c>
      <c r="T1824" s="9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9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41626.707951388882</v>
      </c>
      <c r="T1826" s="9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9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9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9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9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9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9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9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9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9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9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9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9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9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9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9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9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9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9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9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9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9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9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9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9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9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9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9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9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9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9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9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9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E1859/D1859*100</f>
        <v>100</v>
      </c>
      <c r="P1859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RIGHT(N1859,LEN(N1859)-SEARCH("/",N1859,1))</f>
        <v>rock</v>
      </c>
      <c r="S1859" s="12">
        <f t="shared" ref="S1859:S1922" si="178">(J1859/86400)+25569+(-5/24)</f>
        <v>41864.560335648144</v>
      </c>
      <c r="T1859" s="9">
        <f t="shared" ref="T1859:T1922" si="17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9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9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41655.500972222224</v>
      </c>
      <c r="T1862" s="9">
        <f t="shared" si="17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9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42755.284421296295</v>
      </c>
      <c r="T1864" s="9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9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9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9">
        <f t="shared" si="17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9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9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9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9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9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9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9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9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9">
        <f t="shared" si="17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9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41776.07644675926</v>
      </c>
      <c r="T1878" s="9">
        <f t="shared" si="17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9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9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9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9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9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9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9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9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9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9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9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9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9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9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9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9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9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40920.696562499994</v>
      </c>
      <c r="T1896" s="9">
        <f t="shared" si="17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9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9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41680.375069444439</v>
      </c>
      <c r="T1899" s="9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9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9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9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9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9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9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9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9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9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9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9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9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9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9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9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9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9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9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9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9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9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42113.667233796295</v>
      </c>
      <c r="T1921" s="9">
        <f t="shared" si="17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9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E1923/D1923*100</f>
        <v>136.80000000000001</v>
      </c>
      <c r="P1923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RIGHT(N1923,LEN(N1923)-SEARCH("/",N1923,1))</f>
        <v>indie rock</v>
      </c>
      <c r="S1923" s="12">
        <f t="shared" ref="S1923:S1986" si="184">(J1923/86400)+25569+(-5/24)</f>
        <v>41074.013229166667</v>
      </c>
      <c r="T1923" s="9">
        <f t="shared" ref="T1923:T1986" si="185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9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9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9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9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9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9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41371.439745370364</v>
      </c>
      <c r="T1930" s="9">
        <f t="shared" si="185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9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9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9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40911.601539351854</v>
      </c>
      <c r="T1934" s="9">
        <f t="shared" si="185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9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9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41773.724201388883</v>
      </c>
      <c r="T1937" s="9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9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9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9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9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9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9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9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9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9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42157.043495370366</v>
      </c>
      <c r="T1947" s="9">
        <f t="shared" si="185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41688.941678240742</v>
      </c>
      <c r="T1948" s="9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9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9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41800.21471064815</v>
      </c>
      <c r="T1951" s="9">
        <f t="shared" si="185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9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9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9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9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9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9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9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41178.890196759261</v>
      </c>
      <c r="T1959" s="9">
        <f t="shared" si="185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9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41871.637268518512</v>
      </c>
      <c r="T1961" s="9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9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9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9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9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9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9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9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9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9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9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9">
        <f t="shared" si="185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9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9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9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9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9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9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9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9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9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9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9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9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9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9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E1987/D1987*100</f>
        <v>3.1875</v>
      </c>
      <c r="P1987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RIGHT(N1987,LEN(N1987)-SEARCH("/",N1987,1))</f>
        <v>people</v>
      </c>
      <c r="S1987" s="12">
        <f t="shared" ref="S1987:S2050" si="190">(J1987/86400)+25569+(-5/24)</f>
        <v>42555.490405092591</v>
      </c>
      <c r="T1987" s="9">
        <f t="shared" ref="T1987:T2050" si="191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42413.225497685184</v>
      </c>
      <c r="T1988" s="9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9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9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9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9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9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9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42329.380057870367</v>
      </c>
      <c r="T1995" s="9">
        <f t="shared" si="191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9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9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9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9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9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9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9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9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9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9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9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9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9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9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9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9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9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9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9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9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9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9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41312.672442129631</v>
      </c>
      <c r="T2018" s="9">
        <f t="shared" si="191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9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9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9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41736.889166666668</v>
      </c>
      <c r="T2022" s="9">
        <f t="shared" si="191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9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9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9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9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9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9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42048.605543981474</v>
      </c>
      <c r="T2029" s="9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9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9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9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9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9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9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9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9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41738.656469907401</v>
      </c>
      <c r="T2038" s="9">
        <f t="shared" si="191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9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9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9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41578.718784722216</v>
      </c>
      <c r="T2042" s="9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9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9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9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9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41068.880173611113</v>
      </c>
      <c r="T2047" s="9">
        <f t="shared" si="191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9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9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9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E2051/D2051*100</f>
        <v>120.19070000000001</v>
      </c>
      <c r="P2051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RIGHT(N2051,LEN(N2051)-SEARCH("/",N2051,1))</f>
        <v>hardware</v>
      </c>
      <c r="S2051" s="12">
        <f t="shared" ref="S2051:S2114" si="196">(J2051/86400)+25569+(-5/24)</f>
        <v>41575.319016203699</v>
      </c>
      <c r="T2051" s="9">
        <f t="shared" ref="T2051:T2114" si="197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9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9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9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9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9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9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9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9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9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9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9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9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9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9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9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9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9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9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9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9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9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9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9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9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9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9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9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9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9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9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9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41003.948553240734</v>
      </c>
      <c r="T2083" s="9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9">
        <f t="shared" si="197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9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9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9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9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9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40395.506388888891</v>
      </c>
      <c r="T2090" s="9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9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41299.173090277771</v>
      </c>
      <c r="T2092" s="9">
        <f t="shared" si="197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40555.114328703705</v>
      </c>
      <c r="T2093" s="9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9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9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9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40758.525150462963</v>
      </c>
      <c r="T2097" s="9">
        <f t="shared" si="197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9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40818.376562500001</v>
      </c>
      <c r="T2099" s="9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9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9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9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9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9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9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9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9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9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9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9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9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9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9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9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E2115/D2115*100</f>
        <v>104.85714285714285</v>
      </c>
      <c r="P2115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RIGHT(N2115,LEN(N2115)-SEARCH("/",N2115,1))</f>
        <v>indie rock</v>
      </c>
      <c r="S2115" s="12">
        <f t="shared" ref="S2115:S2178" si="202">(J2115/86400)+25569+(-5/24)</f>
        <v>41870.657129629624</v>
      </c>
      <c r="T2115" s="9">
        <f t="shared" ref="T2115:T2178" si="203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9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9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9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9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9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9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9">
        <f t="shared" si="20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9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9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9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40463.819849537038</v>
      </c>
      <c r="T2126" s="9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9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9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42045.297025462962</v>
      </c>
      <c r="T2129" s="9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9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9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9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9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9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9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9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41156.755011574074</v>
      </c>
      <c r="T2137" s="9">
        <f t="shared" si="203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9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9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9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9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9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9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9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9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9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9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9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9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9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9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9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42520.639050925922</v>
      </c>
      <c r="T2153" s="9">
        <f t="shared" si="203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9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9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9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9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9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9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9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40710.522847222222</v>
      </c>
      <c r="T2161" s="9">
        <f t="shared" si="203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9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42240.644201388888</v>
      </c>
      <c r="T2163" s="9">
        <f t="shared" si="203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9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9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9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9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9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9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9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9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9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9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42082.371759259258</v>
      </c>
      <c r="T2174" s="9">
        <f t="shared" si="203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9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9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9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9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E2179/D2179*100</f>
        <v>100.12</v>
      </c>
      <c r="P2179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RIGHT(N2179,LEN(N2179)-SEARCH("/",N2179,1))</f>
        <v>rock</v>
      </c>
      <c r="S2179" s="12">
        <f t="shared" ref="S2179:S2242" si="208">(J2179/86400)+25569+(-5/24)</f>
        <v>42502.042442129627</v>
      </c>
      <c r="T2179" s="9">
        <f t="shared" ref="T2179:T2242" si="20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9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9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9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9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9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42745.157141203701</v>
      </c>
      <c r="T2185" s="9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9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41319.141655092586</v>
      </c>
      <c r="T2187" s="9">
        <f t="shared" si="20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9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9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9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9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9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9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9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9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9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9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9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9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9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9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9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41276.638483796291</v>
      </c>
      <c r="T2203" s="9">
        <f t="shared" si="20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9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9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9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41031.613298611112</v>
      </c>
      <c r="T2207" s="9">
        <f t="shared" si="20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9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9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9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9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9">
        <f t="shared" si="20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9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9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9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9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9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42194.543344907404</v>
      </c>
      <c r="T2218" s="9">
        <f t="shared" si="20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9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9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9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9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9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9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9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9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9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9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9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9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9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9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9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9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42331.170590277776</v>
      </c>
      <c r="T2235" s="9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9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9">
        <f t="shared" si="20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9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9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9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9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9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E2243/D2243*100</f>
        <v>806.4</v>
      </c>
      <c r="P2243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RIGHT(N2243,LEN(N2243)-SEARCH("/",N2243,1))</f>
        <v>tabletop games</v>
      </c>
      <c r="S2243" s="12">
        <f t="shared" ref="S2243:S2306" si="214">(J2243/86400)+25569+(-5/24)</f>
        <v>42766.619212962956</v>
      </c>
      <c r="T2243" s="9">
        <f t="shared" ref="T2243:T2306" si="215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9">
        <f t="shared" si="215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9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9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41660.500196759254</v>
      </c>
      <c r="T2247" s="9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9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9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9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41336.49496527778</v>
      </c>
      <c r="T2251" s="9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9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9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9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9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9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9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9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9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9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9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9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9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9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9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9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9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9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9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42775.874016203707</v>
      </c>
      <c r="T2270" s="9">
        <f t="shared" si="215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9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9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9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42315.491157407407</v>
      </c>
      <c r="T2274" s="9">
        <f t="shared" si="215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9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9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41965.408321759256</v>
      </c>
      <c r="T2277" s="9">
        <f t="shared" si="215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9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9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42338.500775462962</v>
      </c>
      <c r="T2280" s="9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42020.598368055558</v>
      </c>
      <c r="T2281" s="9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9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9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9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9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9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41058.977349537039</v>
      </c>
      <c r="T2287" s="9">
        <f t="shared" si="215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9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9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9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9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9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9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9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9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9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9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9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9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9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9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9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9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9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9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9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E2307/D2307*100</f>
        <v>101.22777777777779</v>
      </c>
      <c r="P2307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RIGHT(N2307,LEN(N2307)-SEARCH("/",N2307,1))</f>
        <v>indie rock</v>
      </c>
      <c r="S2307" s="12">
        <f t="shared" ref="S2307:S2370" si="220">(J2307/86400)+25569+(-5/24)</f>
        <v>41834.486944444441</v>
      </c>
      <c r="T2307" s="9">
        <f t="shared" ref="T2307:T2370" si="221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9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41004.594131944446</v>
      </c>
      <c r="T2309" s="9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9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9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9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9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9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9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9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9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9">
        <f t="shared" si="221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9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9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9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9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9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</v>
      </c>
      <c r="T2324" s="9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42807.546840277777</v>
      </c>
      <c r="T2325" s="9">
        <f t="shared" si="221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9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9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9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41842.708796296291</v>
      </c>
      <c r="T2329" s="9">
        <f t="shared" si="221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42139.573344907403</v>
      </c>
      <c r="T2330" s="9">
        <f t="shared" si="221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9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9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9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9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9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9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9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9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9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41789.688472222224</v>
      </c>
      <c r="T2340" s="9">
        <f t="shared" si="221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9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9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9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9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9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9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9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9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</v>
      </c>
      <c r="T2349" s="9">
        <f t="shared" si="221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9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9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9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9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9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9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9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42096.709907407407</v>
      </c>
      <c r="T2357" s="9">
        <f t="shared" si="221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9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42264.411782407406</v>
      </c>
      <c r="T2359" s="9">
        <f t="shared" si="221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9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9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9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9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9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9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9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9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9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9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9">
        <f t="shared" si="221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E2371/D2371*100</f>
        <v>0</v>
      </c>
      <c r="P2371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RIGHT(N2371,LEN(N2371)-SEARCH("/",N2371,1))</f>
        <v>web</v>
      </c>
      <c r="S2371" s="12">
        <f t="shared" ref="S2371:S2434" si="226">(J2371/86400)+25569+(-5/24)</f>
        <v>42380.60429398148</v>
      </c>
      <c r="T2371" s="9">
        <f t="shared" ref="T2371:T2434" si="227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9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9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9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42215.453981481478</v>
      </c>
      <c r="T2375" s="9">
        <f t="shared" si="227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42017.634953703702</v>
      </c>
      <c r="T2376" s="9">
        <f t="shared" si="227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9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9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9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9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9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9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9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9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9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9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9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9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9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9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9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9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9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9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9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9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9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9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9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9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9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9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9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9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42399.67428240741</v>
      </c>
      <c r="T2405" s="9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9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9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9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9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9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9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9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9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9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9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9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9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9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9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9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41993.529965277776</v>
      </c>
      <c r="T2421" s="9">
        <f t="shared" si="227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9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9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9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9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9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9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42163.961712962962</v>
      </c>
      <c r="T2428" s="9">
        <f t="shared" si="227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42412.110335648147</v>
      </c>
      <c r="T2429" s="9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9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9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9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9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9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E2435/D2435*100</f>
        <v>0</v>
      </c>
      <c r="P2435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RIGHT(N2435,LEN(N2435)-SEARCH("/",N2435,1))</f>
        <v>food trucks</v>
      </c>
      <c r="S2435" s="12">
        <f t="shared" ref="S2435:S2498" si="232">(J2435/86400)+25569+(-5/24)</f>
        <v>42397.691469907404</v>
      </c>
      <c r="T2435" s="9">
        <f t="shared" ref="T2435:T2498" si="233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42179.977708333332</v>
      </c>
      <c r="T2436" s="9">
        <f t="shared" si="233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42252.069282407407</v>
      </c>
      <c r="T2437" s="9">
        <f t="shared" si="233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9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9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9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9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42383.691122685188</v>
      </c>
      <c r="T2442" s="9">
        <f t="shared" si="233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9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42052.458657407406</v>
      </c>
      <c r="T2444" s="9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9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9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9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9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9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9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9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9">
        <f t="shared" si="233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9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9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9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42769.993148148147</v>
      </c>
      <c r="T2456" s="9">
        <f t="shared" si="233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9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9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9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9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9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9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9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9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9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9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9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9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9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41173.945844907408</v>
      </c>
      <c r="T2470" s="9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9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9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9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9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9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9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40310.079340277771</v>
      </c>
      <c r="T2477" s="9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9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9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9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9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9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9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9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9">
        <f t="shared" si="233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9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9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9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9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9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9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41023.01939814815</v>
      </c>
      <c r="T2492" s="9">
        <f t="shared" si="233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9">
        <f t="shared" si="233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9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9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41022.436851851853</v>
      </c>
      <c r="T2496" s="9">
        <f t="shared" si="233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9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41327.788101851846</v>
      </c>
      <c r="T2498" s="9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E2499/D2499*100</f>
        <v>112.7715</v>
      </c>
      <c r="P2499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RIGHT(N2499,LEN(N2499)-SEARCH("/",N2499,1))</f>
        <v>indie rock</v>
      </c>
      <c r="S2499" s="12">
        <f t="shared" ref="S2499:S2562" si="238">(J2499/86400)+25569+(-5/24)</f>
        <v>40730.670578703699</v>
      </c>
      <c r="T2499" s="9">
        <f t="shared" ref="T2499:T2562" si="23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9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41226.440243055556</v>
      </c>
      <c r="T2501" s="9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41053.564525462956</v>
      </c>
      <c r="T2502" s="9">
        <f t="shared" si="23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42244.568333333336</v>
      </c>
      <c r="T2503" s="9">
        <f t="shared" si="23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9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9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9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9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9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9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9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9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42078.789027777777</v>
      </c>
      <c r="T2512" s="9">
        <f t="shared" si="23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9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9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9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9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9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9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9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9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9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9">
        <f t="shared" si="23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9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9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9">
        <f t="shared" si="23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9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41058.636238425919</v>
      </c>
      <c r="T2527" s="9">
        <f t="shared" si="23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9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9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9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9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9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9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9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9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40127.492037037031</v>
      </c>
      <c r="T2536" s="9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9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9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9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9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9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9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41483.240949074076</v>
      </c>
      <c r="T2543" s="9">
        <f t="shared" si="23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9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9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9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42026.929837962962</v>
      </c>
      <c r="T2547" s="9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41524.650219907409</v>
      </c>
      <c r="T2548" s="9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9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42618.417094907403</v>
      </c>
      <c r="T2550" s="9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9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9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9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9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41112.990821759253</v>
      </c>
      <c r="T2555" s="9">
        <f t="shared" si="23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9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9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9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9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42093.651689814811</v>
      </c>
      <c r="T2560" s="9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9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9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E2563/D2563*100</f>
        <v>0</v>
      </c>
      <c r="P2563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RIGHT(N2563,LEN(N2563)-SEARCH("/",N2563,1))</f>
        <v>food trucks</v>
      </c>
      <c r="S2563" s="12">
        <f t="shared" ref="S2563:S2626" si="244">(J2563/86400)+25569+(-5/24)</f>
        <v>42260.320474537039</v>
      </c>
      <c r="T2563" s="9">
        <f t="shared" ref="T2563:T2626" si="245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9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9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9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9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9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9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9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9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9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9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9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9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9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41985.900393518517</v>
      </c>
      <c r="T2577" s="9">
        <f t="shared" si="245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9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9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42237.814571759256</v>
      </c>
      <c r="T2580" s="9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9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9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9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9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9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42139.964918981474</v>
      </c>
      <c r="T2586" s="9">
        <f t="shared" si="245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9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9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9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9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9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9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9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9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42089.636874999997</v>
      </c>
      <c r="T2595" s="9">
        <f t="shared" si="245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9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9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9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9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9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9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9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41150.693854166668</v>
      </c>
      <c r="T2603" s="9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9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9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9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9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41726.504421296289</v>
      </c>
      <c r="T2608" s="9">
        <f t="shared" si="245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9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9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9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9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9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9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9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9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9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9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9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9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9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9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42115.539212962962</v>
      </c>
      <c r="T2623" s="9">
        <f t="shared" si="245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9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9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41144.213217592587</v>
      </c>
      <c r="T2626" s="9">
        <f t="shared" si="245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E2627/D2627*100</f>
        <v>956</v>
      </c>
      <c r="P2627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RIGHT(N2627,LEN(N2627)-SEARCH("/",N2627,1))</f>
        <v>space exploration</v>
      </c>
      <c r="S2627" s="12">
        <f t="shared" ref="S2627:S2690" si="250">(J2627/86400)+25569+(-5/24)</f>
        <v>42658.601944444446</v>
      </c>
      <c r="T2627" s="9">
        <f t="shared" ref="T2627:T2690" si="251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9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9">
        <f t="shared" si="251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9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9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9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9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9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9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42612.448159722218</v>
      </c>
      <c r="T2636" s="9">
        <f t="shared" si="251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9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9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9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9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9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9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9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9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42689.374016203707</v>
      </c>
      <c r="T2645" s="9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9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9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9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9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9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9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9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42327.597326388888</v>
      </c>
      <c r="T2653" s="9">
        <f t="shared" si="251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9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9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42055.392662037033</v>
      </c>
      <c r="T2656" s="9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9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42767.480185185188</v>
      </c>
      <c r="T2658" s="9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9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42551.675856481474</v>
      </c>
      <c r="T2660" s="9">
        <f t="shared" si="251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42081.861226851848</v>
      </c>
      <c r="T2661" s="9">
        <f t="shared" si="251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9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9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9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9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9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9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9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9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42275.380381944444</v>
      </c>
      <c r="T2670" s="9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42318.827499999992</v>
      </c>
      <c r="T2671" s="9">
        <f t="shared" si="251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9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</v>
      </c>
      <c r="T2673" s="9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9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9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9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9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9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41792.821099537039</v>
      </c>
      <c r="T2679" s="9">
        <f t="shared" si="251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9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9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9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9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9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9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41820.706307870372</v>
      </c>
      <c r="T2686" s="9">
        <f t="shared" si="251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9">
        <f t="shared" si="251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9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9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42027.910532407404</v>
      </c>
      <c r="T2690" s="9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E2691/D2691*100</f>
        <v>2.8571428571428571E-3</v>
      </c>
      <c r="P2691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RIGHT(N2691,LEN(N2691)-SEARCH("/",N2691,1))</f>
        <v>food trucks</v>
      </c>
      <c r="S2691" s="12">
        <f t="shared" ref="S2691:S2754" si="256">(J2691/86400)+25569+(-5/24)</f>
        <v>42551.75335648148</v>
      </c>
      <c r="T2691" s="9">
        <f t="shared" ref="T2691:T2754" si="257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9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9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9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9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9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9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9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9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9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9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41870.666342592587</v>
      </c>
      <c r="T2702" s="9">
        <f t="shared" si="257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9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9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9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9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9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9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9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9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9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9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41780.536921296291</v>
      </c>
      <c r="T2713" s="9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9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9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9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9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9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41934.706585648142</v>
      </c>
      <c r="T2719" s="9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9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9">
        <f t="shared" si="257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42655.257557870369</v>
      </c>
      <c r="T2722" s="9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9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9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9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9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9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9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9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9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9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9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9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9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9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9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9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9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9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9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9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9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9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9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9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9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9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9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41044.439780092587</v>
      </c>
      <c r="T2749" s="9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9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9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41078.691493055558</v>
      </c>
      <c r="T2752" s="9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41747.678726851846</v>
      </c>
      <c r="T2753" s="9">
        <f t="shared" si="257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9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E2755/D2755*100</f>
        <v>19</v>
      </c>
      <c r="P2755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RIGHT(N2755,LEN(N2755)-SEARCH("/",N2755,1))</f>
        <v>children's books</v>
      </c>
      <c r="S2755" s="12">
        <f t="shared" ref="S2755:S2818" si="262">(J2755/86400)+25569+(-5/24)</f>
        <v>41117.692395833328</v>
      </c>
      <c r="T2755" s="9">
        <f t="shared" ref="T2755:T2818" si="263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41863.427673611106</v>
      </c>
      <c r="T2756" s="9">
        <f t="shared" si="263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9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41620.692141203697</v>
      </c>
      <c r="T2758" s="9">
        <f t="shared" si="263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9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9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9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9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9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9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9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9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9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40736.459699074076</v>
      </c>
      <c r="T2768" s="9">
        <f t="shared" si="263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9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9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41745.617939814816</v>
      </c>
      <c r="T2771" s="9">
        <f t="shared" si="263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9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9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9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9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9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9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9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9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9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9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9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9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9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9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9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9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9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9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42550.49355324074</v>
      </c>
      <c r="T2790" s="9">
        <f t="shared" si="263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9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9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9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9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9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9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9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9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9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9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9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9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9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9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9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9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9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9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9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9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9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9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9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9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9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9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9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9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E2819/D2819*100</f>
        <v>130</v>
      </c>
      <c r="P2819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RIGHT(N2819,LEN(N2819)-SEARCH("/",N2819,1))</f>
        <v>plays</v>
      </c>
      <c r="S2819" s="12">
        <f t="shared" ref="S2819:S2882" si="268">(J2819/86400)+25569+(-5/24)</f>
        <v>42023.42664351852</v>
      </c>
      <c r="T2819" s="9">
        <f t="shared" ref="T2819:T2882" si="26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9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9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9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9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9">
        <f t="shared" si="26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9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9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9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9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9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9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9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9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9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9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9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9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9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9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9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9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9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9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42291.531215277777</v>
      </c>
      <c r="T2843" s="9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41784.744155092594</v>
      </c>
      <c r="T2844" s="9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9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9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9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9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9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9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9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9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9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9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9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9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9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9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9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9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9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42480.592314814814</v>
      </c>
      <c r="T2862" s="9">
        <f t="shared" si="26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9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9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9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9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9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9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9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9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9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9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9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9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9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9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9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9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42672.746805555558</v>
      </c>
      <c r="T2879" s="9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9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9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9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E2883/D2883*100</f>
        <v>0</v>
      </c>
      <c r="P2883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RIGHT(N2883,LEN(N2883)-SEARCH("/",N2883,1))</f>
        <v>plays</v>
      </c>
      <c r="S2883" s="12">
        <f t="shared" ref="S2883:S2946" si="274">(J2883/86400)+25569+(-5/24)</f>
        <v>41916.389305555553</v>
      </c>
      <c r="T2883" s="9">
        <f t="shared" ref="T2883:T2946" si="275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9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9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9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9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9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9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9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9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9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9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9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9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9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9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9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9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9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9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9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9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9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9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9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9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9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42444.669409722221</v>
      </c>
      <c r="T2909" s="9">
        <f t="shared" si="275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42499.523368055554</v>
      </c>
      <c r="T2910" s="9">
        <f t="shared" si="275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9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9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9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9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9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9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9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9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9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9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9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9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9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9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9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9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41863.375787037039</v>
      </c>
      <c r="T2927" s="9">
        <f t="shared" si="275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9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9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9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9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9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9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9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9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9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9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9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9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9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9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9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9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9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9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9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E2947/D2947*100</f>
        <v>0</v>
      </c>
      <c r="P2947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RIGHT(N2947,LEN(N2947)-SEARCH("/",N2947,1))</f>
        <v>spaces</v>
      </c>
      <c r="S2947" s="12">
        <f t="shared" ref="S2947:S3010" si="280">(J2947/86400)+25569+(-5/24)</f>
        <v>42117.931250000001</v>
      </c>
      <c r="T2947" s="9">
        <f t="shared" ref="T2947:T3010" si="281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9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9">
        <f t="shared" si="281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9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9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9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9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9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9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9">
        <f t="shared" si="281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9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9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9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9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9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9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9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9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9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9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9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9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9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9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9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9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9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9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9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9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9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9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9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9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9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9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9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9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9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9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42654.765370370369</v>
      </c>
      <c r="T2987" s="9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9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9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42511.153715277775</v>
      </c>
      <c r="T2990" s="9">
        <f t="shared" si="281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9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9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9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9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9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9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9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42090.704166666663</v>
      </c>
      <c r="T2998" s="9">
        <f t="shared" si="281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9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9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9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9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9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9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9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9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9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</v>
      </c>
      <c r="T3008" s="9">
        <f t="shared" si="281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9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9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E3011/D3011*100</f>
        <v>119.756</v>
      </c>
      <c r="P3011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RIGHT(N3011,LEN(N3011)-SEARCH("/",N3011,1))</f>
        <v>spaces</v>
      </c>
      <c r="S3011" s="12">
        <f t="shared" ref="S3011:S3074" si="286">(J3011/86400)+25569+(-5/24)</f>
        <v>41939.361574074072</v>
      </c>
      <c r="T3011" s="9">
        <f t="shared" ref="T3011:T3074" si="287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9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9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9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9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41919.915277777771</v>
      </c>
      <c r="T3016" s="9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9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9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9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</v>
      </c>
      <c r="T3020" s="9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9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9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9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9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42121.467430555553</v>
      </c>
      <c r="T3025" s="9">
        <f t="shared" si="287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9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9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9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9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9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9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9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9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9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9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9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9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9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9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9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9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9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9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9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9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9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9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9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9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41975.692847222221</v>
      </c>
      <c r="T3050" s="9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9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9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42744.207696759258</v>
      </c>
      <c r="T3053" s="9">
        <f t="shared" si="287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9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9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9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9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9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9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9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9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9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9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9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42630.714560185188</v>
      </c>
      <c r="T3065" s="9">
        <f t="shared" si="287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9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9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9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9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9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9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9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9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9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E3075/D3075*100</f>
        <v>2.3035714285714284E-2</v>
      </c>
      <c r="P3075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RIGHT(N3075,LEN(N3075)-SEARCH("/",N3075,1))</f>
        <v>spaces</v>
      </c>
      <c r="S3075" s="12">
        <f t="shared" ref="S3075:S3138" si="292">(J3075/86400)+25569+(-5/24)</f>
        <v>42111.475694444445</v>
      </c>
      <c r="T3075" s="9">
        <f t="shared" ref="T3075:T3138" si="293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42409.362951388888</v>
      </c>
      <c r="T3076" s="9">
        <f t="shared" si="293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42550.89398148148</v>
      </c>
      <c r="T3077" s="9">
        <f t="shared" si="293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9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9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9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9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9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9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9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9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9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42246.675451388888</v>
      </c>
      <c r="T3087" s="9">
        <f t="shared" si="293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9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9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9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9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9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9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9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41760.700706018521</v>
      </c>
      <c r="T3095" s="9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9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9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9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9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9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9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9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9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9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9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9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9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42241.220787037033</v>
      </c>
      <c r="T3108" s="9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42128.605914351851</v>
      </c>
      <c r="T3109" s="9">
        <f t="shared" si="293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9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9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9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41885.386805555558</v>
      </c>
      <c r="T3113" s="9">
        <f t="shared" si="293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9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9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9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9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9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42509.166203703702</v>
      </c>
      <c r="T3119" s="9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9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9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42435.733749999992</v>
      </c>
      <c r="T3122" s="9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9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9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9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9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9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42426.809745370367</v>
      </c>
      <c r="T3128" s="9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9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9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9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9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9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9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9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42800.511793981474</v>
      </c>
      <c r="T3136" s="9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9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9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E3139/D3139*100</f>
        <v>3.3333333333333335</v>
      </c>
      <c r="P3139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RIGHT(N3139,LEN(N3139)-SEARCH("/",N3139,1))</f>
        <v>plays</v>
      </c>
      <c r="S3139" s="12">
        <f t="shared" ref="S3139:S3202" si="298">(J3139/86400)+25569+(-5/24)</f>
        <v>42807.676724537036</v>
      </c>
      <c r="T3139" s="9">
        <f t="shared" ref="T3139:T3202" si="2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9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9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9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9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9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9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9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9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9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41909.761053240734</v>
      </c>
      <c r="T3149" s="9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9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9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9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9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9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9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9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9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9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9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41447.631388888891</v>
      </c>
      <c r="T3160" s="9">
        <f t="shared" si="2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9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9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9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9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9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41766.597395833327</v>
      </c>
      <c r="T3166" s="9">
        <f t="shared" si="2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9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9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9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9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9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9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9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9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41878.670046296298</v>
      </c>
      <c r="T3175" s="9">
        <f t="shared" si="2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9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9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9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9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9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9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9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9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9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9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9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9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9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9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9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9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9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9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9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9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9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9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9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9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9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41858.553449074076</v>
      </c>
      <c r="T3201" s="9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9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E3203/D3203*100</f>
        <v>1.25</v>
      </c>
      <c r="P3203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RIGHT(N3203,LEN(N3203)-SEARCH("/",N3203,1))</f>
        <v>musical</v>
      </c>
      <c r="S3203" s="12">
        <f t="shared" ref="S3203:S3266" si="304">(J3203/86400)+25569+(-5/24)</f>
        <v>41861.558761574073</v>
      </c>
      <c r="T3203" s="9">
        <f t="shared" ref="T3203:T3266" si="305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9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9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9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9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9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9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9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</v>
      </c>
      <c r="T3211" s="9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9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41834.378240740734</v>
      </c>
      <c r="T3213" s="9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9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9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9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9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9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9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9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9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9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9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9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42206.627037037033</v>
      </c>
      <c r="T3225" s="9">
        <f t="shared" si="305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9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9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9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9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9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9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41897.959791666661</v>
      </c>
      <c r="T3232" s="9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9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9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9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9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9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9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9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9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9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9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9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9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9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9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9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9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9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9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9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9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9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9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9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9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9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9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9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9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9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9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9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9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9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9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E3267/D3267*100</f>
        <v>164</v>
      </c>
      <c r="P3267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RIGHT(N3267,LEN(N3267)-SEARCH("/",N3267,1))</f>
        <v>plays</v>
      </c>
      <c r="S3267" s="12">
        <f t="shared" ref="S3267:S3330" si="310">(J3267/86400)+25569+(-5/24)</f>
        <v>42311.503645833327</v>
      </c>
      <c r="T3267" s="9">
        <f t="shared" ref="T3267:T3330" si="311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42136.327800925923</v>
      </c>
      <c r="T3268" s="9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9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9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42137.187465277777</v>
      </c>
      <c r="T3271" s="9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9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9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9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9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9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9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9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41931.474606481475</v>
      </c>
      <c r="T3279" s="9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9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42430.894201388888</v>
      </c>
      <c r="T3281" s="9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9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9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9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9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9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9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9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9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9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9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9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9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9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9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9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9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9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9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9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9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9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42538.527499999997</v>
      </c>
      <c r="T3303" s="9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9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9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9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9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9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9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9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9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9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9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9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9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9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</v>
      </c>
      <c r="T3317" s="9">
        <f t="shared" si="311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9">
        <f t="shared" si="311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42498.831296296295</v>
      </c>
      <c r="T3319" s="9">
        <f t="shared" si="311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9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9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9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9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9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9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9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9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9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9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9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E3331/D3331*100</f>
        <v>116.8</v>
      </c>
      <c r="P3331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RIGHT(N3331,LEN(N3331)-SEARCH("/",N3331,1))</f>
        <v>plays</v>
      </c>
      <c r="S3331" s="12">
        <f t="shared" ref="S3331:S3394" si="316">(J3331/86400)+25569+(-5/24)</f>
        <v>41837.114675925921</v>
      </c>
      <c r="T3331" s="9">
        <f t="shared" ref="T3331:T3394" si="317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9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9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9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9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9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9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42437.190347222218</v>
      </c>
      <c r="T3338" s="9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9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9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9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9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9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42062.088078703702</v>
      </c>
      <c r="T3344" s="9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9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9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9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9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9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9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9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9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9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9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9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9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9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9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9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9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9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9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9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9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9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9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42320.893425925919</v>
      </c>
      <c r="T3367" s="9">
        <f t="shared" si="317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9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9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9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9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9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9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9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9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9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9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9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42053.524293981478</v>
      </c>
      <c r="T3379" s="9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9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9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41937.745115740741</v>
      </c>
      <c r="T3382" s="9">
        <f t="shared" si="317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9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9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9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9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9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9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41947.554259259261</v>
      </c>
      <c r="T3389" s="9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9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9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41815.566493055558</v>
      </c>
      <c r="T3392" s="9">
        <f t="shared" si="317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9">
        <f t="shared" si="317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9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E3395/D3395*100</f>
        <v>105.80000000000001</v>
      </c>
      <c r="P3395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RIGHT(N3395,LEN(N3395)-SEARCH("/",N3395,1))</f>
        <v>plays</v>
      </c>
      <c r="S3395" s="12">
        <f t="shared" ref="S3395:S3458" si="322">(J3395/86400)+25569+(-5/24)</f>
        <v>41923.713310185187</v>
      </c>
      <c r="T3395" s="9">
        <f t="shared" ref="T3395:T3458" si="323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9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42140.503981481474</v>
      </c>
      <c r="T3397" s="9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41764.238298611112</v>
      </c>
      <c r="T3398" s="9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9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41941.543703703697</v>
      </c>
      <c r="T3400" s="9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9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9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9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9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9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9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9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9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9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9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42544.605995370366</v>
      </c>
      <c r="T3411" s="9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9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9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9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9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9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9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9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9">
        <f t="shared" si="323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9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9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9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9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9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9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9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9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9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9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9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9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9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9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9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41775.854803240734</v>
      </c>
      <c r="T3435" s="9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41800.172094907401</v>
      </c>
      <c r="T3436" s="9">
        <f t="shared" si="323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9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9">
        <f t="shared" si="323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9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42100.719525462962</v>
      </c>
      <c r="T3440" s="9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9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9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9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42124.632777777777</v>
      </c>
      <c r="T3444" s="9">
        <f t="shared" si="323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9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9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9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9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9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9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9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9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9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9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9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9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9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9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E3459/D3459*100</f>
        <v>140.19999999999999</v>
      </c>
      <c r="P3459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RIGHT(N3459,LEN(N3459)-SEARCH("/",N3459,1))</f>
        <v>plays</v>
      </c>
      <c r="S3459" s="12">
        <f t="shared" ref="S3459:S3522" si="328">(J3459/86400)+25569+(-5/24)</f>
        <v>42016.498344907406</v>
      </c>
      <c r="T3459" s="9">
        <f t="shared" ref="T3459:T3522" si="32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9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9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41852.318888888891</v>
      </c>
      <c r="T3462" s="9">
        <f t="shared" si="32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9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9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9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9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9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9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9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42605.55704861111</v>
      </c>
      <c r="T3470" s="9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9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9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41841.61215277778</v>
      </c>
      <c r="T3473" s="9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9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9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9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9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9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9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42053.708587962959</v>
      </c>
      <c r="T3480" s="9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41781.64675925926</v>
      </c>
      <c r="T3481" s="9">
        <f t="shared" si="32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9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41989.039212962962</v>
      </c>
      <c r="T3483" s="9">
        <f t="shared" si="32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9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9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9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9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9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9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9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9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9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9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9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9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9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41915.554502314808</v>
      </c>
      <c r="T3497" s="9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9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42511.53361111111</v>
      </c>
      <c r="T3499" s="9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9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9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42419.711087962962</v>
      </c>
      <c r="T3502" s="9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9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9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9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9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9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9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9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9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9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9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9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9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9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9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9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9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41794.609189814808</v>
      </c>
      <c r="T3519" s="9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9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9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9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E3523/D3523*100</f>
        <v>169.42857142857144</v>
      </c>
      <c r="P3523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RIGHT(N3523,LEN(N3523)-SEARCH("/",N3523,1))</f>
        <v>plays</v>
      </c>
      <c r="S3523" s="12">
        <f t="shared" ref="S3523:S3586" si="334">(J3523/86400)+25569+(-5/24)</f>
        <v>41881.153009259258</v>
      </c>
      <c r="T3523" s="9">
        <f t="shared" ref="T3523:T3586" si="335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9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9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9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9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9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9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9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9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9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9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9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9">
        <f t="shared" si="335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9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42248.431828703702</v>
      </c>
      <c r="T3537" s="9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9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41923.146018518521</v>
      </c>
      <c r="T3539" s="9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9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9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9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9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9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9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9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9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9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9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9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9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9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9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9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9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9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9">
        <f t="shared" si="335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9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9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9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9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</v>
      </c>
      <c r="T3562" s="9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9">
        <f t="shared" si="335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9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9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42236.414918981478</v>
      </c>
      <c r="T3566" s="9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9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9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9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9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9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</v>
      </c>
      <c r="T3572" s="9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9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9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9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41926.734351851854</v>
      </c>
      <c r="T3576" s="9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9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9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9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9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9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9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9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9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9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9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E3587/D3587*100</f>
        <v>119.11764705882352</v>
      </c>
      <c r="P3587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RIGHT(N3587,LEN(N3587)-SEARCH("/",N3587,1))</f>
        <v>plays</v>
      </c>
      <c r="S3587" s="12">
        <f t="shared" ref="S3587:S3650" si="340">(J3587/86400)+25569+(-5/24)</f>
        <v>41964.507986111108</v>
      </c>
      <c r="T3587" s="9">
        <f t="shared" ref="T3587:T3650" si="341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9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9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9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9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9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9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9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9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9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9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9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9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9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9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9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9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9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9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9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9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9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9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42506.501041666663</v>
      </c>
      <c r="T3610" s="9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42429.783391203702</v>
      </c>
      <c r="T3611" s="9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9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9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41789.518645833326</v>
      </c>
      <c r="T3614" s="9">
        <f t="shared" si="341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9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9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9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9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9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9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42660.923912037033</v>
      </c>
      <c r="T3621" s="9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9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9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9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9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42545.56585648148</v>
      </c>
      <c r="T3626" s="9">
        <f t="shared" si="341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9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9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9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9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9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9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9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9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9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9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9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42226.486446759256</v>
      </c>
      <c r="T3638" s="9">
        <f t="shared" si="341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9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9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9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9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</v>
      </c>
      <c r="T3643" s="9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9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9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9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9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9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9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9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E3651/D3651*100</f>
        <v>104</v>
      </c>
      <c r="P3651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RIGHT(N3651,LEN(N3651)-SEARCH("/",N3651,1))</f>
        <v>plays</v>
      </c>
      <c r="S3651" s="12">
        <f t="shared" ref="S3651:S3714" si="346">(J3651/86400)+25569+(-5/24)</f>
        <v>41780.504560185182</v>
      </c>
      <c r="T3651" s="9">
        <f t="shared" ref="T3651:T3714" si="347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9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9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9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9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9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9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42737.701805555553</v>
      </c>
      <c r="T3658" s="9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</v>
      </c>
      <c r="T3659" s="9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9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9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9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9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9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9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9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9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9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42173.761793981474</v>
      </c>
      <c r="T3669" s="9">
        <f t="shared" si="347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9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9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9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9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9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9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9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9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9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41802.365949074076</v>
      </c>
      <c r="T3679" s="9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9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9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42627.245763888888</v>
      </c>
      <c r="T3682" s="9">
        <f t="shared" si="347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9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9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9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9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9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9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9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9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9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</v>
      </c>
      <c r="T3692" s="9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9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9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9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9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9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9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9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9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9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9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9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9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9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9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9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9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9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41809.933865740742</v>
      </c>
      <c r="T3710" s="9">
        <f t="shared" si="347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9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9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9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42133.963738425919</v>
      </c>
      <c r="T3714" s="9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E3715/D3715*100</f>
        <v>101.49999999999999</v>
      </c>
      <c r="P3715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RIGHT(N3715,LEN(N3715)-SEARCH("/",N3715,1))</f>
        <v>plays</v>
      </c>
      <c r="S3715" s="12">
        <f t="shared" ref="S3715:S3778" si="352">(J3715/86400)+25569+(-5/24)</f>
        <v>42505.529699074068</v>
      </c>
      <c r="T3715" s="9">
        <f t="shared" ref="T3715:T3778" si="353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42118.347997685181</v>
      </c>
      <c r="T3716" s="9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9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9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9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9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9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9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9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9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41943.544699074067</v>
      </c>
      <c r="T3725" s="9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42465.283101851848</v>
      </c>
      <c r="T3726" s="9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9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42461.932534722218</v>
      </c>
      <c r="T3728" s="9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9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9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9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9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9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9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9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9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9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9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9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9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9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9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9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9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9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9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41831.489606481475</v>
      </c>
      <c r="T3747" s="9">
        <f t="shared" si="353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9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9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9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9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9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9">
        <f t="shared" si="353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9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9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9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9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9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9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41747.263171296298</v>
      </c>
      <c r="T3760" s="9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9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9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9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9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9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9">
        <f t="shared" si="353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9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9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9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9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9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9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9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9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42655.796840277777</v>
      </c>
      <c r="T3775" s="9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9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9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9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E3779/D3779*100</f>
        <v>143.19999999999999</v>
      </c>
      <c r="P3779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RIGHT(N3779,LEN(N3779)-SEARCH("/",N3779,1))</f>
        <v>musical</v>
      </c>
      <c r="S3779" s="12">
        <f t="shared" ref="S3779:S3842" si="358">(J3779/86400)+25569+(-5/24)</f>
        <v>41886.903020833335</v>
      </c>
      <c r="T3779" s="9">
        <f t="shared" ref="T3779:T3842" si="35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9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9">
        <f t="shared" si="35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9">
        <f t="shared" si="35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9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42546.653900462959</v>
      </c>
      <c r="T3784" s="9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9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9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9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9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9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9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9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9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9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9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9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9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9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9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9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41831.514444444438</v>
      </c>
      <c r="T3800" s="9">
        <f t="shared" si="35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9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9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9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9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9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9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9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9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9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9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9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9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9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9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9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9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9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9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9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9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9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9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9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9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9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9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9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9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9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9">
        <f t="shared" si="35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9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9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9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9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41963.664027777777</v>
      </c>
      <c r="T3835" s="9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9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9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9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9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9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42154.934305555558</v>
      </c>
      <c r="T3841" s="9">
        <f t="shared" si="35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9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E3843/D3843*100</f>
        <v>8.7200000000000006</v>
      </c>
      <c r="P3843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RIGHT(N3843,LEN(N3843)-SEARCH("/",N3843,1))</f>
        <v>plays</v>
      </c>
      <c r="S3843" s="12">
        <f t="shared" ref="S3843:S3906" si="364">(J3843/86400)+25569+(-5/24)</f>
        <v>41780.57739583333</v>
      </c>
      <c r="T3843" s="9">
        <f t="shared" ref="T3843:T3906" si="365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9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9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9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42248.418680555558</v>
      </c>
      <c r="T3847" s="9">
        <f t="shared" si="365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9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9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9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9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9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9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9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9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9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9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9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9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42128.222731481474</v>
      </c>
      <c r="T3860" s="9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9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41833.452662037038</v>
      </c>
      <c r="T3862" s="9">
        <f t="shared" si="365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9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9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9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9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9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9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9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41865.45144675926</v>
      </c>
      <c r="T3870" s="9">
        <f t="shared" si="365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9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41792.963865740741</v>
      </c>
      <c r="T3872" s="9">
        <f t="shared" si="365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9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9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9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9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9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9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9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9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9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9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9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9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9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9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9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9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9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9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9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9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9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41867.443946759253</v>
      </c>
      <c r="T3894" s="9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9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9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9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9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9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9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41843.566678240742</v>
      </c>
      <c r="T3901" s="9">
        <f t="shared" si="365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9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42317.618043981478</v>
      </c>
      <c r="T3903" s="9">
        <f t="shared" si="365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9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9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9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E3907/D3907*100</f>
        <v>11.533333333333333</v>
      </c>
      <c r="P3907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RIGHT(N3907,LEN(N3907)-SEARCH("/",N3907,1))</f>
        <v>plays</v>
      </c>
      <c r="S3907" s="12">
        <f t="shared" ref="S3907:S3970" si="370">(J3907/86400)+25569+(-5/24)</f>
        <v>42124.415543981479</v>
      </c>
      <c r="T3907" s="9">
        <f t="shared" ref="T3907:T3970" si="371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9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9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9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9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9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9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9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9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42114.610601851855</v>
      </c>
      <c r="T3916" s="9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9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9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9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9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9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9">
        <f t="shared" si="371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9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9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9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9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9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9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9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9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9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9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9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9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9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9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42221.448449074072</v>
      </c>
      <c r="T3937" s="9">
        <f t="shared" si="371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9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9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42151.697384259256</v>
      </c>
      <c r="T3940" s="9">
        <f t="shared" si="371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9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9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9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9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9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9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9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9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9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41829.117164351854</v>
      </c>
      <c r="T3950" s="9">
        <f t="shared" si="371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9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9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9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9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9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9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9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9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42513.76798611111</v>
      </c>
      <c r="T3959" s="9">
        <f t="shared" si="371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41816.742037037031</v>
      </c>
      <c r="T3960" s="9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9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9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9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9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9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9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9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9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9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9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E3971/D3971*100</f>
        <v>7.4690265486725664</v>
      </c>
      <c r="P3971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RIGHT(N3971,LEN(N3971)-SEARCH("/",N3971,1))</f>
        <v>plays</v>
      </c>
      <c r="S3971" s="12">
        <f t="shared" ref="S3971:S4034" si="376">(J3971/86400)+25569+(-5/24)</f>
        <v>42601.646365740737</v>
      </c>
      <c r="T3971" s="9">
        <f t="shared" ref="T3971:T4034" si="377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42447.655219907407</v>
      </c>
      <c r="T3972" s="9">
        <f t="shared" si="377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9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9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9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9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9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9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9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9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9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9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9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9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9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41920.75513888889</v>
      </c>
      <c r="T3986" s="9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9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9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9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9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9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9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9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9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9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9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9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41950.058611111112</v>
      </c>
      <c r="T3998" s="9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9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9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9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9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9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9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9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9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9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9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9">
        <f t="shared" si="377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9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9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9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9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9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9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9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42174.572488425925</v>
      </c>
      <c r="T4017" s="9">
        <f t="shared" si="377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9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9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9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9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9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9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41990.375775462962</v>
      </c>
      <c r="T4024" s="9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42408.791238425925</v>
      </c>
      <c r="T4025" s="9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9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9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9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9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9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42321.816782407404</v>
      </c>
      <c r="T4031" s="9">
        <f t="shared" si="377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9">
        <f t="shared" si="377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9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9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E4035/D4035*100</f>
        <v>25.698702928870294</v>
      </c>
      <c r="P4035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RIGHT(N4035,LEN(N4035)-SEARCH("/",N4035,1))</f>
        <v>plays</v>
      </c>
      <c r="S4035" s="12">
        <f t="shared" ref="S4035:S4098" si="382">(J4035/86400)+25569+(-5/24)</f>
        <v>42614.06046296296</v>
      </c>
      <c r="T4035" s="9">
        <f t="shared" ref="T4035:T4098" si="383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9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41903.674618055556</v>
      </c>
      <c r="T4037" s="9">
        <f t="shared" si="383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41804.728750000002</v>
      </c>
      <c r="T4038" s="9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42496.862442129626</v>
      </c>
      <c r="T4039" s="9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41869.590393518512</v>
      </c>
      <c r="T4040" s="9">
        <f t="shared" si="383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9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9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9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9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9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9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9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9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9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9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9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9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41761.601817129624</v>
      </c>
      <c r="T4053" s="9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9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9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9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9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42534.724988425922</v>
      </c>
      <c r="T4058" s="9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9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9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9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9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9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9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9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9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9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9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9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9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9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9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9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9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42078.136874999997</v>
      </c>
      <c r="T4075" s="9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9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9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41905.587372685179</v>
      </c>
      <c r="T4078" s="9">
        <f t="shared" si="383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9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9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9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9">
        <f t="shared" si="383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9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9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9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9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9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9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9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9">
        <f t="shared" si="383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9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9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9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9">
        <f t="shared" si="383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9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9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9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9">
        <f t="shared" si="383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E4099/D4099*100</f>
        <v>0</v>
      </c>
      <c r="P4099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RIGHT(N4099,LEN(N4099)-SEARCH("/",N4099,1))</f>
        <v>plays</v>
      </c>
      <c r="S4099" s="12">
        <f t="shared" ref="S4099:S4115" si="388">(J4099/86400)+25569+(-5/24)</f>
        <v>42344.616168981483</v>
      </c>
      <c r="T4099" s="9">
        <f t="shared" ref="T4099:T4115" si="38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9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9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9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9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9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9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9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9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9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9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42766.823344907403</v>
      </c>
      <c r="T4110" s="9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9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42512.418414351851</v>
      </c>
      <c r="T4112" s="9">
        <f t="shared" si="38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9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9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9">
        <f t="shared" si="389"/>
        <v>42377.06527777778</v>
      </c>
    </row>
  </sheetData>
  <autoFilter ref="A1:T4115" xr:uid="{0D649973-98BA-479C-A9BC-7401D43EDF92}"/>
  <conditionalFormatting sqref="F1:F1048576">
    <cfRule type="cellIs" dxfId="4" priority="2" operator="between">
      <formula>"canceled"</formula>
      <formula>"canceled"</formula>
    </cfRule>
    <cfRule type="cellIs" dxfId="3" priority="3" operator="between">
      <formula>"unsuccessful"</formula>
      <formula>"unsuccessful"</formula>
    </cfRule>
    <cfRule type="cellIs" dxfId="2" priority="4" operator="between">
      <formula>"live"</formula>
      <formula>"live"</formula>
    </cfRule>
    <cfRule type="cellIs" dxfId="1" priority="5" operator="between">
      <formula>"failed"</formula>
      <formula>"failed"</formula>
    </cfRule>
    <cfRule type="cellIs" dxfId="0" priority="6" operator="between">
      <formula>"successful"</formula>
      <formula>"successful"</formula>
    </cfRule>
  </conditionalFormatting>
  <conditionalFormatting sqref="O2:O4115">
    <cfRule type="colorScale" priority="1">
      <colorScale>
        <cfvo type="num" val="0"/>
        <cfvo type="num" val="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CFB80-20CB-4712-81B2-9BB4138957BE}">
  <sheetPr codeName="Sheet4"/>
  <dimension ref="A1:F14"/>
  <sheetViews>
    <sheetView workbookViewId="0">
      <selection activeCell="C19" sqref="C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5.44140625" bestFit="1" customWidth="1"/>
    <col min="8" max="8" width="12.88671875" bestFit="1" customWidth="1"/>
    <col min="9" max="9" width="15.44140625" bestFit="1" customWidth="1"/>
    <col min="10" max="10" width="17.77734375" bestFit="1" customWidth="1"/>
    <col min="11" max="11" width="20.21875" bestFit="1" customWidth="1"/>
  </cols>
  <sheetData>
    <row r="1" spans="1:6" x14ac:dyDescent="0.3">
      <c r="A1" s="6" t="s">
        <v>8223</v>
      </c>
      <c r="B1" t="s">
        <v>8311</v>
      </c>
    </row>
    <row r="3" spans="1:6" x14ac:dyDescent="0.3">
      <c r="A3" s="6" t="s">
        <v>8310</v>
      </c>
      <c r="B3" s="6" t="s">
        <v>8323</v>
      </c>
    </row>
    <row r="4" spans="1:6" x14ac:dyDescent="0.3">
      <c r="A4" s="6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3">
      <c r="A5" s="7" t="s">
        <v>8313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">
      <c r="A6" s="7" t="s">
        <v>8314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">
      <c r="A7" s="7" t="s">
        <v>8315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">
      <c r="A8" s="7" t="s">
        <v>8316</v>
      </c>
      <c r="B8" s="5">
        <v>24</v>
      </c>
      <c r="C8" s="5"/>
      <c r="D8" s="5"/>
      <c r="E8" s="5"/>
      <c r="F8" s="5">
        <v>24</v>
      </c>
    </row>
    <row r="9" spans="1:6" x14ac:dyDescent="0.3">
      <c r="A9" s="7" t="s">
        <v>8317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">
      <c r="A10" s="7" t="s">
        <v>8318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">
      <c r="A11" s="7" t="s">
        <v>8319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">
      <c r="A12" s="7" t="s">
        <v>8320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">
      <c r="A13" s="7" t="s">
        <v>8321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">
      <c r="A14" s="7" t="s">
        <v>8322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9D154-2D0F-4A59-9129-1921FD58EDEB}">
  <sheetPr codeName="Sheet5"/>
  <dimension ref="A1:H13"/>
  <sheetViews>
    <sheetView tabSelected="1" workbookViewId="0">
      <selection activeCell="F1" sqref="F1:H13"/>
    </sheetView>
  </sheetViews>
  <sheetFormatPr defaultRowHeight="14.4" x14ac:dyDescent="0.3"/>
  <cols>
    <col min="1" max="1" width="17.44140625" bestFit="1" customWidth="1"/>
    <col min="2" max="2" width="17.21875" bestFit="1" customWidth="1"/>
    <col min="3" max="3" width="13.33203125" bestFit="1" customWidth="1"/>
    <col min="4" max="4" width="16.55468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3">
      <c r="A2" t="s">
        <v>8388</v>
      </c>
      <c r="B2">
        <f>COUNTIFS('Original Table'!F2:F4115,"successful", 'Original Table'!D2:D4115, "&lt;1000")</f>
        <v>322</v>
      </c>
      <c r="C2">
        <f>COUNTIFS('Original Table'!$F$2:$F$4115,"failed", 'Original Table'!$D$2:$D$4115, "&lt;1000")</f>
        <v>113</v>
      </c>
      <c r="D2">
        <f>COUNTIFS('Original Table'!$F$2:$F$4115,"canceled", 'Original Table'!$D$2:$D$4115, "&lt;1000")</f>
        <v>18</v>
      </c>
      <c r="E2">
        <f>COUNTIF( 'Original Table'!$D$2:$D$4115, "&lt;1000")</f>
        <v>461</v>
      </c>
      <c r="F2" s="13">
        <f>(B2/E2)*100</f>
        <v>69.848156182212591</v>
      </c>
      <c r="G2" s="13">
        <f>C2/E2*100</f>
        <v>24.511930585683299</v>
      </c>
      <c r="H2" s="13">
        <f>D2/E2*100</f>
        <v>3.9045553145336225</v>
      </c>
    </row>
    <row r="3" spans="1:8" x14ac:dyDescent="0.3">
      <c r="A3" t="s">
        <v>8389</v>
      </c>
      <c r="B3">
        <f>COUNTIFS('Original Table'!$F$2:$F$4115,"successful", 'Original Table'!$D$2:$D$4115, "&gt;=1000", 'Original Table'!$D$2:$D$4115, "&lt;=4999")</f>
        <v>932</v>
      </c>
      <c r="C3">
        <f>COUNTIFS('Original Table'!$F$2:$F$4115,"failed", 'Original Table'!$D$2:$D$4115, "&gt;=1000", 'Original Table'!$D$2:$D$4115, "&lt;=4999")</f>
        <v>420</v>
      </c>
      <c r="D3">
        <f>COUNTIFS('Original Table'!$F$2:$F$4115,"canceled", 'Original Table'!$D$2:$D$4115, "&gt;=1000", 'Original Table'!$D$2:$D$4115, "&lt;=4999")</f>
        <v>60</v>
      </c>
      <c r="E3">
        <f>COUNTIFS( 'Original Table'!$D$2:$D$4115, "&gt;=1000",'Original Table'!$D$2:$D$4115, "&lt;=4999")</f>
        <v>1425</v>
      </c>
      <c r="F3" s="13">
        <f t="shared" ref="F3:F13" si="0">(B3/E3)*100</f>
        <v>65.403508771929822</v>
      </c>
      <c r="G3" s="13">
        <f t="shared" ref="G3:G13" si="1">C3/E3*100</f>
        <v>29.473684210526311</v>
      </c>
      <c r="H3" s="13">
        <f t="shared" ref="H3:H13" si="2">D3/E3*100</f>
        <v>4.2105263157894735</v>
      </c>
    </row>
    <row r="4" spans="1:8" x14ac:dyDescent="0.3">
      <c r="A4" t="s">
        <v>8390</v>
      </c>
      <c r="B4">
        <f>COUNTIFS('Original Table'!$F$2:$F$4115,"successful", 'Original Table'!$D$2:$D$4115,"&gt;=5000",'Original Table'!$D$2:$D$4115,"&lt;=9999")</f>
        <v>381</v>
      </c>
      <c r="C4">
        <f>COUNTIFS('Original Table'!$F$2:$F$4115,"failed", 'Original Table'!$D$2:$D$4115,"&gt;=5000",'Original Table'!$D$2:$D$4115,"&lt;=9999")</f>
        <v>283</v>
      </c>
      <c r="D4">
        <f>COUNTIFS('Original Table'!$F$2:$F$4115,"canceled", 'Original Table'!$D$2:$D$4115,"&gt;=5000",'Original Table'!$D$2:$D$4115,"&lt;=9999")</f>
        <v>52</v>
      </c>
      <c r="E4">
        <f>COUNTIFS( 'Original Table'!$D$2:$D$4115, "&gt;=5000",'Original Table'!$D$2:$D$4115, "&lt;=9999")</f>
        <v>722</v>
      </c>
      <c r="F4" s="13">
        <f t="shared" si="0"/>
        <v>52.770083102493068</v>
      </c>
      <c r="G4" s="13">
        <f t="shared" si="1"/>
        <v>39.196675900277008</v>
      </c>
      <c r="H4" s="13">
        <f t="shared" si="2"/>
        <v>7.202216066481995</v>
      </c>
    </row>
    <row r="5" spans="1:8" x14ac:dyDescent="0.3">
      <c r="A5" t="s">
        <v>8392</v>
      </c>
      <c r="B5">
        <f>COUNTIFS('Original Table'!$F$2:$F$4115,"successful",'Original Table'!$D$2:$D$4115,"&gt;=10000",'Original Table'!$D$2:$D$4115,"&lt;=14999")</f>
        <v>168</v>
      </c>
      <c r="C5">
        <f>COUNTIFS('Original Table'!$F$2:$F$4115,"failed",'Original Table'!$D$2:$D$4115,"&gt;=10000",'Original Table'!$D$2:$D$4115,"&lt;=14999")</f>
        <v>144</v>
      </c>
      <c r="D5">
        <f>COUNTIFS('Original Table'!$F$2:$F$4115,"canceled",'Original Table'!$D$2:$D$4115,"&gt;=10000",'Original Table'!$D$2:$D$4115,"&lt;=14999")</f>
        <v>40</v>
      </c>
      <c r="E5">
        <f>COUNTIFS( 'Original Table'!$D$2:$D$4115, "&gt;=10000",'Original Table'!$D$2:$D$4115, "&lt;=14999")</f>
        <v>361</v>
      </c>
      <c r="F5" s="13">
        <f t="shared" si="0"/>
        <v>46.53739612188366</v>
      </c>
      <c r="G5" s="13">
        <f t="shared" si="1"/>
        <v>39.88919667590028</v>
      </c>
      <c r="H5" s="13">
        <f t="shared" si="2"/>
        <v>11.080332409972298</v>
      </c>
    </row>
    <row r="6" spans="1:8" x14ac:dyDescent="0.3">
      <c r="A6" t="s">
        <v>8391</v>
      </c>
      <c r="B6">
        <f>COUNTIFS('Original Table'!$F$2:$F$4115,"successful", 'Original Table'!$D$2:$D$4115, "&gt;=15000", 'Original Table'!$D$2:$D$4115, "&lt;=19999")</f>
        <v>94</v>
      </c>
      <c r="C6">
        <f>COUNTIFS('Original Table'!$F$2:$F$4115,"failed", 'Original Table'!$D$2:$D$4115, "&gt;=15000", 'Original Table'!$D$2:$D$4115, "&lt;=19999")</f>
        <v>90</v>
      </c>
      <c r="D6">
        <f>COUNTIFS('Original Table'!$F$2:$F$4115,"canceled", 'Original Table'!$D$2:$D$4115, "&gt;=15000", 'Original Table'!$D$2:$D$4115, "&lt;=19999")</f>
        <v>17</v>
      </c>
      <c r="E6">
        <f>COUNTIFS( 'Original Table'!$D$2:$D$4115, "&gt;=15000",'Original Table'!$D$2:$D$4115, "&lt;=19999")</f>
        <v>205</v>
      </c>
      <c r="F6" s="13">
        <f t="shared" si="0"/>
        <v>45.853658536585371</v>
      </c>
      <c r="G6" s="13">
        <f t="shared" si="1"/>
        <v>43.902439024390247</v>
      </c>
      <c r="H6" s="13">
        <f t="shared" si="2"/>
        <v>8.2926829268292686</v>
      </c>
    </row>
    <row r="7" spans="1:8" x14ac:dyDescent="0.3">
      <c r="A7" t="s">
        <v>8393</v>
      </c>
      <c r="B7">
        <f>COUNTIFS('Original Table'!$F$2:$F$4115,"successful", 'Original Table'!$D$2:$D$4115, "&gt;=20000", 'Original Table'!$D$2:$D$4115, "&lt;=24999")</f>
        <v>62</v>
      </c>
      <c r="C7">
        <f>COUNTIFS('Original Table'!$F$2:$F$4115,"failed", 'Original Table'!$D$2:$D$4115, "&gt;=20000", 'Original Table'!$D$2:$D$4115, "&lt;=24999")</f>
        <v>72</v>
      </c>
      <c r="D7">
        <f>COUNTIFS('Original Table'!$F$2:$F$4115,"canceled", 'Original Table'!$D$2:$D$4115, "&gt;=20000", 'Original Table'!$D$2:$D$4115, "&lt;=24999")</f>
        <v>14</v>
      </c>
      <c r="E7">
        <f>COUNTIFS( 'Original Table'!$D$2:$D$4115, "&gt;=20000",'Original Table'!$D$2:$D$4115, "&lt;=24999")</f>
        <v>149</v>
      </c>
      <c r="F7" s="13">
        <f t="shared" si="0"/>
        <v>41.61073825503356</v>
      </c>
      <c r="G7" s="13">
        <f t="shared" si="1"/>
        <v>48.322147651006716</v>
      </c>
      <c r="H7" s="13">
        <f t="shared" si="2"/>
        <v>9.3959731543624159</v>
      </c>
    </row>
    <row r="8" spans="1:8" x14ac:dyDescent="0.3">
      <c r="A8" t="s">
        <v>8394</v>
      </c>
      <c r="B8">
        <f>COUNTIFS('Original Table'!$F$2:$F$4115,"successful", 'Original Table'!$D$2:$D$4115, "&gt;=25000", 'Original Table'!$D$2:$D$4115, "&lt;=29999")</f>
        <v>55</v>
      </c>
      <c r="C8">
        <f>COUNTIFS('Original Table'!$F$2:$F$4115,"failed", 'Original Table'!$D$2:$D$4115, "&gt;=25000", 'Original Table'!$D$2:$D$4115, "&lt;=29999")</f>
        <v>64</v>
      </c>
      <c r="D8">
        <f>COUNTIFS('Original Table'!$F$2:$F$4115,"canceled", 'Original Table'!$D$2:$D$4115, "&gt;=25000", 'Original Table'!$D$2:$D$4115, "&lt;=29999")</f>
        <v>18</v>
      </c>
      <c r="E8">
        <f>COUNTIFS( 'Original Table'!$D$2:$D$4115, "&gt;=25000",'Original Table'!$D$2:$D$4115, "&lt;=29999")</f>
        <v>138</v>
      </c>
      <c r="F8" s="13">
        <f t="shared" si="0"/>
        <v>39.855072463768117</v>
      </c>
      <c r="G8" s="13">
        <f t="shared" si="1"/>
        <v>46.376811594202898</v>
      </c>
      <c r="H8" s="13">
        <f t="shared" si="2"/>
        <v>13.043478260869565</v>
      </c>
    </row>
    <row r="9" spans="1:8" x14ac:dyDescent="0.3">
      <c r="A9" t="s">
        <v>8395</v>
      </c>
      <c r="B9">
        <f>COUNTIFS('Original Table'!$F$2:$F$4115,"successful", 'Original Table'!$D$2:$D$4115, "&gt;=30000", 'Original Table'!$D$2:$D$4115, "&lt;=34999")</f>
        <v>32</v>
      </c>
      <c r="C9">
        <f>COUNTIFS('Original Table'!$F$2:$F$4115,"failed", 'Original Table'!$D$2:$D$4115, "&gt;=30000", 'Original Table'!$D$2:$D$4115, "&lt;=34999")</f>
        <v>37</v>
      </c>
      <c r="D9">
        <f>COUNTIFS('Original Table'!$F$2:$F$4115,"canceled", 'Original Table'!$D$2:$D$4115, "&gt;=30000", 'Original Table'!$D$2:$D$4115, "&lt;=34999")</f>
        <v>13</v>
      </c>
      <c r="E9">
        <f>COUNTIFS( 'Original Table'!$D$2:$D$4115, "&gt;=30000",'Original Table'!$D$2:$D$4115, "&lt;=34999")</f>
        <v>84</v>
      </c>
      <c r="F9" s="13">
        <f t="shared" si="0"/>
        <v>38.095238095238095</v>
      </c>
      <c r="G9" s="13">
        <f t="shared" si="1"/>
        <v>44.047619047619044</v>
      </c>
      <c r="H9" s="13">
        <f t="shared" si="2"/>
        <v>15.476190476190476</v>
      </c>
    </row>
    <row r="10" spans="1:8" x14ac:dyDescent="0.3">
      <c r="A10" t="s">
        <v>8396</v>
      </c>
      <c r="B10">
        <f>COUNTIFS('Original Table'!$F$2:$F$4115,"successful", 'Original Table'!$D$2:$D$4115, "&gt;=35000", 'Original Table'!$D$2:$D$4115, "&lt;=39999")</f>
        <v>26</v>
      </c>
      <c r="C10">
        <f>COUNTIFS('Original Table'!$F$2:$F$4115,"failed", 'Original Table'!$D$2:$D$4115, "&gt;=35000", 'Original Table'!$D$2:$D$4115, "&lt;=39999")</f>
        <v>22</v>
      </c>
      <c r="D10">
        <f>COUNTIFS('Original Table'!$F$2:$F$4115,"canceled", 'Original Table'!$D$2:$D$4115, "&gt;=35000", 'Original Table'!$D$2:$D$4115, "&lt;=39999")</f>
        <v>7</v>
      </c>
      <c r="E10">
        <f>COUNTIFS( 'Original Table'!$D$2:$D$4115, "&gt;=35000",'Original Table'!$D$2:$D$4115, "&lt;=39999")</f>
        <v>55</v>
      </c>
      <c r="F10" s="13">
        <f t="shared" si="0"/>
        <v>47.272727272727273</v>
      </c>
      <c r="G10" s="13">
        <f t="shared" si="1"/>
        <v>40</v>
      </c>
      <c r="H10" s="13">
        <f t="shared" si="2"/>
        <v>12.727272727272727</v>
      </c>
    </row>
    <row r="11" spans="1:8" x14ac:dyDescent="0.3">
      <c r="A11" t="s">
        <v>8397</v>
      </c>
      <c r="B11">
        <f>COUNTIFS('Original Table'!$F$2:$F$4115,"successful", 'Original Table'!$D$2:$D$4115, "&gt;=40000", 'Original Table'!$D$2:$D$4115, "&lt;=44999")</f>
        <v>21</v>
      </c>
      <c r="C11">
        <f>COUNTIFS('Original Table'!$F$2:$F$4115,"failed", 'Original Table'!$D$2:$D$4115, "&gt;=40000", 'Original Table'!$D$2:$D$4115, "&lt;=44999")</f>
        <v>16</v>
      </c>
      <c r="D11">
        <f>COUNTIFS('Original Table'!$F$2:$F$4115,"canceled", 'Original Table'!$D$2:$D$4115, "&gt;=40000", 'Original Table'!$D$2:$D$4115, "&lt;=44999")</f>
        <v>6</v>
      </c>
      <c r="E11">
        <f>COUNTIFS( 'Original Table'!$D$2:$D$4115, "&gt;=40000",'Original Table'!$D$2:$D$4115, "&lt;=44999")</f>
        <v>44</v>
      </c>
      <c r="F11" s="13">
        <f t="shared" si="0"/>
        <v>47.727272727272727</v>
      </c>
      <c r="G11" s="13">
        <f t="shared" si="1"/>
        <v>36.363636363636367</v>
      </c>
      <c r="H11" s="13">
        <f t="shared" si="2"/>
        <v>13.636363636363635</v>
      </c>
    </row>
    <row r="12" spans="1:8" x14ac:dyDescent="0.3">
      <c r="A12" t="s">
        <v>8398</v>
      </c>
      <c r="B12">
        <f>COUNTIFS('Original Table'!$F$2:$F$4115,"successful", 'Original Table'!$D$2:$D$4115, "&gt;=45000", 'Original Table'!$D$2:$D$4115, "&lt;=49999")</f>
        <v>6</v>
      </c>
      <c r="C12">
        <f>COUNTIFS('Original Table'!$F$2:$F$4115,"failed", 'Original Table'!$D$2:$D$4115, "&gt;=45000", 'Original Table'!$D$2:$D$4115, "&lt;=49999")</f>
        <v>11</v>
      </c>
      <c r="D12">
        <f>COUNTIFS('Original Table'!$F$2:$F$4115,"canceled", 'Original Table'!$D$2:$D$4115, "&gt;=45000", 'Original Table'!$D$2:$D$4115, "&lt;=49999")</f>
        <v>4</v>
      </c>
      <c r="E12">
        <f>COUNTIFS( 'Original Table'!$D$2:$D$4115, "&gt;=45000",'Original Table'!$D$2:$D$4115, "&lt;=49999")</f>
        <v>21</v>
      </c>
      <c r="F12" s="13">
        <f t="shared" si="0"/>
        <v>28.571428571428569</v>
      </c>
      <c r="G12" s="13">
        <f t="shared" si="1"/>
        <v>52.380952380952387</v>
      </c>
      <c r="H12" s="13">
        <f t="shared" si="2"/>
        <v>19.047619047619047</v>
      </c>
    </row>
    <row r="13" spans="1:8" x14ac:dyDescent="0.3">
      <c r="A13" t="s">
        <v>8399</v>
      </c>
      <c r="B13">
        <f>COUNTIFS('Original Table'!$F$2:$F$4115,"successful", 'Original Table'!$D$2:$D$4115, "&gt;=50000")</f>
        <v>86</v>
      </c>
      <c r="C13">
        <f>COUNTIFS('Original Table'!$F$2:$F$4115,"failed", 'Original Table'!$D$2:$D$4115, "&gt;=50000")</f>
        <v>258</v>
      </c>
      <c r="D13">
        <f>COUNTIFS('Original Table'!$F$2:$F$4115,"canceled", 'Original Table'!$D$2:$D$4115, "&gt;=50000")</f>
        <v>100</v>
      </c>
      <c r="E13">
        <f>COUNTIFS( 'Original Table'!$D$2:$D$4115, "&gt;=50000")</f>
        <v>449</v>
      </c>
      <c r="F13" s="13">
        <f t="shared" si="0"/>
        <v>19.153674832962139</v>
      </c>
      <c r="G13" s="13">
        <f t="shared" si="1"/>
        <v>57.461024498886417</v>
      </c>
      <c r="H13" s="13">
        <f t="shared" si="2"/>
        <v>22.271714922049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 Category Tables</vt:lpstr>
      <vt:lpstr>Years Table</vt:lpstr>
      <vt:lpstr>Original Table</vt:lpstr>
      <vt:lpstr>Category Tables</vt:lpstr>
      <vt:lpstr>Bonus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ravin</cp:lastModifiedBy>
  <dcterms:created xsi:type="dcterms:W3CDTF">2017-04-20T15:17:24Z</dcterms:created>
  <dcterms:modified xsi:type="dcterms:W3CDTF">2018-11-16T23:50:13Z</dcterms:modified>
</cp:coreProperties>
</file>