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hagma_w\Desktop\Python_for_Excel\Monte_Carlo1\"/>
    </mc:Choice>
  </mc:AlternateContent>
  <xr:revisionPtr revIDLastSave="0" documentId="13_ncr:1_{DF9586D1-6005-4B4D-AE64-A4297B80DC32}" xr6:coauthVersionLast="45" xr6:coauthVersionMax="45" xr10:uidLastSave="{00000000-0000-0000-0000-000000000000}"/>
  <bookViews>
    <workbookView xWindow="28680" yWindow="-120" windowWidth="29040" windowHeight="16440" xr2:uid="{67F96626-3EE9-4EBC-B0E1-CB2C377A3B57}"/>
  </bookViews>
  <sheets>
    <sheet name="Input" sheetId="2" r:id="rId1"/>
    <sheet name="Calc" sheetId="1" r:id="rId2"/>
  </sheets>
  <definedNames>
    <definedName name="cell">Calc!$B$16</definedName>
    <definedName name="cost">Input!$D$40</definedName>
    <definedName name="cpi">Input!$D$20</definedName>
    <definedName name="performance">Input!$G$24:$G$25</definedName>
    <definedName name="ppf">Input!$D$25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B3" i="1"/>
  <c r="B4" i="1"/>
  <c r="B5" i="1"/>
  <c r="B6" i="1"/>
  <c r="B7" i="1"/>
  <c r="B8" i="1"/>
  <c r="B9" i="1"/>
  <c r="B10" i="1"/>
  <c r="B11" i="1"/>
  <c r="B12" i="1"/>
  <c r="C3" i="1" l="1"/>
  <c r="I2" i="1" l="1"/>
  <c r="A13" i="1"/>
  <c r="A4" i="1"/>
  <c r="A5" i="1" s="1"/>
  <c r="A6" i="1" s="1"/>
  <c r="A7" i="1" s="1"/>
  <c r="A8" i="1" s="1"/>
  <c r="A9" i="1" s="1"/>
  <c r="A10" i="1" s="1"/>
  <c r="A11" i="1" s="1"/>
  <c r="A12" i="1" s="1"/>
  <c r="A2" i="1"/>
  <c r="C17" i="2"/>
  <c r="D10" i="2"/>
  <c r="D31" i="2" s="1"/>
  <c r="D6" i="2"/>
  <c r="D5" i="2"/>
  <c r="D8" i="2" s="1"/>
  <c r="D11" i="2" l="1"/>
  <c r="D12" i="2" s="1"/>
  <c r="D2" i="1"/>
  <c r="D35" i="2"/>
  <c r="G2" i="1"/>
  <c r="H2" i="1"/>
  <c r="C4" i="1"/>
  <c r="J2" i="1" l="1"/>
  <c r="D3" i="1"/>
  <c r="D5" i="1"/>
  <c r="D6" i="1"/>
  <c r="D7" i="1"/>
  <c r="D8" i="1"/>
  <c r="D12" i="1"/>
  <c r="D11" i="1"/>
  <c r="D4" i="1"/>
  <c r="J4" i="1" s="1"/>
  <c r="D10" i="1"/>
  <c r="D9" i="1"/>
  <c r="E3" i="1"/>
  <c r="C5" i="1"/>
  <c r="J5" i="1" l="1"/>
  <c r="F3" i="1"/>
  <c r="G3" i="1" s="1"/>
  <c r="E4" i="1" s="1"/>
  <c r="F4" i="1" s="1"/>
  <c r="G4" i="1" s="1"/>
  <c r="E5" i="1" s="1"/>
  <c r="F5" i="1" s="1"/>
  <c r="G5" i="1" s="1"/>
  <c r="E6" i="1" s="1"/>
  <c r="F6" i="1" s="1"/>
  <c r="G6" i="1" s="1"/>
  <c r="E7" i="1" s="1"/>
  <c r="F7" i="1" s="1"/>
  <c r="G7" i="1" s="1"/>
  <c r="J3" i="1"/>
  <c r="C6" i="1"/>
  <c r="J6" i="1" s="1"/>
  <c r="E8" i="1" l="1"/>
  <c r="F8" i="1" s="1"/>
  <c r="G8" i="1" s="1"/>
  <c r="C7" i="1"/>
  <c r="J7" i="1" s="1"/>
  <c r="E9" i="1" l="1"/>
  <c r="F9" i="1" s="1"/>
  <c r="G9" i="1" s="1"/>
  <c r="C8" i="1"/>
  <c r="J8" i="1" s="1"/>
  <c r="E10" i="1" l="1"/>
  <c r="F10" i="1" s="1"/>
  <c r="G10" i="1" s="1"/>
  <c r="C9" i="1"/>
  <c r="J9" i="1" s="1"/>
  <c r="E11" i="1" l="1"/>
  <c r="F11" i="1" s="1"/>
  <c r="G11" i="1" s="1"/>
  <c r="C10" i="1"/>
  <c r="J10" i="1" s="1"/>
  <c r="E12" i="1" l="1"/>
  <c r="F12" i="1" s="1"/>
  <c r="G12" i="1" s="1"/>
  <c r="C11" i="1"/>
  <c r="J11" i="1" s="1"/>
  <c r="C12" i="1" l="1"/>
  <c r="J12" i="1" s="1"/>
  <c r="I13" i="1" l="1"/>
  <c r="F13" i="1" l="1"/>
  <c r="D13" i="1" s="1"/>
  <c r="J13" i="1" s="1"/>
  <c r="G24" i="2" s="1"/>
  <c r="G13" i="1" l="1"/>
  <c r="G25" i="2"/>
</calcChain>
</file>

<file path=xl/sharedStrings.xml><?xml version="1.0" encoding="utf-8"?>
<sst xmlns="http://schemas.openxmlformats.org/spreadsheetml/2006/main" count="47" uniqueCount="45">
  <si>
    <t>Purchase Price</t>
  </si>
  <si>
    <t>Brokerage Fee</t>
  </si>
  <si>
    <t>Real Estate Transfer Tax</t>
  </si>
  <si>
    <t>Transaction Costs (Legal/Tax Advisory)</t>
  </si>
  <si>
    <t>Total Investment</t>
  </si>
  <si>
    <t>Bank Loan</t>
  </si>
  <si>
    <t>Total Funding</t>
  </si>
  <si>
    <t>Lease Terms</t>
  </si>
  <si>
    <t>Investment &amp; Financing (I&amp;F)</t>
  </si>
  <si>
    <t>Rent (annual)</t>
  </si>
  <si>
    <t>Term (years)</t>
  </si>
  <si>
    <t>Rent Adjustment</t>
  </si>
  <si>
    <t>CPI</t>
  </si>
  <si>
    <t>CPI (Forecast)</t>
  </si>
  <si>
    <t>Exit</t>
  </si>
  <si>
    <t>Purchase Price Factor (Forecast)</t>
  </si>
  <si>
    <t>Loan Terms</t>
  </si>
  <si>
    <t>Initial Balance</t>
  </si>
  <si>
    <t>Ending Balance (after 10 Years)</t>
  </si>
  <si>
    <t>Interest Rate</t>
  </si>
  <si>
    <t>Debt Service (Yearly)</t>
  </si>
  <si>
    <t>Term (Years)</t>
  </si>
  <si>
    <t>Ongoing Costs &amp; Maintenance</t>
  </si>
  <si>
    <t>Total Costs per Year (Forecast)</t>
  </si>
  <si>
    <t>Start Date</t>
  </si>
  <si>
    <t>Date</t>
  </si>
  <si>
    <t>Rents</t>
  </si>
  <si>
    <t>Total Costs</t>
  </si>
  <si>
    <t>Interest Payment</t>
  </si>
  <si>
    <t>Exit Date</t>
  </si>
  <si>
    <t>Loan Amortization</t>
  </si>
  <si>
    <t>Loan Balance</t>
  </si>
  <si>
    <t>Equity Cashflows</t>
  </si>
  <si>
    <t>Investment Multiple</t>
  </si>
  <si>
    <t>Equity Performance</t>
  </si>
  <si>
    <t>Purchase</t>
  </si>
  <si>
    <t>Lease Term</t>
  </si>
  <si>
    <t>Internal Rate of Return (IRR)</t>
  </si>
  <si>
    <t>Purchase &amp; Exit</t>
  </si>
  <si>
    <t>Equity Investment</t>
  </si>
  <si>
    <t>Legend</t>
  </si>
  <si>
    <t>fixed terms</t>
  </si>
  <si>
    <t>forecast</t>
  </si>
  <si>
    <t>uncertainty!</t>
  </si>
  <si>
    <t>Total Loan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</si>
</sst>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3" fontId="0" fillId="3" borderId="6" xfId="0" applyNumberFormat="1" applyFill="1" applyBorder="1"/>
    <xf numFmtId="9" fontId="0" fillId="3" borderId="0" xfId="0" applyNumberFormat="1" applyFill="1" applyBorder="1"/>
    <xf numFmtId="3" fontId="0" fillId="2" borderId="6" xfId="0" applyNumberFormat="1" applyFill="1" applyBorder="1"/>
    <xf numFmtId="0" fontId="0" fillId="2" borderId="7" xfId="0" applyFill="1" applyBorder="1"/>
    <xf numFmtId="3" fontId="2" fillId="2" borderId="8" xfId="0" applyNumberFormat="1" applyFont="1" applyFill="1" applyBorder="1"/>
    <xf numFmtId="0" fontId="0" fillId="2" borderId="9" xfId="0" applyFill="1" applyBorder="1"/>
    <xf numFmtId="0" fontId="2" fillId="2" borderId="10" xfId="0" applyFont="1" applyFill="1" applyBorder="1"/>
    <xf numFmtId="3" fontId="2" fillId="2" borderId="11" xfId="0" applyNumberFormat="1" applyFont="1" applyFill="1" applyBorder="1"/>
    <xf numFmtId="0" fontId="0" fillId="4" borderId="2" xfId="0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4" borderId="6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7" borderId="2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3" fontId="0" fillId="7" borderId="6" xfId="0" applyNumberFormat="1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2" xfId="0" applyFill="1" applyBorder="1"/>
    <xf numFmtId="0" fontId="2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2" xfId="0" applyFill="1" applyBorder="1"/>
    <xf numFmtId="0" fontId="0" fillId="8" borderId="13" xfId="0" applyFill="1" applyBorder="1"/>
    <xf numFmtId="10" fontId="0" fillId="3" borderId="6" xfId="1" applyNumberFormat="1" applyFont="1" applyFill="1" applyBorder="1"/>
    <xf numFmtId="10" fontId="3" fillId="6" borderId="6" xfId="0" applyNumberFormat="1" applyFont="1" applyFill="1" applyBorder="1"/>
    <xf numFmtId="0" fontId="0" fillId="4" borderId="14" xfId="0" applyFill="1" applyBorder="1" applyAlignment="1">
      <alignment horizontal="right"/>
    </xf>
    <xf numFmtId="0" fontId="3" fillId="6" borderId="6" xfId="0" applyFont="1" applyFill="1" applyBorder="1"/>
    <xf numFmtId="0" fontId="0" fillId="5" borderId="14" xfId="0" applyFill="1" applyBorder="1"/>
    <xf numFmtId="0" fontId="0" fillId="7" borderId="14" xfId="0" applyFill="1" applyBorder="1"/>
    <xf numFmtId="3" fontId="3" fillId="6" borderId="6" xfId="0" applyNumberFormat="1" applyFont="1" applyFill="1" applyBorder="1"/>
    <xf numFmtId="0" fontId="0" fillId="8" borderId="14" xfId="0" applyFill="1" applyBorder="1"/>
    <xf numFmtId="0" fontId="2" fillId="4" borderId="0" xfId="0" applyFont="1" applyFill="1" applyBorder="1"/>
    <xf numFmtId="14" fontId="0" fillId="4" borderId="6" xfId="0" applyNumberFormat="1" applyFill="1" applyBorder="1"/>
    <xf numFmtId="14" fontId="0" fillId="5" borderId="6" xfId="0" applyNumberFormat="1" applyFill="1" applyBorder="1"/>
    <xf numFmtId="0" fontId="0" fillId="9" borderId="0" xfId="0" applyFill="1"/>
    <xf numFmtId="0" fontId="2" fillId="9" borderId="0" xfId="0" applyFont="1" applyFill="1" applyAlignment="1">
      <alignment horizontal="right"/>
    </xf>
    <xf numFmtId="14" fontId="0" fillId="9" borderId="0" xfId="0" applyNumberFormat="1" applyFill="1"/>
    <xf numFmtId="0" fontId="2" fillId="10" borderId="2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3" fontId="0" fillId="10" borderId="6" xfId="0" applyNumberFormat="1" applyFill="1" applyBorder="1"/>
    <xf numFmtId="3" fontId="0" fillId="10" borderId="14" xfId="0" applyNumberFormat="1" applyFill="1" applyBorder="1"/>
    <xf numFmtId="10" fontId="0" fillId="10" borderId="5" xfId="0" applyNumberFormat="1" applyFont="1" applyFill="1" applyBorder="1"/>
    <xf numFmtId="0" fontId="7" fillId="9" borderId="2" xfId="0" applyFont="1" applyFill="1" applyBorder="1"/>
    <xf numFmtId="0" fontId="0" fillId="9" borderId="4" xfId="0" applyFill="1" applyBorder="1"/>
    <xf numFmtId="0" fontId="0" fillId="11" borderId="5" xfId="0" applyFill="1" applyBorder="1"/>
    <xf numFmtId="0" fontId="0" fillId="9" borderId="6" xfId="0" applyFill="1" applyBorder="1"/>
    <xf numFmtId="0" fontId="3" fillId="6" borderId="12" xfId="0" applyFont="1" applyFill="1" applyBorder="1"/>
    <xf numFmtId="0" fontId="0" fillId="9" borderId="14" xfId="0" applyFill="1" applyBorder="1"/>
    <xf numFmtId="3" fontId="0" fillId="5" borderId="6" xfId="0" applyNumberFormat="1" applyFill="1" applyBorder="1"/>
    <xf numFmtId="0" fontId="2" fillId="7" borderId="2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7" borderId="10" xfId="0" applyFont="1" applyFill="1" applyBorder="1" applyAlignment="1">
      <alignment horizontal="right" vertical="center"/>
    </xf>
    <xf numFmtId="0" fontId="6" fillId="7" borderId="11" xfId="0" applyFont="1" applyFill="1" applyBorder="1" applyAlignment="1">
      <alignment horizontal="right" vertical="center"/>
    </xf>
    <xf numFmtId="3" fontId="0" fillId="7" borderId="5" xfId="0" applyNumberFormat="1" applyFont="1" applyFill="1" applyBorder="1"/>
    <xf numFmtId="3" fontId="6" fillId="7" borderId="0" xfId="0" applyNumberFormat="1" applyFont="1" applyFill="1" applyBorder="1"/>
    <xf numFmtId="3" fontId="6" fillId="7" borderId="6" xfId="0" applyNumberFormat="1" applyFont="1" applyFill="1" applyBorder="1"/>
    <xf numFmtId="0" fontId="2" fillId="8" borderId="21" xfId="0" applyFont="1" applyFill="1" applyBorder="1" applyAlignment="1">
      <alignment horizontal="right" vertical="center"/>
    </xf>
    <xf numFmtId="3" fontId="0" fillId="8" borderId="22" xfId="0" applyNumberFormat="1" applyFont="1" applyFill="1" applyBorder="1"/>
    <xf numFmtId="14" fontId="0" fillId="2" borderId="10" xfId="0" applyNumberFormat="1" applyFill="1" applyBorder="1"/>
    <xf numFmtId="0" fontId="0" fillId="2" borderId="11" xfId="0" applyFill="1" applyBorder="1"/>
    <xf numFmtId="3" fontId="0" fillId="2" borderId="9" xfId="0" applyNumberFormat="1" applyFont="1" applyFill="1" applyBorder="1"/>
    <xf numFmtId="0" fontId="6" fillId="2" borderId="10" xfId="0" applyFont="1" applyFill="1" applyBorder="1"/>
    <xf numFmtId="3" fontId="6" fillId="2" borderId="10" xfId="0" applyNumberFormat="1" applyFont="1" applyFill="1" applyBorder="1"/>
    <xf numFmtId="3" fontId="6" fillId="2" borderId="11" xfId="0" applyNumberFormat="1" applyFont="1" applyFill="1" applyBorder="1"/>
    <xf numFmtId="3" fontId="0" fillId="2" borderId="21" xfId="0" applyNumberFormat="1" applyFill="1" applyBorder="1"/>
    <xf numFmtId="3" fontId="0" fillId="2" borderId="10" xfId="0" applyNumberFormat="1" applyFill="1" applyBorder="1"/>
    <xf numFmtId="0" fontId="5" fillId="2" borderId="21" xfId="0" applyFont="1" applyFill="1" applyBorder="1" applyAlignment="1">
      <alignment horizontal="center" vertical="center"/>
    </xf>
    <xf numFmtId="0" fontId="0" fillId="2" borderId="10" xfId="0" applyFill="1" applyBorder="1"/>
    <xf numFmtId="0" fontId="2" fillId="5" borderId="13" xfId="0" applyFont="1" applyFill="1" applyBorder="1" applyAlignment="1">
      <alignment horizontal="right" vertical="center"/>
    </xf>
    <xf numFmtId="0" fontId="0" fillId="5" borderId="0" xfId="0" applyFill="1"/>
    <xf numFmtId="0" fontId="2" fillId="12" borderId="15" xfId="0" applyFont="1" applyFill="1" applyBorder="1"/>
    <xf numFmtId="0" fontId="0" fillId="12" borderId="16" xfId="0" applyFill="1" applyBorder="1"/>
    <xf numFmtId="0" fontId="0" fillId="12" borderId="17" xfId="0" applyFill="1" applyBorder="1"/>
    <xf numFmtId="164" fontId="4" fillId="12" borderId="18" xfId="1" applyNumberFormat="1" applyFont="1" applyFill="1" applyBorder="1"/>
    <xf numFmtId="0" fontId="0" fillId="12" borderId="19" xfId="0" applyFill="1" applyBorder="1"/>
    <xf numFmtId="10" fontId="4" fillId="12" borderId="20" xfId="1" applyNumberFormat="1" applyFont="1" applyFill="1" applyBorder="1"/>
    <xf numFmtId="0" fontId="2" fillId="12" borderId="21" xfId="0" applyFont="1" applyFill="1" applyBorder="1" applyAlignment="1">
      <alignment horizontal="right" vertical="center"/>
    </xf>
    <xf numFmtId="3" fontId="0" fillId="12" borderId="22" xfId="0" applyNumberFormat="1" applyFill="1" applyBorder="1"/>
    <xf numFmtId="3" fontId="0" fillId="12" borderId="23" xfId="0" applyNumberFormat="1" applyFill="1" applyBorder="1"/>
    <xf numFmtId="0" fontId="0" fillId="9" borderId="0" xfId="0" applyFill="1" applyBorder="1"/>
    <xf numFmtId="10" fontId="0" fillId="9" borderId="0" xfId="0" applyNumberFormat="1" applyFill="1" applyBorder="1"/>
    <xf numFmtId="0" fontId="0" fillId="0" borderId="24" xfId="0" applyBorder="1"/>
    <xf numFmtId="0" fontId="5" fillId="0" borderId="24" xfId="0" applyFont="1" applyBorder="1" applyAlignment="1">
      <alignment horizontal="center" vertical="center" textRotation="255"/>
    </xf>
    <xf numFmtId="0" fontId="5" fillId="0" borderId="22" xfId="0" applyFont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17</xdr:row>
      <xdr:rowOff>45720</xdr:rowOff>
    </xdr:from>
    <xdr:to>
      <xdr:col>6</xdr:col>
      <xdr:colOff>541020</xdr:colOff>
      <xdr:row>21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F2D9CA-A375-438F-9BBA-4B46E2ED32A2}"/>
            </a:ext>
          </a:extLst>
        </xdr:cNvPr>
        <xdr:cNvCxnSpPr/>
      </xdr:nvCxnSpPr>
      <xdr:spPr>
        <a:xfrm>
          <a:off x="6667500" y="3169920"/>
          <a:ext cx="144780" cy="8458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B9CE-90A9-410D-86AB-509232F9F5C4}">
  <sheetPr codeName="Tabelle1"/>
  <dimension ref="A1:AF50"/>
  <sheetViews>
    <sheetView tabSelected="1" zoomScale="130" zoomScaleNormal="130" workbookViewId="0"/>
  </sheetViews>
  <sheetFormatPr defaultColWidth="11.5546875" defaultRowHeight="14.4" x14ac:dyDescent="0.3"/>
  <cols>
    <col min="1" max="1" width="2.21875" customWidth="1"/>
    <col min="2" max="2" width="32.109375" customWidth="1"/>
    <col min="3" max="3" width="7.44140625" customWidth="1"/>
    <col min="4" max="4" width="13" bestFit="1" customWidth="1"/>
    <col min="5" max="5" width="11.5546875" style="65"/>
    <col min="6" max="6" width="25.109375" style="65" customWidth="1"/>
    <col min="7" max="32" width="11.5546875" style="65"/>
  </cols>
  <sheetData>
    <row r="1" spans="1:7" s="65" customFormat="1" x14ac:dyDescent="0.3"/>
    <row r="2" spans="1:7" x14ac:dyDescent="0.3">
      <c r="A2" s="2"/>
      <c r="B2" s="3" t="s">
        <v>8</v>
      </c>
      <c r="C2" s="3"/>
      <c r="D2" s="4"/>
    </row>
    <row r="3" spans="1:7" x14ac:dyDescent="0.3">
      <c r="A3" s="5"/>
      <c r="B3" s="6"/>
      <c r="C3" s="6"/>
      <c r="D3" s="7"/>
    </row>
    <row r="4" spans="1:7" x14ac:dyDescent="0.3">
      <c r="A4" s="5"/>
      <c r="B4" s="6" t="s">
        <v>0</v>
      </c>
      <c r="C4" s="6"/>
      <c r="D4" s="8">
        <v>100000000</v>
      </c>
    </row>
    <row r="5" spans="1:7" x14ac:dyDescent="0.3">
      <c r="A5" s="5"/>
      <c r="B5" s="6" t="s">
        <v>1</v>
      </c>
      <c r="C5" s="9">
        <v>0.02</v>
      </c>
      <c r="D5" s="10">
        <f>D4*C5</f>
        <v>2000000</v>
      </c>
    </row>
    <row r="6" spans="1:7" x14ac:dyDescent="0.3">
      <c r="A6" s="5"/>
      <c r="B6" s="6" t="s">
        <v>2</v>
      </c>
      <c r="C6" s="9">
        <v>0.03</v>
      </c>
      <c r="D6" s="10">
        <f>D4*C6</f>
        <v>3000000</v>
      </c>
    </row>
    <row r="7" spans="1:7" x14ac:dyDescent="0.3">
      <c r="A7" s="5"/>
      <c r="B7" s="6" t="s">
        <v>3</v>
      </c>
      <c r="C7" s="6"/>
      <c r="D7" s="8">
        <v>250000</v>
      </c>
    </row>
    <row r="8" spans="1:7" ht="15" thickBot="1" x14ac:dyDescent="0.35">
      <c r="A8" s="11"/>
      <c r="B8" s="1" t="s">
        <v>4</v>
      </c>
      <c r="C8" s="1"/>
      <c r="D8" s="12">
        <f>SUM(D4:D7)</f>
        <v>105250000</v>
      </c>
    </row>
    <row r="9" spans="1:7" ht="15" thickTop="1" x14ac:dyDescent="0.3">
      <c r="A9" s="5"/>
      <c r="B9" s="6"/>
      <c r="C9" s="6"/>
      <c r="D9" s="7"/>
    </row>
    <row r="10" spans="1:7" x14ac:dyDescent="0.3">
      <c r="A10" s="5"/>
      <c r="B10" s="6" t="s">
        <v>5</v>
      </c>
      <c r="C10" s="9">
        <v>0.6</v>
      </c>
      <c r="D10" s="10">
        <f>D4*C10</f>
        <v>60000000</v>
      </c>
    </row>
    <row r="11" spans="1:7" x14ac:dyDescent="0.3">
      <c r="A11" s="5"/>
      <c r="B11" s="6" t="s">
        <v>39</v>
      </c>
      <c r="C11" s="6"/>
      <c r="D11" s="10">
        <f>D8-D10</f>
        <v>45250000</v>
      </c>
    </row>
    <row r="12" spans="1:7" x14ac:dyDescent="0.3">
      <c r="A12" s="13"/>
      <c r="B12" s="14" t="s">
        <v>6</v>
      </c>
      <c r="C12" s="14"/>
      <c r="D12" s="15">
        <f>SUM(D10:D11)</f>
        <v>105250000</v>
      </c>
    </row>
    <row r="13" spans="1:7" s="65" customFormat="1" x14ac:dyDescent="0.3"/>
    <row r="14" spans="1:7" x14ac:dyDescent="0.3">
      <c r="A14" s="16"/>
      <c r="B14" s="17" t="s">
        <v>7</v>
      </c>
      <c r="C14" s="18"/>
      <c r="D14" s="19"/>
    </row>
    <row r="15" spans="1:7" x14ac:dyDescent="0.3">
      <c r="A15" s="20"/>
      <c r="B15" s="62"/>
      <c r="C15" s="21"/>
      <c r="D15" s="22"/>
      <c r="F15" s="73" t="s">
        <v>40</v>
      </c>
      <c r="G15" s="74"/>
    </row>
    <row r="16" spans="1:7" x14ac:dyDescent="0.3">
      <c r="A16" s="20"/>
      <c r="B16" s="21" t="s">
        <v>24</v>
      </c>
      <c r="C16" s="21"/>
      <c r="D16" s="63">
        <v>44197</v>
      </c>
      <c r="F16" s="75" t="s">
        <v>41</v>
      </c>
      <c r="G16" s="76"/>
    </row>
    <row r="17" spans="1:7" x14ac:dyDescent="0.3">
      <c r="A17" s="20"/>
      <c r="B17" s="21" t="s">
        <v>9</v>
      </c>
      <c r="C17" s="21">
        <f>D4/D17</f>
        <v>25</v>
      </c>
      <c r="D17" s="8">
        <v>4000000</v>
      </c>
      <c r="F17" s="77" t="s">
        <v>42</v>
      </c>
      <c r="G17" s="78" t="s">
        <v>43</v>
      </c>
    </row>
    <row r="18" spans="1:7" x14ac:dyDescent="0.3">
      <c r="A18" s="20"/>
      <c r="B18" s="21" t="s">
        <v>10</v>
      </c>
      <c r="C18" s="21"/>
      <c r="D18" s="23">
        <v>20</v>
      </c>
    </row>
    <row r="19" spans="1:7" x14ac:dyDescent="0.3">
      <c r="A19" s="20"/>
      <c r="B19" s="21" t="s">
        <v>11</v>
      </c>
      <c r="C19" s="21"/>
      <c r="D19" s="24" t="s">
        <v>12</v>
      </c>
    </row>
    <row r="20" spans="1:7" x14ac:dyDescent="0.3">
      <c r="A20" s="20"/>
      <c r="B20" s="21" t="s">
        <v>13</v>
      </c>
      <c r="C20" s="21"/>
      <c r="D20" s="55">
        <v>2.5000000000000001E-2</v>
      </c>
    </row>
    <row r="21" spans="1:7" x14ac:dyDescent="0.3">
      <c r="A21" s="25"/>
      <c r="B21" s="26"/>
      <c r="C21" s="26"/>
      <c r="D21" s="56"/>
    </row>
    <row r="22" spans="1:7" s="65" customFormat="1" ht="15" thickBot="1" x14ac:dyDescent="0.35"/>
    <row r="23" spans="1:7" x14ac:dyDescent="0.3">
      <c r="A23" s="27"/>
      <c r="B23" s="28" t="s">
        <v>14</v>
      </c>
      <c r="C23" s="29"/>
      <c r="D23" s="30"/>
      <c r="F23" s="101" t="s">
        <v>34</v>
      </c>
      <c r="G23" s="102"/>
    </row>
    <row r="24" spans="1:7" x14ac:dyDescent="0.3">
      <c r="A24" s="31"/>
      <c r="B24" s="32" t="s">
        <v>29</v>
      </c>
      <c r="C24" s="32"/>
      <c r="D24" s="64">
        <v>47848</v>
      </c>
      <c r="F24" s="103" t="s">
        <v>33</v>
      </c>
      <c r="G24" s="104">
        <f>SUM(Calc!J3:J13)/-Calc!J2</f>
        <v>2.08259459669125</v>
      </c>
    </row>
    <row r="25" spans="1:7" ht="15" thickBot="1" x14ac:dyDescent="0.35">
      <c r="A25" s="31"/>
      <c r="B25" s="32" t="s">
        <v>15</v>
      </c>
      <c r="C25" s="32"/>
      <c r="D25" s="57">
        <v>25</v>
      </c>
      <c r="F25" s="105" t="s">
        <v>37</v>
      </c>
      <c r="G25" s="106">
        <f>XIRR(Calc!J2:J13,Calc!A2:A13)</f>
        <v>8.0664619803428678E-2</v>
      </c>
    </row>
    <row r="26" spans="1:7" x14ac:dyDescent="0.3">
      <c r="A26" s="31"/>
      <c r="B26" s="32"/>
      <c r="C26" s="32"/>
      <c r="D26" s="79"/>
    </row>
    <row r="27" spans="1:7" x14ac:dyDescent="0.3">
      <c r="A27" s="33"/>
      <c r="B27" s="34"/>
      <c r="C27" s="34"/>
      <c r="D27" s="58"/>
    </row>
    <row r="28" spans="1:7" s="65" customFormat="1" x14ac:dyDescent="0.3"/>
    <row r="29" spans="1:7" x14ac:dyDescent="0.3">
      <c r="A29" s="35"/>
      <c r="B29" s="36" t="s">
        <v>16</v>
      </c>
      <c r="C29" s="37"/>
      <c r="D29" s="38"/>
    </row>
    <row r="30" spans="1:7" x14ac:dyDescent="0.3">
      <c r="A30" s="39"/>
      <c r="B30" s="40"/>
      <c r="C30" s="40"/>
      <c r="D30" s="41"/>
    </row>
    <row r="31" spans="1:7" x14ac:dyDescent="0.3">
      <c r="A31" s="39"/>
      <c r="B31" s="40" t="s">
        <v>17</v>
      </c>
      <c r="C31" s="40"/>
      <c r="D31" s="42">
        <f>D10</f>
        <v>60000000</v>
      </c>
    </row>
    <row r="32" spans="1:7" x14ac:dyDescent="0.3">
      <c r="A32" s="39"/>
      <c r="B32" s="40" t="s">
        <v>21</v>
      </c>
      <c r="C32" s="40"/>
      <c r="D32" s="23">
        <v>10</v>
      </c>
    </row>
    <row r="33" spans="1:4" x14ac:dyDescent="0.3">
      <c r="A33" s="39"/>
      <c r="B33" s="40" t="s">
        <v>18</v>
      </c>
      <c r="C33" s="40"/>
      <c r="D33" s="8">
        <v>45000000</v>
      </c>
    </row>
    <row r="34" spans="1:4" x14ac:dyDescent="0.3">
      <c r="A34" s="39"/>
      <c r="B34" s="40" t="s">
        <v>19</v>
      </c>
      <c r="C34" s="40"/>
      <c r="D34" s="54">
        <v>0.03</v>
      </c>
    </row>
    <row r="35" spans="1:4" x14ac:dyDescent="0.3">
      <c r="A35" s="39"/>
      <c r="B35" s="40" t="s">
        <v>20</v>
      </c>
      <c r="C35" s="40"/>
      <c r="D35" s="42">
        <f>PMT(D34,D32,-D31,D33)</f>
        <v>3108457.5990773938</v>
      </c>
    </row>
    <row r="36" spans="1:4" x14ac:dyDescent="0.3">
      <c r="A36" s="43"/>
      <c r="B36" s="44"/>
      <c r="C36" s="44"/>
      <c r="D36" s="59"/>
    </row>
    <row r="37" spans="1:4" s="65" customFormat="1" x14ac:dyDescent="0.3"/>
    <row r="38" spans="1:4" x14ac:dyDescent="0.3">
      <c r="A38" s="45"/>
      <c r="B38" s="46" t="s">
        <v>22</v>
      </c>
      <c r="C38" s="47"/>
      <c r="D38" s="48"/>
    </row>
    <row r="39" spans="1:4" x14ac:dyDescent="0.3">
      <c r="A39" s="49"/>
      <c r="B39" s="50"/>
      <c r="C39" s="50"/>
      <c r="D39" s="51"/>
    </row>
    <row r="40" spans="1:4" x14ac:dyDescent="0.3">
      <c r="A40" s="49"/>
      <c r="B40" s="50" t="s">
        <v>23</v>
      </c>
      <c r="C40" s="50"/>
      <c r="D40" s="60">
        <v>250000</v>
      </c>
    </row>
    <row r="41" spans="1:4" x14ac:dyDescent="0.3">
      <c r="A41" s="52"/>
      <c r="B41" s="53"/>
      <c r="C41" s="53"/>
      <c r="D41" s="61"/>
    </row>
    <row r="42" spans="1:4" s="65" customFormat="1" x14ac:dyDescent="0.3"/>
    <row r="43" spans="1:4" s="65" customFormat="1" x14ac:dyDescent="0.3"/>
    <row r="44" spans="1:4" s="65" customFormat="1" x14ac:dyDescent="0.3"/>
    <row r="45" spans="1:4" s="65" customFormat="1" x14ac:dyDescent="0.3"/>
    <row r="46" spans="1:4" s="65" customFormat="1" x14ac:dyDescent="0.3"/>
    <row r="47" spans="1:4" s="65" customFormat="1" x14ac:dyDescent="0.3"/>
    <row r="48" spans="1:4" s="65" customFormat="1" x14ac:dyDescent="0.3"/>
    <row r="49" s="65" customFormat="1" x14ac:dyDescent="0.3"/>
    <row r="50" s="65" customFormat="1" x14ac:dyDescent="0.3"/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9526-F77D-4B0A-8BF8-9352F1F3B38E}">
  <sheetPr codeName="Tabelle2"/>
  <dimension ref="A1:K25"/>
  <sheetViews>
    <sheetView zoomScale="140" zoomScaleNormal="140" workbookViewId="0"/>
  </sheetViews>
  <sheetFormatPr defaultColWidth="11.5546875" defaultRowHeight="14.4" x14ac:dyDescent="0.3"/>
  <cols>
    <col min="1" max="1" width="12.77734375" style="65" customWidth="1"/>
    <col min="2" max="3" width="11.5546875" style="65"/>
    <col min="4" max="7" width="19.5546875" style="65" customWidth="1"/>
    <col min="8" max="8" width="19" style="65" customWidth="1"/>
    <col min="9" max="9" width="16.88671875" style="65" customWidth="1"/>
    <col min="10" max="10" width="20.109375" style="65" customWidth="1"/>
    <col min="11" max="16384" width="11.5546875" style="65"/>
  </cols>
  <sheetData>
    <row r="1" spans="1:11" x14ac:dyDescent="0.3">
      <c r="A1" s="66" t="s">
        <v>25</v>
      </c>
      <c r="B1" s="68" t="s">
        <v>12</v>
      </c>
      <c r="C1" s="69" t="s">
        <v>26</v>
      </c>
      <c r="D1" s="80" t="s">
        <v>44</v>
      </c>
      <c r="E1" s="81" t="s">
        <v>28</v>
      </c>
      <c r="F1" s="82" t="s">
        <v>30</v>
      </c>
      <c r="G1" s="83" t="s">
        <v>31</v>
      </c>
      <c r="H1" s="87" t="s">
        <v>27</v>
      </c>
      <c r="I1" s="99" t="s">
        <v>38</v>
      </c>
      <c r="J1" s="107" t="s">
        <v>32</v>
      </c>
      <c r="K1" s="112"/>
    </row>
    <row r="2" spans="1:11" x14ac:dyDescent="0.3">
      <c r="A2" s="89">
        <f>Input!D16</f>
        <v>44197</v>
      </c>
      <c r="B2" s="13"/>
      <c r="C2" s="90"/>
      <c r="D2" s="91">
        <f>Input!D31</f>
        <v>60000000</v>
      </c>
      <c r="E2" s="92"/>
      <c r="F2" s="93"/>
      <c r="G2" s="94">
        <f>Input!D31</f>
        <v>60000000</v>
      </c>
      <c r="H2" s="95">
        <f>-(Input!D5+Input!D6+Input!D7)</f>
        <v>-5250000</v>
      </c>
      <c r="I2" s="96">
        <f>-Input!D4</f>
        <v>-100000000</v>
      </c>
      <c r="J2" s="95">
        <f>C2+D2+H2+I2</f>
        <v>-45250000</v>
      </c>
      <c r="K2" s="97" t="s">
        <v>35</v>
      </c>
    </row>
    <row r="3" spans="1:11" x14ac:dyDescent="0.3">
      <c r="A3" s="67">
        <v>44561</v>
      </c>
      <c r="B3" s="72">
        <f>Input!$D$20</f>
        <v>2.5000000000000001E-2</v>
      </c>
      <c r="C3" s="70">
        <f>Input!D17</f>
        <v>4000000</v>
      </c>
      <c r="D3" s="84">
        <f>-Input!$D$35</f>
        <v>-3108457.5990773938</v>
      </c>
      <c r="E3" s="85">
        <f>-G2*Input!$D$34</f>
        <v>-1800000</v>
      </c>
      <c r="F3" s="85">
        <f t="shared" ref="F3:F12" si="0">D3-E3</f>
        <v>-1308457.5990773938</v>
      </c>
      <c r="G3" s="86">
        <f t="shared" ref="G3:G13" si="1">G2+F3</f>
        <v>58691542.400922604</v>
      </c>
      <c r="H3" s="88">
        <f>-Input!$D$40</f>
        <v>-250000</v>
      </c>
      <c r="I3" s="100"/>
      <c r="J3" s="108">
        <f t="shared" ref="J3:J13" si="2">MAX(0, C3+D3+H3+I3)</f>
        <v>641542.40092260623</v>
      </c>
      <c r="K3" s="113" t="s">
        <v>36</v>
      </c>
    </row>
    <row r="4" spans="1:11" x14ac:dyDescent="0.3">
      <c r="A4" s="67">
        <f t="shared" ref="A4:A12" si="3">EDATE(A3,12)</f>
        <v>44926</v>
      </c>
      <c r="B4" s="72">
        <f>Input!$D$20</f>
        <v>2.5000000000000001E-2</v>
      </c>
      <c r="C4" s="70">
        <f>C3*(1+B3)</f>
        <v>4099999.9999999995</v>
      </c>
      <c r="D4" s="84">
        <f>-Input!$D$35</f>
        <v>-3108457.5990773938</v>
      </c>
      <c r="E4" s="85">
        <f>-G3*Input!$D$34</f>
        <v>-1760746.2720276781</v>
      </c>
      <c r="F4" s="85">
        <f t="shared" si="0"/>
        <v>-1347711.3270497157</v>
      </c>
      <c r="G4" s="86">
        <f t="shared" si="1"/>
        <v>57343831.073872887</v>
      </c>
      <c r="H4" s="88">
        <f>-Input!$D$40</f>
        <v>-250000</v>
      </c>
      <c r="I4" s="100"/>
      <c r="J4" s="108">
        <f t="shared" si="2"/>
        <v>741542.40092260577</v>
      </c>
      <c r="K4" s="114"/>
    </row>
    <row r="5" spans="1:11" x14ac:dyDescent="0.3">
      <c r="A5" s="67">
        <f t="shared" si="3"/>
        <v>45291</v>
      </c>
      <c r="B5" s="72">
        <f>Input!$D$20</f>
        <v>2.5000000000000001E-2</v>
      </c>
      <c r="C5" s="70">
        <f t="shared" ref="C5:C12" si="4">C4*(1+B4)</f>
        <v>4202499.9999999991</v>
      </c>
      <c r="D5" s="84">
        <f>-Input!$D$35</f>
        <v>-3108457.5990773938</v>
      </c>
      <c r="E5" s="85">
        <f>-G4*Input!$D$34</f>
        <v>-1720314.9322161865</v>
      </c>
      <c r="F5" s="85">
        <f t="shared" si="0"/>
        <v>-1388142.6668612072</v>
      </c>
      <c r="G5" s="86">
        <f t="shared" si="1"/>
        <v>55955688.40701168</v>
      </c>
      <c r="H5" s="88">
        <f>-Input!$D$40</f>
        <v>-250000</v>
      </c>
      <c r="I5" s="100"/>
      <c r="J5" s="108">
        <f t="shared" si="2"/>
        <v>844042.4009226053</v>
      </c>
      <c r="K5" s="114"/>
    </row>
    <row r="6" spans="1:11" x14ac:dyDescent="0.3">
      <c r="A6" s="67">
        <f t="shared" si="3"/>
        <v>45657</v>
      </c>
      <c r="B6" s="72">
        <f>Input!$D$20</f>
        <v>2.5000000000000001E-2</v>
      </c>
      <c r="C6" s="70">
        <f t="shared" si="4"/>
        <v>4307562.4999999991</v>
      </c>
      <c r="D6" s="84">
        <f>-Input!$D$35</f>
        <v>-3108457.5990773938</v>
      </c>
      <c r="E6" s="85">
        <f>-G5*Input!$D$34</f>
        <v>-1678670.6522103504</v>
      </c>
      <c r="F6" s="85">
        <f t="shared" si="0"/>
        <v>-1429786.9468670434</v>
      </c>
      <c r="G6" s="86">
        <f t="shared" si="1"/>
        <v>54525901.460144639</v>
      </c>
      <c r="H6" s="88">
        <f>-Input!$D$40</f>
        <v>-250000</v>
      </c>
      <c r="I6" s="100"/>
      <c r="J6" s="108">
        <f t="shared" si="2"/>
        <v>949104.9009226053</v>
      </c>
      <c r="K6" s="114"/>
    </row>
    <row r="7" spans="1:11" x14ac:dyDescent="0.3">
      <c r="A7" s="67">
        <f t="shared" si="3"/>
        <v>46022</v>
      </c>
      <c r="B7" s="72">
        <f>Input!$D$20</f>
        <v>2.5000000000000001E-2</v>
      </c>
      <c r="C7" s="70">
        <f t="shared" si="4"/>
        <v>4415251.5624999991</v>
      </c>
      <c r="D7" s="84">
        <f>-Input!$D$35</f>
        <v>-3108457.5990773938</v>
      </c>
      <c r="E7" s="85">
        <f>-G6*Input!$D$34</f>
        <v>-1635777.0438043391</v>
      </c>
      <c r="F7" s="85">
        <f t="shared" si="0"/>
        <v>-1472680.5552730546</v>
      </c>
      <c r="G7" s="86">
        <f t="shared" si="1"/>
        <v>53053220.904871583</v>
      </c>
      <c r="H7" s="88">
        <f>-Input!$D$40</f>
        <v>-250000</v>
      </c>
      <c r="I7" s="100"/>
      <c r="J7" s="108">
        <f t="shared" si="2"/>
        <v>1056793.9634226053</v>
      </c>
      <c r="K7" s="114"/>
    </row>
    <row r="8" spans="1:11" x14ac:dyDescent="0.3">
      <c r="A8" s="67">
        <f t="shared" si="3"/>
        <v>46387</v>
      </c>
      <c r="B8" s="72">
        <f>Input!$D$20</f>
        <v>2.5000000000000001E-2</v>
      </c>
      <c r="C8" s="70">
        <f t="shared" si="4"/>
        <v>4525632.8515624991</v>
      </c>
      <c r="D8" s="84">
        <f>-Input!$D$35</f>
        <v>-3108457.5990773938</v>
      </c>
      <c r="E8" s="85">
        <f>-G7*Input!$D$34</f>
        <v>-1591596.6271461474</v>
      </c>
      <c r="F8" s="85">
        <f t="shared" si="0"/>
        <v>-1516860.9719312463</v>
      </c>
      <c r="G8" s="86">
        <f t="shared" si="1"/>
        <v>51536359.932940334</v>
      </c>
      <c r="H8" s="88">
        <f>-Input!$D$40</f>
        <v>-250000</v>
      </c>
      <c r="I8" s="100"/>
      <c r="J8" s="108">
        <f t="shared" si="2"/>
        <v>1167175.2524851053</v>
      </c>
      <c r="K8" s="114"/>
    </row>
    <row r="9" spans="1:11" x14ac:dyDescent="0.3">
      <c r="A9" s="67">
        <f t="shared" si="3"/>
        <v>46752</v>
      </c>
      <c r="B9" s="72">
        <f>Input!$D$20</f>
        <v>2.5000000000000001E-2</v>
      </c>
      <c r="C9" s="70">
        <f t="shared" si="4"/>
        <v>4638773.6728515616</v>
      </c>
      <c r="D9" s="84">
        <f>-Input!$D$35</f>
        <v>-3108457.5990773938</v>
      </c>
      <c r="E9" s="85">
        <f>-G8*Input!$D$34</f>
        <v>-1546090.7979882099</v>
      </c>
      <c r="F9" s="85">
        <f t="shared" si="0"/>
        <v>-1562366.8010891839</v>
      </c>
      <c r="G9" s="86">
        <f t="shared" si="1"/>
        <v>49973993.131851152</v>
      </c>
      <c r="H9" s="88">
        <f>-Input!$D$40</f>
        <v>-250000</v>
      </c>
      <c r="I9" s="100"/>
      <c r="J9" s="108">
        <f t="shared" si="2"/>
        <v>1280316.0737741678</v>
      </c>
      <c r="K9" s="114"/>
    </row>
    <row r="10" spans="1:11" x14ac:dyDescent="0.3">
      <c r="A10" s="67">
        <f t="shared" si="3"/>
        <v>47118</v>
      </c>
      <c r="B10" s="72">
        <f>Input!$D$20</f>
        <v>2.5000000000000001E-2</v>
      </c>
      <c r="C10" s="70">
        <f t="shared" si="4"/>
        <v>4754743.0146728503</v>
      </c>
      <c r="D10" s="84">
        <f>-Input!$D$35</f>
        <v>-3108457.5990773938</v>
      </c>
      <c r="E10" s="85">
        <f>-G9*Input!$D$34</f>
        <v>-1499219.7939555345</v>
      </c>
      <c r="F10" s="85">
        <f t="shared" si="0"/>
        <v>-1609237.8051218593</v>
      </c>
      <c r="G10" s="86">
        <f t="shared" si="1"/>
        <v>48364755.32672929</v>
      </c>
      <c r="H10" s="88">
        <f>-Input!$D$40</f>
        <v>-250000</v>
      </c>
      <c r="I10" s="100"/>
      <c r="J10" s="108">
        <f t="shared" si="2"/>
        <v>1396285.4155954565</v>
      </c>
      <c r="K10" s="114"/>
    </row>
    <row r="11" spans="1:11" x14ac:dyDescent="0.3">
      <c r="A11" s="67">
        <f t="shared" si="3"/>
        <v>47483</v>
      </c>
      <c r="B11" s="72">
        <f>Input!$D$20</f>
        <v>2.5000000000000001E-2</v>
      </c>
      <c r="C11" s="70">
        <f t="shared" si="4"/>
        <v>4873611.5900396714</v>
      </c>
      <c r="D11" s="84">
        <f>-Input!$D$35</f>
        <v>-3108457.5990773938</v>
      </c>
      <c r="E11" s="85">
        <f>-G10*Input!$D$34</f>
        <v>-1450942.6598018787</v>
      </c>
      <c r="F11" s="85">
        <f t="shared" si="0"/>
        <v>-1657514.939275515</v>
      </c>
      <c r="G11" s="86">
        <f t="shared" si="1"/>
        <v>46707240.387453772</v>
      </c>
      <c r="H11" s="88">
        <f>-Input!$D$40</f>
        <v>-250000</v>
      </c>
      <c r="I11" s="100"/>
      <c r="J11" s="108">
        <f t="shared" si="2"/>
        <v>1515153.9909622776</v>
      </c>
      <c r="K11" s="114"/>
    </row>
    <row r="12" spans="1:11" x14ac:dyDescent="0.3">
      <c r="A12" s="67">
        <f t="shared" si="3"/>
        <v>47848</v>
      </c>
      <c r="B12" s="72">
        <f>Input!$D$20</f>
        <v>2.5000000000000001E-2</v>
      </c>
      <c r="C12" s="71">
        <f t="shared" si="4"/>
        <v>4995451.8797906628</v>
      </c>
      <c r="D12" s="84">
        <f>-Input!$D$35</f>
        <v>-3108457.5990773938</v>
      </c>
      <c r="E12" s="85">
        <f>-G11*Input!$D$34</f>
        <v>-1401217.211623613</v>
      </c>
      <c r="F12" s="85">
        <f t="shared" si="0"/>
        <v>-1707240.3874537807</v>
      </c>
      <c r="G12" s="86">
        <f t="shared" si="1"/>
        <v>44999999.999999993</v>
      </c>
      <c r="H12" s="88">
        <f>-Input!$D$40</f>
        <v>-250000</v>
      </c>
      <c r="I12" s="100"/>
      <c r="J12" s="109">
        <f t="shared" si="2"/>
        <v>1636994.280713269</v>
      </c>
      <c r="K12" s="115"/>
    </row>
    <row r="13" spans="1:11" x14ac:dyDescent="0.3">
      <c r="A13" s="89">
        <f>Input!D24</f>
        <v>47848</v>
      </c>
      <c r="B13" s="98"/>
      <c r="C13" s="98"/>
      <c r="D13" s="91">
        <f>F13</f>
        <v>-44999999.999999993</v>
      </c>
      <c r="E13" s="92"/>
      <c r="F13" s="93">
        <f>-MIN(G12, I13)</f>
        <v>-44999999.999999993</v>
      </c>
      <c r="G13" s="94">
        <f t="shared" si="1"/>
        <v>0</v>
      </c>
      <c r="H13" s="95"/>
      <c r="I13" s="95">
        <f>C12*(1+B12)*Input!D25</f>
        <v>128008454.41963573</v>
      </c>
      <c r="J13" s="95">
        <f t="shared" si="2"/>
        <v>83008454.419635743</v>
      </c>
      <c r="K13" s="97" t="s">
        <v>14</v>
      </c>
    </row>
    <row r="15" spans="1:11" x14ac:dyDescent="0.3">
      <c r="B15" s="110"/>
    </row>
    <row r="16" spans="1:11" x14ac:dyDescent="0.3">
      <c r="B16" s="110"/>
    </row>
    <row r="17" spans="2:2" x14ac:dyDescent="0.3">
      <c r="B17" s="110"/>
    </row>
    <row r="18" spans="2:2" x14ac:dyDescent="0.3">
      <c r="B18" s="110"/>
    </row>
    <row r="19" spans="2:2" x14ac:dyDescent="0.3">
      <c r="B19" s="110"/>
    </row>
    <row r="20" spans="2:2" x14ac:dyDescent="0.3">
      <c r="B20" s="110"/>
    </row>
    <row r="21" spans="2:2" x14ac:dyDescent="0.3">
      <c r="B21" s="111"/>
    </row>
    <row r="22" spans="2:2" x14ac:dyDescent="0.3">
      <c r="B22" s="110"/>
    </row>
    <row r="23" spans="2:2" x14ac:dyDescent="0.3">
      <c r="B23" s="110"/>
    </row>
    <row r="24" spans="2:2" x14ac:dyDescent="0.3">
      <c r="B24" s="110"/>
    </row>
    <row r="25" spans="2:2" x14ac:dyDescent="0.3">
      <c r="B25" s="110"/>
    </row>
  </sheetData>
  <mergeCells count="1">
    <mergeCell ref="K3:K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Calc</vt:lpstr>
      <vt:lpstr>cell</vt:lpstr>
      <vt:lpstr>cost</vt:lpstr>
      <vt:lpstr>cpi</vt:lpstr>
      <vt:lpstr>performance</vt:lpstr>
      <vt:lpstr>ppf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hagma_w</cp:lastModifiedBy>
  <dcterms:created xsi:type="dcterms:W3CDTF">2020-06-02T11:06:28Z</dcterms:created>
  <dcterms:modified xsi:type="dcterms:W3CDTF">2020-07-16T14:40:36Z</dcterms:modified>
</cp:coreProperties>
</file>