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6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Assumptions" sheetId="3" state="visible" r:id="rId5"/>
    <sheet name="Unit_Economics" sheetId="4" state="visible" r:id="rId6"/>
    <sheet name="3yr_Scenarios" sheetId="5" state="visible" r:id="rId7"/>
    <sheet name="BM_Unit_Economics" sheetId="6" state="visible" r:id="rId8"/>
    <sheet name="Payback_IRR" sheetId="7" state="visible" r:id="rId9"/>
    <sheet name="Capacity" sheetId="8" state="visible" r:id="rId10"/>
    <sheet name="Sensitivity" sheetId="9" state="visible" r:id="rId11"/>
    <sheet name="Outlook_Conservative" sheetId="10" state="visible" r:id="rId12"/>
    <sheet name="Outlook_Base" sheetId="11" state="visible" r:id="rId13"/>
    <sheet name="Outlook_Aggressive" sheetId="12" state="visible" r:id="rId14"/>
    <sheet name="Outlook_Selected" sheetId="13" state="visible" r:id="rId15"/>
    <sheet name="Plan10L_BaseRates" sheetId="14" state="visible" r:id="rId16"/>
    <sheet name="Plan50L_BaseRates" sheetId="15" state="visible" r:id="rId17"/>
    <sheet name="Staged_G1M9" sheetId="16" state="visible" r:id="rId18"/>
    <sheet name="Staged_G1M6" sheetId="17" state="visible" r:id="rId19"/>
    <sheet name="Staged_Cons" sheetId="18" state="visible" r:id="rId20"/>
    <sheet name="Staged_Cons_CutM5" sheetId="19" state="visible" r:id="rId21"/>
    <sheet name="Staged_Cons_CutM5_Deep" sheetId="20" state="visible" r:id="rId22"/>
    <sheet name="Staged_Cons_CutM10" sheetId="21" state="visible" r:id="rId23"/>
    <sheet name="Staged_FalsePos" sheetId="22" state="visible" r:id="rId24"/>
    <sheet name="Staged_FalsePos_M6" sheetId="23" state="visible" r:id="rId25"/>
    <sheet name="Base_TwoStep" sheetId="24" state="visible" r:id="rId26"/>
    <sheet name="Conservative_TwoStep" sheetId="25" state="visible" r:id="rId27"/>
    <sheet name="Base_Founder40" sheetId="26" state="visible" r:id="rId28"/>
    <sheet name="Flex_conv_lo" sheetId="27" state="visible" r:id="rId29"/>
    <sheet name="Flex_conv_hi" sheetId="28" state="visible" r:id="rId30"/>
    <sheet name="Flex_fee_lo" sheetId="29" state="visible" r:id="rId31"/>
    <sheet name="Flex_fee_hi" sheetId="30" state="visible" r:id="rId32"/>
    <sheet name="Flex_fill_lo" sheetId="31" state="visible" r:id="rId33"/>
    <sheet name="Flex_fill_hi" sheetId="32" state="visible" r:id="rId34"/>
    <sheet name="Flex_cpl_lo" sheetId="33" state="visible" r:id="rId35"/>
    <sheet name="Flex_cpl_hi" sheetId="34" state="visible" r:id="rId36"/>
    <sheet name="Flex_var_lo" sheetId="35" state="visible" r:id="rId37"/>
    <sheet name="Flex_var_hi" sheetId="36" state="visible" r:id="rId38"/>
    <sheet name="Flex_rent_lo" sheetId="37" state="visible" r:id="rId39"/>
    <sheet name="Flex_rent_hi" sheetId="38" state="visible" r:id="rId40"/>
    <sheet name="Flex_budget_lo" sheetId="39" state="visible" r:id="rId41"/>
    <sheet name="Flex_budget_hi" sheetId="40" state="visible" r:id="rId42"/>
    <sheet name="Flex_gst_ontop" sheetId="41" state="visible" r:id="rId43"/>
    <sheet name="Flex_pr1_10" sheetId="42" state="visible" r:id="rId44"/>
    <sheet name="Flex_pr1_20" sheetId="43" state="visible" r:id="rId45"/>
    <sheet name="Flex_npe_flat" sheetId="44" state="visible" r:id="rId46"/>
    <sheet name="Flex_mc_half" sheetId="45" state="visible" r:id="rId47"/>
    <sheet name="Flex_lead75k" sheetId="46" state="visible" r:id="rId48"/>
    <sheet name="Checks" sheetId="47" state="visible" r:id="rId4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<sst xmlns="http://schemas.openxmlformats.org/spreadsheetml/2006/main" count="11993" uniqueCount="1697">
  <si>
    <t xml:space="preserve">PNA business forecast - unit economics, 12-month outlook, 3-year scenarios, business-model economics, sensitivity, downside and payback</t>
  </si>
  <si>
    <t xml:space="preserve">Economics &amp; Market Sizing agent, 2026-10-16 (Gate E revision). Build script: economics/build_scripts/build_business_forecast.py (run via run_all.py).</t>
  </si>
  <si>
    <t xml:space="preserve">Status</t>
  </si>
  <si>
    <t xml:space="preserve">Illustrative, assumption-driven planning model. PNA's actual revenue, fees, costs and enrolments are NOT known; the baseline is CA-01 (&lt;60 students, base 50) x assumed fees (CA-02).</t>
  </si>
  <si>
    <t xml:space="preserve">Primary view</t>
  </si>
  <si>
    <t xml:space="preserve">PLANNING CASE = Staged_G1M9 (Staged Plan, G1 at M9 = Jul 2027, move/T2/price step 1 at M10, two-step price, founder ≤40% at M12, Admissions &amp; Operations Lead from M1, second trainer from M10, Destination pilot M10-M11, media per marketing_channel_plan.md §3.2 = ₹7.0L). Staged_G1M6 is the upside. The tornado (Sensitivity, Flex_*) runs on the planning case.</t>
  </si>
  <si>
    <t xml:space="preserve">Downside</t>
  </si>
  <si>
    <t xml:space="preserve">Staged_Cons (T1 team at Conservative rates, G1 not passed; no cut / cut at M5 / cut at M10) and Staged_FalsePos (T2 released on a false-positive G1; demand x0.6 from G1+1; KT-5 price reversion; stop-loss exit with 3 months' rent notice + 1 month salaries; G1 M9 and G1 M6 timings).</t>
  </si>
  <si>
    <t xml:space="preserve">Scenarios</t>
  </si>
  <si>
    <t xml:space="preserve">Conservative = adverse rates + ₹10L plan; Base = base rates + ₹30L plan; Aggressive = favourable rates + ₹50L plan. Rates vs plan are typed in Assumptions column J; Plan10L_BaseRates and Plan50L_BaseRates isolate the envelope choice (BM stress test 7). A stop-loss cut switches the plan index to 1 (₹10L-plan cost base) month by month (row 'Plan index in force').</t>
  </si>
  <si>
    <t xml:space="preserve">Alignment</t>
  </si>
  <si>
    <t xml:space="preserve">Growth agent: ladder L1-L5, A-GRO-01..50, paid-media ramp and team lines (growth_marketing_strategy.md §10). BM agent: realised L3 fee A-BM-02 (₹65k/80k/1.0L), batch cap 12, trainer pay A-BM-04, founder path A-BM-10, pop-ups A-BM-06, gates G0-G3b.</t>
  </si>
  <si>
    <t xml:space="preserve">Price</t>
  </si>
  <si>
    <t xml:space="preserve">Two-step path in Staged runs: today's fee CA-02 (kit included) until G1+1, then ₹75k list (A-ECO-160) x realisation, then ₹90k list (A-GRO-06) at A-ECO-106 (M16). Unstaged bundles use the single step at A-ECO-104.</t>
  </si>
  <si>
    <t xml:space="preserve">Enrolment engine</t>
  </si>
  <si>
    <t xml:space="preserve">Career demand = seasonality x [today's organic/referral engine (CA-01) + new non-paid enrolments x SLA factor + MIN(paid-route target, budget x career share / effective paid CAC x SLA factor)], then limited by seat capacity. Effective CAC = funnel paid-route CAC x A-ECO-51 (2.42 at Base), a calibration so the Base ₹1.0L budget buys the Base paid target (6/month): the two workbooks agree by construction, not evidence.</t>
  </si>
  <si>
    <t xml:space="preserve">GST</t>
  </si>
  <si>
    <t xml:space="preserve">18% GST on private non-recognised training (A-ECO-23, GST Council flyer). Base assumes quoted fees include GST (revenue = fee/1.18); Flex_gst_ontop shows charging it on top.</t>
  </si>
  <si>
    <t xml:space="preserve">Cash</t>
  </si>
  <si>
    <t xml:space="preserve">Net cash flow = EBITDA + instalment timing (A-ECO-34) - capex/deposits. Excludes income tax, GST input/output timing and any founder draw. Peak cash need is compared with the plan envelope (CA-03). Payback_IRR extends the planning case to 60 months (Y4-Y5 flat at Y3).</t>
  </si>
  <si>
    <t xml:space="preserve">Sheets</t>
  </si>
  <si>
    <t xml:space="preserve">Dashboard ; Assumptions ; Unit_Economics ; Capacity ; 3yr_Scenarios (9 groups) ; Sensitivity ; Payback_IRR ; BM_Unit_Economics ; Outlook_* (x3 scenarios + Selected + 2 cross runs) ; Staged_* (planning case, upside, 5 downside runs) ; Base_TwoStep ; Conservative_TwoStep ; Base_Founder40 ; Flex_* (sensitivity re-runs on the planning case) ; Checks</t>
  </si>
  <si>
    <t xml:space="preserve">Run options</t>
  </si>
  <si>
    <t xml:space="preserve">Each outlook has run options in P3:U4 (Staged 0/1, G1 month (99 = not passed), price path, founder path, false-positive stress 0/1, stop-loss cut/exit month). Outlook_Selected reads them from Assumptions!D5:N5. Defaults reproduce the original bundles.</t>
  </si>
  <si>
    <t xml:space="preserve">PNA business forecast - dashboard (₹ lakh unless stated; ex-GST; illustrative, assumption-driven)</t>
  </si>
  <si>
    <t xml:space="preserve">PRIMARY VIEW = PLANNING CASE (Staged_G1M9: G1 at M9, move M10). Upside = G1 at M6. Downside (a) = T1 team at Conservative rates; (b) = Tranche 2 released on a false-positive G1. Bundles: Conservative = adverse rates + ₹10L plan; Base = base rates + ₹30L plan; Aggressive = favourable rates + ₹50L plan.</t>
  </si>
  <si>
    <t xml:space="preserve">Year-1 (Nov-26 to Oct-27)</t>
  </si>
  <si>
    <t xml:space="preserve">Conservative</t>
  </si>
  <si>
    <t xml:space="preserve">Base</t>
  </si>
  <si>
    <t xml:space="preserve">Aggressive</t>
  </si>
  <si>
    <t xml:space="preserve">₹10L plan @ Base rates</t>
  </si>
  <si>
    <t xml:space="preserve">₹50L plan @ Base rates</t>
  </si>
  <si>
    <t xml:space="preserve">PLANNING CASE: Staged, G1 M9 / move M10</t>
  </si>
  <si>
    <t xml:space="preserve">Upside: Staged, G1 M6 / move M7</t>
  </si>
  <si>
    <t xml:space="preserve">Downside (a): T1 team at Cons. rates, no cut</t>
  </si>
  <si>
    <t xml:space="preserve">Downside (a): cut to ₹10L-plan base at M5</t>
  </si>
  <si>
    <t xml:space="preserve">Downside (a): KT-1a cut at M5 to the deep stop-loss state</t>
  </si>
  <si>
    <t xml:space="preserve">Downside (a): cut at M10 (G1 fails at M9 review)</t>
  </si>
  <si>
    <t xml:space="preserve">Downside (b): false-positive G1 M9, exit M12</t>
  </si>
  <si>
    <t xml:space="preserve">Downside (b): false-positive G1 M6, exit M9</t>
  </si>
  <si>
    <t xml:space="preserve">Base + two-step price</t>
  </si>
  <si>
    <t xml:space="preserve">Conservative + two-step price</t>
  </si>
  <si>
    <t xml:space="preserve">Base + founder ≤40% M12</t>
  </si>
  <si>
    <t xml:space="preserve">Revenue, Year 1 (ex-GST)</t>
  </si>
  <si>
    <t xml:space="preserve">EBITDA, Year 1</t>
  </si>
  <si>
    <t xml:space="preserve">EBITDA margin, Year 1</t>
  </si>
  <si>
    <t xml:space="preserve">Memo: Year-1 EBITDA after founder-role salary</t>
  </si>
  <si>
    <t xml:space="preserve">Capex and deposits, Year 1</t>
  </si>
  <si>
    <t xml:space="preserve">Peak cumulative cash need, Year 1</t>
  </si>
  <si>
    <t xml:space="preserve">Investment envelope for this plan (CA-03)</t>
  </si>
  <si>
    <t xml:space="preserve">Headroom: envelope - peak cash need</t>
  </si>
  <si>
    <t xml:space="preserve">Career enrolments, Year 1 (new students)</t>
  </si>
  <si>
    <t xml:space="preserve">Career enrolments per month, months 7-12 average</t>
  </si>
  <si>
    <t xml:space="preserve">Masterclass seats, Year 1</t>
  </si>
  <si>
    <t xml:space="preserve">Seat utilisation, month 12</t>
  </si>
  <si>
    <t xml:space="preserve">First month seats bind (share of demand that fits &lt; 100%)</t>
  </si>
  <si>
    <t xml:space="preserve">Founder share of contact hours, month 12</t>
  </si>
  <si>
    <t xml:space="preserve">Trainers + assistants on payroll, month 12</t>
  </si>
  <si>
    <t xml:space="preserve">Contribution per career enrolment, month 12 (career contribution share)</t>
  </si>
  <si>
    <t xml:space="preserve">Fixed + overhead opex, month 12</t>
  </si>
  <si>
    <t xml:space="preserve">Non-career contribution, month 12</t>
  </si>
  <si>
    <t xml:space="preserve">Break-even career enrolments per month at month-12 cost base</t>
  </si>
  <si>
    <t xml:space="preserve">Break-even career enrolments per year (x12)</t>
  </si>
  <si>
    <t xml:space="preserve">Effective media CAC per paid career enrolment, months 7-12 (career media / paid-route enrolments delivered)</t>
  </si>
  <si>
    <t xml:space="preserve">Effective media CAC as % of realised L3 fee (ex-GST)</t>
  </si>
  <si>
    <t xml:space="preserve">Fully loaded acquisition cost / career revenue, months 7-12 (media + growth team + tools + rewards + EMI)</t>
  </si>
  <si>
    <t xml:space="preserve">Career enrolments per month at which fully loaded acquisition = 25% of career revenue (month-12 cost and price)</t>
  </si>
  <si>
    <t xml:space="preserve">EBITDA, last quarter (Aug-Oct 2027)</t>
  </si>
  <si>
    <t xml:space="preserve">First month with EBITDA &gt;= 0</t>
  </si>
  <si>
    <t xml:space="preserve">Cash position, end of Year 1</t>
  </si>
  <si>
    <t xml:space="preserve">First month cumulative cash need reaches the T1 cap (₹15L)</t>
  </si>
  <si>
    <t xml:space="preserve">First month cumulative cash need reaches ₹10L</t>
  </si>
  <si>
    <t xml:space="preserve">Peak cash need at the end of T1 (month before the G1 month in Q4; T2 capex follows G1)</t>
  </si>
  <si>
    <t xml:space="preserve">Trainer + assistant cost, Year 1</t>
  </si>
  <si>
    <t xml:space="preserve">L3 realised fee, month 12 (incl. GST)</t>
  </si>
  <si>
    <t xml:space="preserve">Space move month (99 = none in Year 1)</t>
  </si>
  <si>
    <t xml:space="preserve">Price step 1 month</t>
  </si>
  <si>
    <t xml:space="preserve">Growth &amp; marketing spend, Year 1 (paid media + growth team + martech + website + partnerships/PR/contingency + rewards + pop-ups; Growth §10 scope)</t>
  </si>
  <si>
    <t xml:space="preserve">  of which paid media, Year 1</t>
  </si>
  <si>
    <t xml:space="preserve">Month of peak cash need (cumulative cash low point)</t>
  </si>
  <si>
    <t xml:space="preserve">Stop-loss cut / exit month (99 = none)</t>
  </si>
  <si>
    <t xml:space="preserve">Lease exit + severance cost booked, Year 1</t>
  </si>
  <si>
    <t xml:space="preserve">Memo: security deposit recoverable after a lease exit (not credited in cash)</t>
  </si>
  <si>
    <t xml:space="preserve">Memo: fit-out + stations sunk on a lease exit</t>
  </si>
  <si>
    <t xml:space="preserve">Average monthly EBITDA in the new space before any exit (holding cost under stress)</t>
  </si>
  <si>
    <t xml:space="preserve">L3 cohort fill: cohort 1 (4 Jan 2027 start; % of batch cap)</t>
  </si>
  <si>
    <t xml:space="preserve">L3 cohort fill: cohort 2 (1 Mar 2027 start)</t>
  </si>
  <si>
    <t xml:space="preserve">L3 cohort fill: average of the 7 Year-1 cohorts</t>
  </si>
  <si>
    <t xml:space="preserve">First month a second consecutive L3 cohort ≥75% full starts (G1 cohort test)</t>
  </si>
  <si>
    <t xml:space="preserve">L3 students in the latest Year-1 cohort (27 Sep 2027 start)</t>
  </si>
  <si>
    <t xml:space="preserve">RESTATED G1 fill test (two consecutive cohorts ≥75% of stations in use), 6-weekly calendar: first cohort-start month met</t>
  </si>
  <si>
    <t xml:space="preserve">RESTATED G1 fill test, 8-weekly calendar (A-ECO-165): first cohort-start month met</t>
  </si>
  <si>
    <t xml:space="preserve">Restated test, 6-weekly: Year-1 cohorts at ≥75% of stations in use (of 7)</t>
  </si>
  <si>
    <t xml:space="preserve">Restated test, 8-weekly: Year-1 cohorts at ≥75% of stations in use (of 6)</t>
  </si>
  <si>
    <t xml:space="preserve">G1 cohort test (≥75% of 12) on an 8-weekly intake calendar (A-ECO-165): first month met</t>
  </si>
  <si>
    <t xml:space="preserve">L3 cohort fill on the 8-weekly calendar: cohorts 3-5 average (Apr-Aug 2027 starts)</t>
  </si>
  <si>
    <t xml:space="preserve">Paid-route career enrolments delivered, months 7-12</t>
  </si>
  <si>
    <t xml:space="preserve">Input: effective paid CAC (funnel paid-route CAC x A-ECO-51), months 7-12 average</t>
  </si>
  <si>
    <t xml:space="preserve">Calibration factor A-ECO-51 on funnel CAC (awareness / retargeting overhead)</t>
  </si>
  <si>
    <t xml:space="preserve">Destination-format enrolments, Year 1 (incl. pilot cohort)</t>
  </si>
  <si>
    <t xml:space="preserve">Additional trainers (FTE) in post, month 12</t>
  </si>
  <si>
    <t xml:space="preserve">Contribution, months 10-12 (₹)</t>
  </si>
  <si>
    <t xml:space="preserve">Directional 3-year view (₹ lakh) - groups 6-9 are variants of the planning case</t>
  </si>
  <si>
    <t xml:space="preserve">Metric</t>
  </si>
  <si>
    <t xml:space="preserve">Conservative Y1</t>
  </si>
  <si>
    <t xml:space="preserve">Conservative Y2</t>
  </si>
  <si>
    <t xml:space="preserve">Conservative Y3</t>
  </si>
  <si>
    <t xml:space="preserve">Base Y1</t>
  </si>
  <si>
    <t xml:space="preserve">Base Y2</t>
  </si>
  <si>
    <t xml:space="preserve">Base Y3</t>
  </si>
  <si>
    <t xml:space="preserve">Aggressive Y1</t>
  </si>
  <si>
    <t xml:space="preserve">Aggressive Y2</t>
  </si>
  <si>
    <t xml:space="preserve">Aggressive Y3</t>
  </si>
  <si>
    <t xml:space="preserve">Upside G1 M6 Y1</t>
  </si>
  <si>
    <t xml:space="preserve">Upside G1 M6 Y2</t>
  </si>
  <si>
    <t xml:space="preserve">Upside G1 M6 Y3</t>
  </si>
  <si>
    <t xml:space="preserve">PLANNING G1 M9 Y1</t>
  </si>
  <si>
    <t xml:space="preserve">PLANNING G1 M9 Y2</t>
  </si>
  <si>
    <t xml:space="preserve">PLANNING G1 M9 Y3</t>
  </si>
  <si>
    <t xml:space="preserve">Plan: no step 2 Y1</t>
  </si>
  <si>
    <t xml:space="preserve">Plan: no step 2 Y2</t>
  </si>
  <si>
    <t xml:space="preserve">Plan: no step 2 Y3</t>
  </si>
  <si>
    <t xml:space="preserve">Plan: step 2, conv -10% Y1</t>
  </si>
  <si>
    <t xml:space="preserve">Plan: step 2, conv -10% Y2</t>
  </si>
  <si>
    <t xml:space="preserve">Plan: step 2, conv -10% Y3</t>
  </si>
  <si>
    <t xml:space="preserve">Plan: step 2, conv -20% Y1</t>
  </si>
  <si>
    <t xml:space="preserve">Plan: step 2, conv -20% Y2</t>
  </si>
  <si>
    <t xml:space="preserve">Plan: step 2, conv -20% Y3</t>
  </si>
  <si>
    <t xml:space="preserve">Plan: base business only Y1</t>
  </si>
  <si>
    <t xml:space="preserve">Plan: base business only Y2</t>
  </si>
  <si>
    <t xml:space="preserve">Plan: base business only Y3</t>
  </si>
  <si>
    <t xml:space="preserve">Total revenue</t>
  </si>
  <si>
    <t xml:space="preserve">EBITDA</t>
  </si>
  <si>
    <t xml:space="preserve">EBITDA margin</t>
  </si>
  <si>
    <t xml:space="preserve">Memo: EBITDA after founder-role salary</t>
  </si>
  <si>
    <t xml:space="preserve">Career enrolments delivered</t>
  </si>
  <si>
    <t xml:space="preserve">Peak cash need to date</t>
  </si>
  <si>
    <t xml:space="preserve">Cumulative cash position</t>
  </si>
  <si>
    <t xml:space="preserve">Year 3 of the planning case: base business vs gated layers (₹ lakh; review RT-10)</t>
  </si>
  <si>
    <t xml:space="preserve">Line</t>
  </si>
  <si>
    <t xml:space="preserve">Revenue Y3</t>
  </si>
  <si>
    <t xml:space="preserve">EBITDA Y3</t>
  </si>
  <si>
    <t xml:space="preserve">Planning case Year-3 revenue (all gates passed, price step 2 at M16)</t>
  </si>
  <si>
    <t xml:space="preserve">less: price step 2 (₹75k -&gt; ₹90k list) - planning case minus 'no step 2'</t>
  </si>
  <si>
    <t xml:space="preserve">less: incremental Destination students (G2)</t>
  </si>
  <si>
    <t xml:space="preserve">less: online short courses (audience gate)</t>
  </si>
  <si>
    <t xml:space="preserve">less: adjacents (kit margin, booking desk, brand partnerships)</t>
  </si>
  <si>
    <t xml:space="preserve">less: capacity / other interaction</t>
  </si>
  <si>
    <t xml:space="preserve">Base business Year 3 (no step 2, G2 layers not passed)</t>
  </si>
  <si>
    <t xml:space="preserve">EBITDA after founder salary:</t>
  </si>
  <si>
    <t xml:space="preserve">Gated share of planning-case Year-3 revenue</t>
  </si>
  <si>
    <t xml:space="preserve">Payback and IRR on the founder's cash (see Payback_IRR)</t>
  </si>
  <si>
    <t xml:space="preserve">Planning: before salary</t>
  </si>
  <si>
    <t xml:space="preserve">Planning: after salary</t>
  </si>
  <si>
    <t xml:space="preserve">Upside: before</t>
  </si>
  <si>
    <t xml:space="preserve">Upside: after</t>
  </si>
  <si>
    <t xml:space="preserve">Base business: before</t>
  </si>
  <si>
    <t xml:space="preserve">Base business: after</t>
  </si>
  <si>
    <t xml:space="preserve">Peak cash drawn (₹)</t>
  </si>
  <si>
    <t xml:space="preserve">Month of the cash low point</t>
  </si>
  <si>
    <t xml:space="preserve">Payback month (cumulative cash back to ≥ 0 and stays there)</t>
  </si>
  <si>
    <t xml:space="preserve">Cumulative cash at M36 (₹)</t>
  </si>
  <si>
    <t xml:space="preserve">Cumulative cash at M60 (₹; Y4-Y5 flat at Y3)</t>
  </si>
  <si>
    <t xml:space="preserve">IRR to M36, annualised (no terminal value)</t>
  </si>
  <si>
    <t xml:space="preserve">IRR to M60, annualised (Y4-Y5 flat at Y3; no terminal value)</t>
  </si>
  <si>
    <t xml:space="preserve">Headroom to the ₹30L envelope (CA-03) (₹)</t>
  </si>
  <si>
    <t xml:space="preserve">Headroom to ₹30L + ₹5L contingency (A-ECO-167) (₹)</t>
  </si>
  <si>
    <t xml:space="preserve">Sensitivity on the planning case (Year-1 EBITDA swing, ₹ lakh) - see Sensitivity sheet</t>
  </si>
  <si>
    <t xml:space="preserve">Named stresses (Year-1 EBITDA change vs planning case, ₹ lakh)</t>
  </si>
  <si>
    <t xml:space="preserve">Price response at step 1 (₹75k list, from M10): career conversion -10%</t>
  </si>
  <si>
    <t xml:space="preserve">Price response at step 1 (₹75k list, from M10): career conversion -20%</t>
  </si>
  <si>
    <t xml:space="preserve">Non-paid engine flat at today's rate (no organic/referral uplift; RT-08)</t>
  </si>
  <si>
    <t xml:space="preserve">Masterclass (L4) volume at half (RT-21)</t>
  </si>
  <si>
    <t xml:space="preserve">Lead trainer paid ₹75k/month instead of ₹60k (RT-11)</t>
  </si>
  <si>
    <t xml:space="preserve">Assumptions register (inputs)</t>
  </si>
  <si>
    <t xml:space="preserve">Blue = input. Scenario columns: Conservative = adverse rates + ₹10L plan; Base = base rates + ₹30L plan; Aggressive = favourable rates + ₹50L plan. Column J 'Type': rate (prices, conversion, wages) or plan (what the plan buys).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</si>
  <si>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</si>
  <si>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</si>
  <si>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</si>
  <si>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Run options for Outlook_Selected:</t>
  </si>
  <si>
    <t xml:space="preserve">Staged (0/1)</t>
  </si>
  <si>
    <t xml:space="preserve">G1 month</t>
  </si>
  <si>
    <t xml:space="preserve">Price path (1/2)</t>
  </si>
  <si>
    <t xml:space="preserve">Founder path (1/2)</t>
  </si>
  <si>
    <t xml:space="preserve">False-positive (0/1)</t>
  </si>
  <si>
    <t xml:space="preserve">Cut/exit month (99 none)</t>
  </si>
  <si>
    <t xml:space="preserve">Deep stop-loss (0/1)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</si>
  <si>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</si>
  <si>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</si>
  <si>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</si>
  <si>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</si>
  <si>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</si>
  <si>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Selected</t>
  </si>
  <si>
    <t xml:space="preserve">Type</t>
  </si>
  <si>
    <t xml:space="preserve">1. Shared with funnel_economics.xlsx (assumption_values.py): canonical, prices, funnel, delivery costs, Growth budget lines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</si>
  <si>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</si>
  <si>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</si>
  <si>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</si>
  <si>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</si>
  <si>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</si>
  <si>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rate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</si>
  <si>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</si>
  <si>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</si>
  <si>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</si>
  <si>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</si>
  <si>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</si>
  <si>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</si>
  <si>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</si>
  <si>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</si>
  <si>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plan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</si>
  <si>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</si>
  <si>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</si>
  <si>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</si>
  <si>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</si>
  <si>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</si>
  <si>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</si>
  <si>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</si>
  <si>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</si>
  <si>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</si>
  <si>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</si>
  <si>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</si>
  <si>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</si>
  <si>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</si>
  <si>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</si>
  <si>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</si>
  <si>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</si>
  <si>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</si>
  <si>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</si>
  <si>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</si>
  <si>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</si>
  <si>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</si>
  <si>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</si>
  <si>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</si>
  <si>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</si>
  <si>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</si>
  <si>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</si>
  <si>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</si>
  <si>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</si>
  <si>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</si>
  <si>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</si>
  <si>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</si>
  <si>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</si>
  <si>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</si>
  <si>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</si>
  <si>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</si>
  <si>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</si>
  <si>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</si>
  <si>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</si>
  <si>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</si>
  <si>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</si>
  <si>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</si>
  <si>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</si>
  <si>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</si>
  <si>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</si>
  <si>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</si>
  <si>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</si>
  <si>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</si>
  <si>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</si>
  <si>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</si>
  <si>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</si>
  <si>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</si>
  <si>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</si>
  <si>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</si>
  <si>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</si>
  <si>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</si>
  <si>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</si>
  <si>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</si>
  <si>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</si>
  <si>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</si>
  <si>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</si>
  <si>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</si>
  <si>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</si>
  <si>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</si>
  <si>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</si>
  <si>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</si>
  <si>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</si>
  <si>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</si>
  <si>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</si>
  <si>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</si>
  <si>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</si>
  <si>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</si>
  <si>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</si>
  <si>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</si>
  <si>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</si>
  <si>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</si>
  <si>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</si>
  <si>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</si>
  <si>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</si>
  <si>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</si>
  <si>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</si>
  <si>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</si>
  <si>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</si>
  <si>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</si>
  <si>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</si>
  <si>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</si>
  <si>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</si>
  <si>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</si>
  <si>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</si>
  <si>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</si>
  <si>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</si>
  <si>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</si>
  <si>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</si>
  <si>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</si>
  <si>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</si>
  <si>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</si>
  <si>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</si>
  <si>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</si>
  <si>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</si>
  <si>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</si>
  <si>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</si>
  <si>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</si>
  <si>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</si>
  <si>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</si>
  <si>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</si>
  <si>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</si>
  <si>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</si>
  <si>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</si>
  <si>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</si>
  <si>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</si>
  <si>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</si>
  <si>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</si>
  <si>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</si>
  <si>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</si>
  <si>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</si>
  <si>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</si>
  <si>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</si>
  <si>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</si>
  <si>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</si>
  <si>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</si>
  <si>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</si>
  <si>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</si>
  <si>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</si>
  <si>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</si>
  <si>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</si>
  <si>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</si>
  <si>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</si>
  <si>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</si>
  <si>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</si>
  <si>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</si>
  <si>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</si>
  <si>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</si>
  <si>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</si>
  <si>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</si>
  <si>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</si>
  <si>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</si>
  <si>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</si>
  <si>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</si>
  <si>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</si>
  <si>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</si>
  <si>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</si>
  <si>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</si>
  <si>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</si>
  <si>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</si>
  <si>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</si>
  <si>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</si>
  <si>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</si>
  <si>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</si>
  <si>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</si>
  <si>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</si>
  <si>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</si>
  <si>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</si>
  <si>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</si>
  <si>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</si>
  <si>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</si>
  <si>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</si>
  <si>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</si>
  <si>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</si>
  <si>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</si>
  <si>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</si>
  <si>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</si>
  <si>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</si>
  <si>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</si>
  <si>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</si>
  <si>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</si>
  <si>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</si>
  <si>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</si>
  <si>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</si>
  <si>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</si>
  <si>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</si>
  <si>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</si>
  <si>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</si>
  <si>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</si>
  <si>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</si>
  <si>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</si>
  <si>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</si>
  <si>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</si>
  <si>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</si>
  <si>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</si>
  <si>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</si>
  <si>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</si>
  <si>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</si>
  <si>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</si>
  <si>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</si>
  <si>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</si>
  <si>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</si>
  <si>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</si>
  <si>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</si>
  <si>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</si>
  <si>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</si>
  <si>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</si>
  <si>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</si>
  <si>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</si>
  <si>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</si>
  <si>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</si>
  <si>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</si>
  <si>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</si>
  <si>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</si>
  <si>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</si>
  <si>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</si>
  <si>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</si>
  <si>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</si>
  <si>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</si>
  <si>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</si>
  <si>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</si>
  <si>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</si>
  <si>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</si>
  <si>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</si>
  <si>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</si>
  <si>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</si>
  <si>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</si>
  <si>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</si>
  <si>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</si>
  <si>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</si>
  <si>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</si>
  <si>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</si>
  <si>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</si>
  <si>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</si>
  <si>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</si>
  <si>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</si>
  <si>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</si>
  <si>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</si>
  <si>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</si>
  <si>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</si>
  <si>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</si>
  <si>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</si>
  <si>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</si>
  <si>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</si>
  <si>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</si>
  <si>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</si>
  <si>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</si>
  <si>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</si>
  <si>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</si>
  <si>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</si>
  <si>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</si>
  <si>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</si>
  <si>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</si>
  <si>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</si>
  <si>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</si>
  <si>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</si>
  <si>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</si>
  <si>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</si>
  <si>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</si>
  <si>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</si>
  <si>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</si>
  <si>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</si>
  <si>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</si>
  <si>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</si>
  <si>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</si>
  <si>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</si>
  <si>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</si>
  <si>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</si>
  <si>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</si>
  <si>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</si>
  <si>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</si>
  <si>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</si>
  <si>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</si>
  <si>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</si>
  <si>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</si>
  <si>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</si>
  <si>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</si>
  <si>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</si>
  <si>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</si>
  <si>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</si>
  <si>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</si>
  <si>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</si>
  <si>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</si>
  <si>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</si>
  <si>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</si>
  <si>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</si>
  <si>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</si>
  <si>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</si>
  <si>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</si>
  <si>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</si>
  <si>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</si>
  <si>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</si>
  <si>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</si>
  <si>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</si>
  <si>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</si>
  <si>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</si>
  <si>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</si>
  <si>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</si>
  <si>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</si>
  <si>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</si>
  <si>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</si>
  <si>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</si>
  <si>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</si>
  <si>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</si>
  <si>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</si>
  <si>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</si>
  <si>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</si>
  <si>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2. Forecast-specific (A-ECO, A-BM, Growth budget ramp, seasonality, 3-year drivers)</t>
  </si>
  <si>
    <t xml:space="preserve">A-ECO-FUN-01</t>
  </si>
  <si>
    <t xml:space="preserve">Paid-route media CAC (CTWA + Search + Taster net), from funnel_economics.xlsx Summary</t>
  </si>
  <si>
    <t xml:space="preserve">₹/enrol</t>
  </si>
  <si>
    <t xml:space="preserve">Pasted by run_all.py from funnel_economics.xlsx (Funnel_* row 'Paid-route media CAC')</t>
  </si>
  <si>
    <t xml:space="preserve">[EST] model output</t>
  </si>
  <si>
    <t xml:space="preserve">A-ECO-FUN-02</t>
  </si>
  <si>
    <t xml:space="preserve">Funnel-required career media per month at target, from funnel_economics.xlsx</t>
  </si>
  <si>
    <t xml:space="preserve">Pasted by run_all.py (comparison only)</t>
  </si>
  <si>
    <t xml:space="preserve">A-ECO-FUN-03</t>
  </si>
  <si>
    <t xml:space="preserve">Masterclass media per seat (inside the Growth paid budget), from funnel_economics.xlsx</t>
  </si>
  <si>
    <t xml:space="preserve">Pasted by run_all.py</t>
  </si>
  <si>
    <t xml:space="preserve">A-ECO-FUN-04</t>
  </si>
  <si>
    <t xml:space="preserve">Self-makeup media per seat (inside the Growth paid budget), from funnel_economics.xlsx</t>
  </si>
  <si>
    <t xml:space="preserve">A-ECO-50</t>
  </si>
  <si>
    <t xml:space="preserve">Share of the paid-media budget that buys career (L2/L3) leads</t>
  </si>
  <si>
    <t xml:space="preserve">marketing_channel_plan.md rows 8-15: career CTWA, regional, Search, brand, taster half of M3, retargeting ≈70% of base ₹1.0L</t>
  </si>
  <si>
    <t xml:space="preserve">A-ECO-51</t>
  </si>
  <si>
    <t xml:space="preserve">Awareness/retargeting overhead factor on funnel CAC (calibrated so the Base plan budget buys the Base target at steady state)</t>
  </si>
  <si>
    <t xml:space="preserve">Calibrated: A-ECO-50 x Base Oct-27 budget / (A-GRO-01 base x paid mix x A-ECO-FUN-01 base)</t>
  </si>
  <si>
    <t xml:space="preserve">[EST] calibration</t>
  </si>
  <si>
    <t xml:space="preserve">A-GRO-BUD-01</t>
  </si>
  <si>
    <t xml:space="preserve">Paid media budget, month 1 (Nov-26)</t>
  </si>
  <si>
    <t xml:space="preserve">marketing_channel_plan.md §3.2 (Gate E): ≤₹15k until G0, ≤₹60k until G1; ramp from G1+1 (Staged runs shift it: planning case G1 M9 -&gt; ₹80k M10, ₹1.0L M11-12)</t>
  </si>
  <si>
    <t xml:space="preserve">A-GRO-BUD-02</t>
  </si>
  <si>
    <t xml:space="preserve">Paid media budget, month 2 (Dec-26)</t>
  </si>
  <si>
    <t xml:space="preserve">A-GRO-BUD-03</t>
  </si>
  <si>
    <t xml:space="preserve">Paid media budget, month 3 (Jan-27)</t>
  </si>
  <si>
    <t xml:space="preserve">A-GRO-BUD-04</t>
  </si>
  <si>
    <t xml:space="preserve">Paid media budget, month 4 (Feb-27)</t>
  </si>
  <si>
    <t xml:space="preserve">A-GRO-BUD-05</t>
  </si>
  <si>
    <t xml:space="preserve">Paid media budget, month 5 (Mar-27)</t>
  </si>
  <si>
    <t xml:space="preserve">A-GRO-BUD-06</t>
  </si>
  <si>
    <t xml:space="preserve">Paid media budget, month 6 (Apr-27)</t>
  </si>
  <si>
    <t xml:space="preserve">A-GRO-BUD-07</t>
  </si>
  <si>
    <t xml:space="preserve">Paid media budget, month 7 (May-27)</t>
  </si>
  <si>
    <t xml:space="preserve">A-GRO-BUD-08</t>
  </si>
  <si>
    <t xml:space="preserve">Paid media budget, month 8 (Jun-27)</t>
  </si>
  <si>
    <t xml:space="preserve">A-GRO-BUD-09</t>
  </si>
  <si>
    <t xml:space="preserve">Paid media budget, month 9 (Jul-27)</t>
  </si>
  <si>
    <t xml:space="preserve">A-GRO-BUD-10</t>
  </si>
  <si>
    <t xml:space="preserve">Paid media budget, month 10 (Aug-27)</t>
  </si>
  <si>
    <t xml:space="preserve">A-GRO-BUD-11</t>
  </si>
  <si>
    <t xml:space="preserve">Paid media budget, month 11 (Sep-27)</t>
  </si>
  <si>
    <t xml:space="preserve">A-GRO-BUD-12</t>
  </si>
  <si>
    <t xml:space="preserve">Paid media budget, month 12 (Oct-27)</t>
  </si>
  <si>
    <t xml:space="preserve">A-GRO-40-01</t>
  </si>
  <si>
    <t xml:space="preserve">Career-enquiry seasonality, calendar month 1</t>
  </si>
  <si>
    <t xml:space="preserve">index</t>
  </si>
  <si>
    <t xml:space="preserve">A-GRO-40 (Jan..Dec, sums to 12)</t>
  </si>
  <si>
    <t xml:space="preserve">A-GRO-40-02</t>
  </si>
  <si>
    <t xml:space="preserve">Career-enquiry seasonality, calendar month 2</t>
  </si>
  <si>
    <t xml:space="preserve">A-GRO-40-03</t>
  </si>
  <si>
    <t xml:space="preserve">Career-enquiry seasonality, calendar month 3</t>
  </si>
  <si>
    <t xml:space="preserve">A-GRO-40-04</t>
  </si>
  <si>
    <t xml:space="preserve">Career-enquiry seasonality, calendar month 4</t>
  </si>
  <si>
    <t xml:space="preserve">A-GRO-40-05</t>
  </si>
  <si>
    <t xml:space="preserve">Career-enquiry seasonality, calendar month 5</t>
  </si>
  <si>
    <t xml:space="preserve">A-GRO-40-06</t>
  </si>
  <si>
    <t xml:space="preserve">Career-enquiry seasonality, calendar month 6</t>
  </si>
  <si>
    <t xml:space="preserve">A-GRO-40-07</t>
  </si>
  <si>
    <t xml:space="preserve">Career-enquiry seasonality, calendar month 7</t>
  </si>
  <si>
    <t xml:space="preserve">A-GRO-40-08</t>
  </si>
  <si>
    <t xml:space="preserve">Career-enquiry seasonality, calendar month 8</t>
  </si>
  <si>
    <t xml:space="preserve">A-GRO-40-09</t>
  </si>
  <si>
    <t xml:space="preserve">Career-enquiry seasonality, calendar month 9</t>
  </si>
  <si>
    <t xml:space="preserve">A-GRO-40-10</t>
  </si>
  <si>
    <t xml:space="preserve">Career-enquiry seasonality, calendar month 10</t>
  </si>
  <si>
    <t xml:space="preserve">A-GRO-40-11</t>
  </si>
  <si>
    <t xml:space="preserve">Career-enquiry seasonality, calendar month 11</t>
  </si>
  <si>
    <t xml:space="preserve">A-GRO-40-12</t>
  </si>
  <si>
    <t xml:space="preserve">Career-enquiry seasonality, calendar month 12</t>
  </si>
  <si>
    <t xml:space="preserve">A-ECO-60-01</t>
  </si>
  <si>
    <t xml:space="preserve">Self-makeup (S5) seasonality, calendar month 1</t>
  </si>
  <si>
    <t xml:space="preserve">Peaks Oct-Feb before weddings/festivals (A-CUS-29); sums to 12</t>
  </si>
  <si>
    <t xml:space="preserve">A-ECO-60-02</t>
  </si>
  <si>
    <t xml:space="preserve">Self-makeup (S5) seasonality, calendar month 2</t>
  </si>
  <si>
    <t xml:space="preserve">A-ECO-60-03</t>
  </si>
  <si>
    <t xml:space="preserve">Self-makeup (S5) seasonality, calendar month 3</t>
  </si>
  <si>
    <t xml:space="preserve">A-ECO-60-04</t>
  </si>
  <si>
    <t xml:space="preserve">Self-makeup (S5) seasonality, calendar month 4</t>
  </si>
  <si>
    <t xml:space="preserve">A-ECO-60-05</t>
  </si>
  <si>
    <t xml:space="preserve">Self-makeup (S5) seasonality, calendar month 5</t>
  </si>
  <si>
    <t xml:space="preserve">A-ECO-60-06</t>
  </si>
  <si>
    <t xml:space="preserve">Self-makeup (S5) seasonality, calendar month 6</t>
  </si>
  <si>
    <t xml:space="preserve">A-ECO-60-07</t>
  </si>
  <si>
    <t xml:space="preserve">Self-makeup (S5) seasonality, calendar month 7</t>
  </si>
  <si>
    <t xml:space="preserve">A-ECO-60-08</t>
  </si>
  <si>
    <t xml:space="preserve">Self-makeup (S5) seasonality, calendar month 8</t>
  </si>
  <si>
    <t xml:space="preserve">A-ECO-60-09</t>
  </si>
  <si>
    <t xml:space="preserve">Self-makeup (S5) seasonality, calendar month 9</t>
  </si>
  <si>
    <t xml:space="preserve">A-ECO-60-10</t>
  </si>
  <si>
    <t xml:space="preserve">Self-makeup (S5) seasonality, calendar month 10</t>
  </si>
  <si>
    <t xml:space="preserve">A-ECO-60-11</t>
  </si>
  <si>
    <t xml:space="preserve">Self-makeup (S5) seasonality, calendar month 11</t>
  </si>
  <si>
    <t xml:space="preserve">A-ECO-60-12</t>
  </si>
  <si>
    <t xml:space="preserve">Self-makeup (S5) seasonality, calendar month 12</t>
  </si>
  <si>
    <t xml:space="preserve">A-BM-10a</t>
  </si>
  <si>
    <t xml:space="preserve">Founder share of student contact hours at M6</t>
  </si>
  <si>
    <t xml:space="preserve">A-BM-10 path (≤50% M6)</t>
  </si>
  <si>
    <t xml:space="preserve">A-BM-10b</t>
  </si>
  <si>
    <t xml:space="preserve">Founder share of contact hours at M12</t>
  </si>
  <si>
    <t xml:space="preserve">A-BM-10 (≤30% M12)</t>
  </si>
  <si>
    <t xml:space="preserve">A-BM-10c</t>
  </si>
  <si>
    <t xml:space="preserve">Founder share of contact hours, Year 2 average</t>
  </si>
  <si>
    <t xml:space="preserve">A-BM-10 (≤15% M24)</t>
  </si>
  <si>
    <t xml:space="preserve">A-BM-10d</t>
  </si>
  <si>
    <t xml:space="preserve">Founder share of contact hours, Year 3 average</t>
  </si>
  <si>
    <t xml:space="preserve">A-BM-10 (≤10% M36)</t>
  </si>
  <si>
    <t xml:space="preserve">A-ECO-52</t>
  </si>
  <si>
    <t xml:space="preserve">Lead trainer hire month</t>
  </si>
  <si>
    <t xml:space="preserve">BM §6.1: lead trainer M0-3 (shadowing)</t>
  </si>
  <si>
    <t xml:space="preserve">A-ECO-106</t>
  </si>
  <si>
    <t xml:space="preserve">Proof gate 2 month: L3 list steps ₹75k -&gt; ₹90k (two-step path; inside G2)</t>
  </si>
  <si>
    <t xml:space="preserve">recommended_strategy.md §7.2: step 2 at G2 (M15-M18)</t>
  </si>
  <si>
    <t xml:space="preserve">A-ECO-160</t>
  </si>
  <si>
    <t xml:space="preserve">Price step 1 list fee (two-step path)</t>
  </si>
  <si>
    <t xml:space="preserve">recommended_strategy.md §7.2 (= A-GRO-06 low)</t>
  </si>
  <si>
    <t xml:space="preserve">A-BM-10b-G</t>
  </si>
  <si>
    <t xml:space="preserve">Founder share of contact hours at M12 - Gate D path (≤40% M12, ≤30% M18)</t>
  </si>
  <si>
    <t xml:space="preserve">recommended_strategy.md §10 #2</t>
  </si>
  <si>
    <t xml:space="preserve">[REC]</t>
  </si>
  <si>
    <t xml:space="preserve">A-BM-10c-G</t>
  </si>
  <si>
    <t xml:space="preserve">Founder share, Year 2 average - Gate D path (40% M12 -&gt; 30% M18 -&gt; 15% M24)</t>
  </si>
  <si>
    <t xml:space="preserve">Linear path average (35% M13-18, 22.5% M19-24)</t>
  </si>
  <si>
    <t xml:space="preserve">A-BM-10d-G</t>
  </si>
  <si>
    <t xml:space="preserve">Founder share, Year 3 average - Gate D path (15% M24 -&gt; 10% M36)</t>
  </si>
  <si>
    <t xml:space="preserve">Linear path average</t>
  </si>
  <si>
    <t xml:space="preserve">A-ECO-151</t>
  </si>
  <si>
    <t xml:space="preserve">Staged Plan: paid-media cap per month before G1 (T1 test level)</t>
  </si>
  <si>
    <t xml:space="preserve">recommended_strategy.md §5 T1 (≤₹60k/month)</t>
  </si>
  <si>
    <t xml:space="preserve">A-ECO-152</t>
  </si>
  <si>
    <t xml:space="preserve">Staged Plan: basic recording of theory modules in T1 (month 3)</t>
  </si>
  <si>
    <t xml:space="preserve">recommended_strategy.md §5 T1 (₹1L)</t>
  </si>
  <si>
    <t xml:space="preserve">A-ECO-154</t>
  </si>
  <si>
    <t xml:space="preserve">Staged Plan: running cost of the studio weekend/evening batch slot (utilities, housekeeping, weekend premium)</t>
  </si>
  <si>
    <t xml:space="preserve">recommended_strategy.md §5/§10 #16; judgement</t>
  </si>
  <si>
    <t xml:space="preserve">A-ECO-155</t>
  </si>
  <si>
    <t xml:space="preserve">Staged Plan: studio batch slots per day once the weekend/evening slot is added (before the move)</t>
  </si>
  <si>
    <t xml:space="preserve">recommended_strategy.md §11.3 #2 (2.5 slots a day)</t>
  </si>
  <si>
    <t xml:space="preserve">A-ECO-156</t>
  </si>
  <si>
    <t xml:space="preserve">Staged Plan: month the studio weekend/evening slot starts</t>
  </si>
  <si>
    <t xml:space="preserve">recommended_strategy.md §5 T1 (from M5)</t>
  </si>
  <si>
    <t xml:space="preserve">A-ECO-153</t>
  </si>
  <si>
    <t xml:space="preserve">Tranche T1 cash cap (cumulative cash need before G1)</t>
  </si>
  <si>
    <t xml:space="preserve">recommended_strategy.md §5 T1 (up to ₹15L)</t>
  </si>
  <si>
    <t xml:space="preserve">A-ECO-157</t>
  </si>
  <si>
    <t xml:space="preserve">Staged Plan: Admissions &amp; Operations Lead premium over the counsellor salary (replaces counsellor #1 from M1; owns the 90-day plan)</t>
  </si>
  <si>
    <t xml:space="preserve">independent_review.md C3/RT-03; rationale: senior admissions/ops hire in tricity</t>
  </si>
  <si>
    <t xml:space="preserve">A-ECO-163</t>
  </si>
  <si>
    <t xml:space="preserve">Staged Plan: second trainer (first additional trainer FTE) in post from month (not before G1+1)</t>
  </si>
  <si>
    <t xml:space="preserve">independent_review.md C4/RT-04/RT-11: second trainer from Aug 2027 (M10) in the planning case</t>
  </si>
  <si>
    <t xml:space="preserve">A-ECO-161</t>
  </si>
  <si>
    <t xml:space="preserve">Destination pilot cohort: out-of-town L3 students over the two pilot intakes from the Destination start (planning case Aug-Sep 2027, M10-M11)</t>
  </si>
  <si>
    <t xml:space="preserve">twelve_month_roadmap.md pilot ≥6; growth_marketing_strategy.md §1.1 Phase 3 (Aug-Sep 2027); RT-15</t>
  </si>
  <si>
    <t xml:space="preserve">A-ECO-162</t>
  </si>
  <si>
    <t xml:space="preserve">False-positive stress: demand after a G1 false positive, share of planned demand (all products)</t>
  </si>
  <si>
    <t xml:space="preserve">independent_review.md RT-01/C1: contribution 40% below plan from G1+1</t>
  </si>
  <si>
    <t xml:space="preserve">A-ECO-158</t>
  </si>
  <si>
    <t xml:space="preserve">Stop-loss lease exit: months of new-space rent paid as notice after an exit decision (booked in the exit month)</t>
  </si>
  <si>
    <t xml:space="preserve">independent_review.md C1 (3-month rent notice); typical commercial lease notice</t>
  </si>
  <si>
    <t xml:space="preserve">A-ECO-159</t>
  </si>
  <si>
    <t xml:space="preserve">Stop-loss severance: months of salary for staff released at a cut / exit</t>
  </si>
  <si>
    <t xml:space="preserve">independent_review.md C1 (1 month of salaries)</t>
  </si>
  <si>
    <t xml:space="preserve">A-BM-01</t>
  </si>
  <si>
    <t xml:space="preserve">Batch cap: students per L3 cohort</t>
  </si>
  <si>
    <t xml:space="preserve">BM A-BM-01 (cap 12)</t>
  </si>
  <si>
    <t xml:space="preserve">A-ECO-166</t>
  </si>
  <si>
    <t xml:space="preserve">G1 cohort test: fill threshold for two consecutive L3 cohorts</t>
  </si>
  <si>
    <t xml:space="preserve">recommended_strategy.md §7.1 G1 (2 consecutive cohorts ≥75% full)</t>
  </si>
  <si>
    <t xml:space="preserve">A-ECO-167</t>
  </si>
  <si>
    <t xml:space="preserve">Founder contingency reserve above the ₹30L envelope (KT-11)</t>
  </si>
  <si>
    <t xml:space="preserve">recommended_strategy.md §5 / KT-11 (₹30L + ₹5L contingency)</t>
  </si>
  <si>
    <t xml:space="preserve">A-ECO-164-1</t>
  </si>
  <si>
    <t xml:space="preserve">L3 local cohort 1 start, in model months from 1 Nov 2026 (= Mon 4 Jan 2027, month M3)</t>
  </si>
  <si>
    <t xml:space="preserve">model months</t>
  </si>
  <si>
    <t xml:space="preserve">twelve_month_roadmap.md intake rhythm: cohort 1 Mon 4 Jan, cohort 2 Mon 1 Mar, then about every 6 weeks (one local L3 cohort per intake)</t>
  </si>
  <si>
    <t xml:space="preserve">A-ECO-164-2</t>
  </si>
  <si>
    <t xml:space="preserve">L3 local cohort 2 start, in model months from 1 Nov 2026 (= Mon 1 Mar 2027, month M5)</t>
  </si>
  <si>
    <t xml:space="preserve">A-ECO-164-3</t>
  </si>
  <si>
    <t xml:space="preserve">L3 local cohort 3 start, in model months from 1 Nov 2026 (= ~Mon 12 Apr 2027, month M6)</t>
  </si>
  <si>
    <t xml:space="preserve">A-ECO-164-4</t>
  </si>
  <si>
    <t xml:space="preserve">L3 local cohort 4 start, in model months from 1 Nov 2026 (= ~Mon 24 May 2027, month M7)</t>
  </si>
  <si>
    <t xml:space="preserve">A-ECO-164-5</t>
  </si>
  <si>
    <t xml:space="preserve">L3 local cohort 5 start, in model months from 1 Nov 2026 (= ~Mon 5 Jul 2027, month M9)</t>
  </si>
  <si>
    <t xml:space="preserve">A-ECO-164-6</t>
  </si>
  <si>
    <t xml:space="preserve">L3 local cohort 6 start, in model months from 1 Nov 2026 (= ~Mon 16 Aug 2027, month M10)</t>
  </si>
  <si>
    <t xml:space="preserve">A-ECO-164-7</t>
  </si>
  <si>
    <t xml:space="preserve">L3 local cohort 7 start, in model months from 1 Nov 2026 (= ~Mon 27 Sep 2027, month M11)</t>
  </si>
  <si>
    <t xml:space="preserve">A-ECO-165-1</t>
  </si>
  <si>
    <t xml:space="preserve">Alternative 8-weekly intake: L3 cohort 1 start, model months from 1 Nov 2026 (= Mon 4 Jan 2027, M3)</t>
  </si>
  <si>
    <t xml:space="preserve">Gate E test of the G1 cohort criterion: intakes every 8 weeks instead of 6</t>
  </si>
  <si>
    <t xml:space="preserve">A-ECO-165-2</t>
  </si>
  <si>
    <t xml:space="preserve">Alternative 8-weekly intake: L3 cohort 2 start, model months from 1 Nov 2026 (= Mon 1 Mar 2027, M5)</t>
  </si>
  <si>
    <t xml:space="preserve">A-ECO-165-3</t>
  </si>
  <si>
    <t xml:space="preserve">Alternative 8-weekly intake: L3 cohort 3 start, model months from 1 Nov 2026 (= ~Mon 26 Apr 2027, M6)</t>
  </si>
  <si>
    <t xml:space="preserve">A-ECO-165-4</t>
  </si>
  <si>
    <t xml:space="preserve">Alternative 8-weekly intake: L3 cohort 4 start, model months from 1 Nov 2026 (= ~Mon 21 Jun 2027, M8)</t>
  </si>
  <si>
    <t xml:space="preserve">A-ECO-165-5</t>
  </si>
  <si>
    <t xml:space="preserve">Alternative 8-weekly intake: L3 cohort 5 start, model months from 1 Nov 2026 (= ~Mon 16 Aug 2027, M10)</t>
  </si>
  <si>
    <t xml:space="preserve">A-ECO-165-6</t>
  </si>
  <si>
    <t xml:space="preserve">Alternative 8-weekly intake: L3 cohort 6 start, model months from 1 Nov 2026 (= ~Mon 11 Oct 2027, M12)</t>
  </si>
  <si>
    <t xml:space="preserve">A-ECO-228a</t>
  </si>
  <si>
    <t xml:space="preserve">Price-response stress at price step 2 (₹90k list): change in career conversion (3yr sensitivity group 7)</t>
  </si>
  <si>
    <t xml:space="preserve">independent_review.md RT-05/C5 (-10%)</t>
  </si>
  <si>
    <t xml:space="preserve">A-ECO-228b</t>
  </si>
  <si>
    <t xml:space="preserve">Price-response stress at price step 2 (₹90k list): change in career conversion (3yr sensitivity group 8)</t>
  </si>
  <si>
    <t xml:space="preserve">independent_review.md RT-05/C5 (-20%)</t>
  </si>
  <si>
    <t xml:space="preserve">A-ECO-170</t>
  </si>
  <si>
    <t xml:space="preserve">Optional pro kit price to the student (itemised, near cost)</t>
  </si>
  <si>
    <t xml:space="preserve">positioning_and_segments.md §6: ₹18-25k</t>
  </si>
  <si>
    <t xml:space="preserve">A-BM-12a</t>
  </si>
  <si>
    <t xml:space="preserve">Living + travel for an out-of-town student on the 12-week Weekday format</t>
  </si>
  <si>
    <t xml:space="preserve">A-BM-12: ₹33-54k (PG ₹10-16k x 3 + travel)</t>
  </si>
  <si>
    <t xml:space="preserve">A-BM-12b</t>
  </si>
  <si>
    <t xml:space="preserve">Living + travel for the Destination format (5-6 weeks in Chandigarh)</t>
  </si>
  <si>
    <t xml:space="preserve">A-BM-12: ₹17-28k</t>
  </si>
  <si>
    <t xml:space="preserve">A-ECO-171</t>
  </si>
  <si>
    <t xml:space="preserve">Local commute per class day (tricity resident)</t>
  </si>
  <si>
    <t xml:space="preserve">₹/day</t>
  </si>
  <si>
    <t xml:space="preserve">Judgement (auto/bus within tricity)</t>
  </si>
  <si>
    <t xml:space="preserve">A-ECO-172a</t>
  </si>
  <si>
    <t xml:space="preserve">Class days: Weekday format (12 weeks x 5 days)</t>
  </si>
  <si>
    <t xml:space="preserve">days</t>
  </si>
  <si>
    <t xml:space="preserve">§6.1 Weekday 12 weeks</t>
  </si>
  <si>
    <t xml:space="preserve">A-ECO-172b</t>
  </si>
  <si>
    <t xml:space="preserve">Class days: Flex format (~20 weeks x 3 days)</t>
  </si>
  <si>
    <t xml:space="preserve">§6.1 Flex ~20 weeks part-time</t>
  </si>
  <si>
    <t xml:space="preserve">A-ECO-52b</t>
  </si>
  <si>
    <t xml:space="preserve">Lead trainer FTE (0.5 = part-time senior trainer in the ₹10L plan)</t>
  </si>
  <si>
    <t xml:space="preserve">FTE</t>
  </si>
  <si>
    <t xml:space="preserve">BM §6.5: ₹10L plan = part-time trainer</t>
  </si>
  <si>
    <t xml:space="preserve">A-ECO-138</t>
  </si>
  <si>
    <t xml:space="preserve">Memo: market salary for the founder's ongoing role (brand face, curriculum, masterclasses, assessment)</t>
  </si>
  <si>
    <t xml:space="preserve">BM quotes EBITDA after a founder-role salary; judgement</t>
  </si>
  <si>
    <t xml:space="preserve">A-ECO-53</t>
  </si>
  <si>
    <t xml:space="preserve">Counsellor #1 start month</t>
  </si>
  <si>
    <t xml:space="preserve">Growth §10: C 1 FTE x10 mo; B/A from M1</t>
  </si>
  <si>
    <t xml:space="preserve">A-ECO-54</t>
  </si>
  <si>
    <t xml:space="preserve">Counsellor #2 FTE</t>
  </si>
  <si>
    <t xml:space="preserve">Growth §10: B 0.5 FTE x7; A 1 FTE x9</t>
  </si>
  <si>
    <t xml:space="preserve">A-ECO-55</t>
  </si>
  <si>
    <t xml:space="preserve">Counsellor #2 start month</t>
  </si>
  <si>
    <t xml:space="preserve">Growth §10 (re-aligned): B 0.5 FTE x6 after G1; A 1 FTE x9</t>
  </si>
  <si>
    <t xml:space="preserve">A-ECO-57a</t>
  </si>
  <si>
    <t xml:space="preserve">Marketing/content team start month</t>
  </si>
  <si>
    <t xml:space="preserve">Growth §10 (x11 months)</t>
  </si>
  <si>
    <t xml:space="preserve">A-ECO-57b</t>
  </si>
  <si>
    <t xml:space="preserve">Performance freelancer start month</t>
  </si>
  <si>
    <t xml:space="preserve">Growth §10 (x11)</t>
  </si>
  <si>
    <t xml:space="preserve">A-ECO-57c</t>
  </si>
  <si>
    <t xml:space="preserve">SEO freelancer start month</t>
  </si>
  <si>
    <t xml:space="preserve">Growth §10 (x10)</t>
  </si>
  <si>
    <t xml:space="preserve">A-ECO-57d</t>
  </si>
  <si>
    <t xml:space="preserve">Shooter/editor start month</t>
  </si>
  <si>
    <t xml:space="preserve">Growth §10 (re-aligned): C x12, B x11 from M2, A x12</t>
  </si>
  <si>
    <t xml:space="preserve">A-ECO-58</t>
  </si>
  <si>
    <t xml:space="preserve">Partnerships, PR / outcomes report, contingency (Growth §10 lines, monthly average)</t>
  </si>
  <si>
    <t xml:space="preserve">Growth §10: partnerships/events ex-rewards &amp; pop-ups + outcomes/PR + contingency</t>
  </si>
  <si>
    <t xml:space="preserve">A-ECO-110</t>
  </si>
  <si>
    <t xml:space="preserve">Stations in today's Sector 8 studio-academy</t>
  </si>
  <si>
    <t xml:space="preserve">stations</t>
  </si>
  <si>
    <t xml:space="preserve">Founder to confirm (BM: 8-12 needed)</t>
  </si>
  <si>
    <t xml:space="preserve">A-ECO-111</t>
  </si>
  <si>
    <t xml:space="preserve">Batch slots per day in today's space (morning, afternoon)</t>
  </si>
  <si>
    <t xml:space="preserve">Weekends kept for masterclasses / studio bridal work</t>
  </si>
  <si>
    <t xml:space="preserve">A-ECO-112</t>
  </si>
  <si>
    <t xml:space="preserve">Move to dedicated academy space in month (99 = no move in Year 1)</t>
  </si>
  <si>
    <t xml:space="preserve">BM §6.5: space only if studio cannot host 8-12 stations; capacity binds</t>
  </si>
  <si>
    <t xml:space="preserve">A-ECO-113</t>
  </si>
  <si>
    <t xml:space="preserve">New academy space size</t>
  </si>
  <si>
    <t xml:space="preserve">sq ft</t>
  </si>
  <si>
    <t xml:space="preserve">BM: 1,200-1,500 sq ft</t>
  </si>
  <si>
    <t xml:space="preserve">A-ECO-114</t>
  </si>
  <si>
    <t xml:space="preserve">Rent for new space</t>
  </si>
  <si>
    <t xml:space="preserve">₹/sq ft/mo</t>
  </si>
  <si>
    <t xml:space="preserve">S-CHD-22 asking rents: Sector 34 ₹113-130; Sector 21/Manimajra ₹80; city median ₹47</t>
  </si>
  <si>
    <t xml:space="preserve">[FACT] bands / [HYP] pick</t>
  </si>
  <si>
    <t xml:space="preserve">A-ECO-115</t>
  </si>
  <si>
    <t xml:space="preserve">Stations in new space</t>
  </si>
  <si>
    <t xml:space="preserve">Batch cap 12 (A-BM-01)</t>
  </si>
  <si>
    <t xml:space="preserve">A-ECO-116</t>
  </si>
  <si>
    <t xml:space="preserve">Batch slots per day in new space (incl. weekend / flex batch)</t>
  </si>
  <si>
    <t xml:space="preserve">BM: morning, afternoon, weekend slots</t>
  </si>
  <si>
    <t xml:space="preserve">A-ECO-117</t>
  </si>
  <si>
    <t xml:space="preserve">Maximum usable share of seat capacity</t>
  </si>
  <si>
    <t xml:space="preserve">Scheduling friction</t>
  </si>
  <si>
    <t xml:space="preserve">A-ECO-118</t>
  </si>
  <si>
    <t xml:space="preserve">Academy share of today's Sector 8 occupancy cost (rent + maintenance)</t>
  </si>
  <si>
    <t xml:space="preserve">Unknown - founder Q3; ~700 sq ft at ₹50-65</t>
  </si>
  <si>
    <t xml:space="preserve">A-ECO-119</t>
  </si>
  <si>
    <t xml:space="preserve">Utilities, housekeeping in today's space</t>
  </si>
  <si>
    <t xml:space="preserve">A-ECO-120</t>
  </si>
  <si>
    <t xml:space="preserve">Utilities, housekeeping, maintenance in new space</t>
  </si>
  <si>
    <t xml:space="preserve">Judgement (AC-heavy lighting)</t>
  </si>
  <si>
    <t xml:space="preserve">A-ECO-121</t>
  </si>
  <si>
    <t xml:space="preserve">Fit-out cost (interiors, electrical, AC, lighting, signage)</t>
  </si>
  <si>
    <t xml:space="preserve">₹/sq ft</t>
  </si>
  <si>
    <t xml:space="preserve">A-BM-07: ₹8-15L for 1,200-1,500 sq ft (S-BM-08/09)</t>
  </si>
  <si>
    <t xml:space="preserve">A-ECO-122</t>
  </si>
  <si>
    <t xml:space="preserve">Cost per additional makeup station (mirror, lights, chair, trolley)</t>
  </si>
  <si>
    <t xml:space="preserve">₹/station</t>
  </si>
  <si>
    <t xml:space="preserve">A-ECO-123</t>
  </si>
  <si>
    <t xml:space="preserve">Security deposit</t>
  </si>
  <si>
    <t xml:space="preserve">months of rent</t>
  </si>
  <si>
    <t xml:space="preserve">Typical commercial lease</t>
  </si>
  <si>
    <t xml:space="preserve">A-ECO-124</t>
  </si>
  <si>
    <t xml:space="preserve">Front-desk / operations coordinator (from move month)</t>
  </si>
  <si>
    <t xml:space="preserve">A-ECO-125</t>
  </si>
  <si>
    <t xml:space="preserve">Academy manager / admissions head salary</t>
  </si>
  <si>
    <t xml:space="preserve">BM §6.1: academy manager M12-18</t>
  </si>
  <si>
    <t xml:space="preserve">A-ECO-126</t>
  </si>
  <si>
    <t xml:space="preserve">Academy manager start month</t>
  </si>
  <si>
    <t xml:space="preserve">BM §6.1</t>
  </si>
  <si>
    <t xml:space="preserve">A-ECO-127</t>
  </si>
  <si>
    <t xml:space="preserve">LMS / hybrid platform</t>
  </si>
  <si>
    <t xml:space="preserve">From hybrid launch</t>
  </si>
  <si>
    <t xml:space="preserve">A-ECO-128</t>
  </si>
  <si>
    <t xml:space="preserve">Destination format start month: pilot cohort (A-ECO-161) over the first two intakes, then out-of-town L3 students take the format (Staged: not before G1+1)</t>
  </si>
  <si>
    <t xml:space="preserve">BM: pilot before G2; Gate E: pilot Aug-Sep 2027 (M10-M11) after G1 at M9</t>
  </si>
  <si>
    <t xml:space="preserve">A-ECO-129</t>
  </si>
  <si>
    <t xml:space="preserve">Hybrid pre-work content production + LMS set-up (capex, 2 months before launch)</t>
  </si>
  <si>
    <t xml:space="preserve">BM §6.5: ₹1L / 3-4L / 5-6L</t>
  </si>
  <si>
    <t xml:space="preserve">A-ECO-130</t>
  </si>
  <si>
    <t xml:space="preserve">Regional pop-up pilot start month</t>
  </si>
  <si>
    <t xml:space="preserve">BM: pilots ≤₹2L from ~M9 before G2</t>
  </si>
  <si>
    <t xml:space="preserve">A-ECO-131</t>
  </si>
  <si>
    <t xml:space="preserve">Masterclass (L4) seats offered per month at steady state</t>
  </si>
  <si>
    <t xml:space="preserve">seats/mo</t>
  </si>
  <si>
    <t xml:space="preserve">A-GRO §10.3 (2 x 12 base); BM A-BM-05</t>
  </si>
  <si>
    <t xml:space="preserve">A-ECO-132</t>
  </si>
  <si>
    <t xml:space="preserve">Masterclass fill (sell-through)</t>
  </si>
  <si>
    <t xml:space="preserve">Growth KPI ≥80% sell-through</t>
  </si>
  <si>
    <t xml:space="preserve">A-ECO-133</t>
  </si>
  <si>
    <t xml:space="preserve">Self-makeup (L1-S5) seats per month, season-average</t>
  </si>
  <si>
    <t xml:space="preserve">A-GRO §10.3 (15 base)</t>
  </si>
  <si>
    <t xml:space="preserve">A-ECO-134</t>
  </si>
  <si>
    <t xml:space="preserve">Admin, accounting, professional fees, insurance, misc.</t>
  </si>
  <si>
    <t xml:space="preserve">A-ECO-135</t>
  </si>
  <si>
    <t xml:space="preserve">One-off: B&amp;WSSC alignment, legal (fee/refund/claims), accounting set-up (month 3)</t>
  </si>
  <si>
    <t xml:space="preserve">BM §6.5: ₹0.5L / 1-2L</t>
  </si>
  <si>
    <t xml:space="preserve">A-ECO-136</t>
  </si>
  <si>
    <t xml:space="preserve">Capex month 1: CRM/WhatsApp BSP set-up, GBP, photo/video proof kit</t>
  </si>
  <si>
    <t xml:space="preserve">BM §6.5 CRM/website/proof ₹1.5L / 2-3L / 3-4L less website</t>
  </si>
  <si>
    <t xml:space="preserve">A-ECO-137</t>
  </si>
  <si>
    <t xml:space="preserve">Referral-route share of career enrolments (for rewards)</t>
  </si>
  <si>
    <t xml:space="preserve">A-ECO-201</t>
  </si>
  <si>
    <t xml:space="preserve">Career enrolment growth: Y2 vs annualised Y1 H2 run-rate</t>
  </si>
  <si>
    <t xml:space="preserve">Directional</t>
  </si>
  <si>
    <t xml:space="preserve">A-ECO-202</t>
  </si>
  <si>
    <t xml:space="preserve">Career enrolment growth: Y3 vs Y2</t>
  </si>
  <si>
    <t xml:space="preserve">A-ECO-203a</t>
  </si>
  <si>
    <t xml:space="preserve">Out-of-town share of career enrolments, Y2</t>
  </si>
  <si>
    <t xml:space="preserve">A-GRO-37; BM A-BM-21</t>
  </si>
  <si>
    <t xml:space="preserve">A-ECO-203b</t>
  </si>
  <si>
    <t xml:space="preserve">Out-of-town share of career enrolments, Y3</t>
  </si>
  <si>
    <t xml:space="preserve">BM: 25-35% by M30 (base)</t>
  </si>
  <si>
    <t xml:space="preserve">A-ECO-204a</t>
  </si>
  <si>
    <t xml:space="preserve">Incremental destination/hybrid regional students (G2 engine), Y2</t>
  </si>
  <si>
    <t xml:space="preserve">BM A-BM-17: P1 out-of-town 10/35/60 by Y3</t>
  </si>
  <si>
    <t xml:space="preserve">A-ECO-204b</t>
  </si>
  <si>
    <t xml:space="preserve">Incremental destination/hybrid regional students, Y3</t>
  </si>
  <si>
    <t xml:space="preserve">BM A-BM-17</t>
  </si>
  <si>
    <t xml:space="preserve">A-ECO-205a</t>
  </si>
  <si>
    <t xml:space="preserve">Masterclass seats sold, Y2</t>
  </si>
  <si>
    <t xml:space="preserve">seats</t>
  </si>
  <si>
    <t xml:space="preserve">A-BM-05: base 280 by Y3</t>
  </si>
  <si>
    <t xml:space="preserve">A-ECO-205b</t>
  </si>
  <si>
    <t xml:space="preserve">Masterclass seats sold, Y3</t>
  </si>
  <si>
    <t xml:space="preserve">A-BM-05; A-BM-17 120/280/400</t>
  </si>
  <si>
    <t xml:space="preserve">A-ECO-206a</t>
  </si>
  <si>
    <t xml:space="preserve">Self-makeup seats, Y2</t>
  </si>
  <si>
    <t xml:space="preserve">A-ECO-206b</t>
  </si>
  <si>
    <t xml:space="preserve">Self-makeup seats, Y3</t>
  </si>
  <si>
    <t xml:space="preserve">A-ECO-207a</t>
  </si>
  <si>
    <t xml:space="preserve">Regional pop-up events, Y2</t>
  </si>
  <si>
    <t xml:space="preserve">events</t>
  </si>
  <si>
    <t xml:space="preserve">geographic_expansion §5.2 (~14-event circuit after G2)</t>
  </si>
  <si>
    <t xml:space="preserve">A-ECO-207b</t>
  </si>
  <si>
    <t xml:space="preserve">Regional pop-up events, Y3</t>
  </si>
  <si>
    <t xml:space="preserve">A-ECO-208a</t>
  </si>
  <si>
    <t xml:space="preserve">Online short-course / online masterclass buyers, Y2</t>
  </si>
  <si>
    <t xml:space="preserve">buyers</t>
  </si>
  <si>
    <t xml:space="preserve">Deferred to gate: ≥50k engaged followers (BM §6.3)</t>
  </si>
  <si>
    <t xml:space="preserve">A-ECO-208b</t>
  </si>
  <si>
    <t xml:space="preserve">Online buyers, Y3</t>
  </si>
  <si>
    <t xml:space="preserve">A-ECO-209</t>
  </si>
  <si>
    <t xml:space="preserve">Online course / masterclass price</t>
  </si>
  <si>
    <t xml:space="preserve">Orane ₹499; Mickey Contractor ₹2,999 (S-NC-17/43)</t>
  </si>
  <si>
    <t xml:space="preserve">A-ECO-210</t>
  </si>
  <si>
    <t xml:space="preserve">Online: CAC per paid buyer x paid share 50%</t>
  </si>
  <si>
    <t xml:space="preserve">₹/buyer</t>
  </si>
  <si>
    <t xml:space="preserve">A-ECO-211</t>
  </si>
  <si>
    <t xml:space="preserve">Online content production per year (opex)</t>
  </si>
  <si>
    <t xml:space="preserve">A-ECO-212</t>
  </si>
  <si>
    <t xml:space="preserve">Online platform / payment fee</t>
  </si>
  <si>
    <t xml:space="preserve">A-BM-09a</t>
  </si>
  <si>
    <t xml:space="preserve">Alumni booking-desk referred bookings, Y2</t>
  </si>
  <si>
    <t xml:space="preserve">bookings</t>
  </si>
  <si>
    <t xml:space="preserve">A-BM-09: 30/120/150 by Y3</t>
  </si>
  <si>
    <t xml:space="preserve">A-BM-09b</t>
  </si>
  <si>
    <t xml:space="preserve">Alumni booking-desk referred bookings, Y3</t>
  </si>
  <si>
    <t xml:space="preserve">A-BM-09</t>
  </si>
  <si>
    <t xml:space="preserve">A-BM-09c</t>
  </si>
  <si>
    <t xml:space="preserve">Desk fee per referred booking (10-15% or flat ₹1-2.5k)</t>
  </si>
  <si>
    <t xml:space="preserve">A-ECO-213a</t>
  </si>
  <si>
    <t xml:space="preserve">Brand partnership / sponsorship net income, Y2</t>
  </si>
  <si>
    <t xml:space="preserve">A-BM-17 kits/brand ₹3/6/10L by Y3</t>
  </si>
  <si>
    <t xml:space="preserve">A-ECO-213b</t>
  </si>
  <si>
    <t xml:space="preserve">Brand partnership / sponsorship net income, Y3</t>
  </si>
  <si>
    <t xml:space="preserve">A-BM-17</t>
  </si>
  <si>
    <t xml:space="preserve">A-ECO-214</t>
  </si>
  <si>
    <t xml:space="preserve">Partner-hosted satellite students in Y3 (only if G3a met; Aggressive only)</t>
  </si>
  <si>
    <t xml:space="preserve">BM §6.3 G3a ≥M24; geographic_expansion §4.1(b)</t>
  </si>
  <si>
    <t xml:space="preserve">A-BM-19</t>
  </si>
  <si>
    <t xml:space="preserve">Satellite host revenue share</t>
  </si>
  <si>
    <t xml:space="preserve">A-BM-19: 20-30%</t>
  </si>
  <si>
    <t xml:space="preserve">A-ECO-215</t>
  </si>
  <si>
    <t xml:space="preserve">Satellite trainer allocation per student + set-up capex</t>
  </si>
  <si>
    <t xml:space="preserve">geographic_expansion §4.1(b) ₹10k; capex ₹2-5L</t>
  </si>
  <si>
    <t xml:space="preserve">A-ECO-216</t>
  </si>
  <si>
    <t xml:space="preserve">Satellite set-up capex (stations, branding, kit)</t>
  </si>
  <si>
    <t xml:space="preserve">geographic_expansion §4.1(b)</t>
  </si>
  <si>
    <t xml:space="preserve">A-ECO-217</t>
  </si>
  <si>
    <t xml:space="preserve">Annual L3 / L2 fee escalation from Y3</t>
  </si>
  <si>
    <t xml:space="preserve">Directional, proof-led price steps</t>
  </si>
  <si>
    <t xml:space="preserve">A-ECO-218</t>
  </si>
  <si>
    <t xml:space="preserve">Wage escalation per year</t>
  </si>
  <si>
    <t xml:space="preserve">A-ECO-219</t>
  </si>
  <si>
    <t xml:space="preserve">Rent escalation per year</t>
  </si>
  <si>
    <t xml:space="preserve">Typical lease</t>
  </si>
  <si>
    <t xml:space="preserve">A-ECO-220a</t>
  </si>
  <si>
    <t xml:space="preserve">Batch slots per day, Y2</t>
  </si>
  <si>
    <t xml:space="preserve">Weekend / evening batches</t>
  </si>
  <si>
    <t xml:space="preserve">A-ECO-220b</t>
  </si>
  <si>
    <t xml:space="preserve">Batch slots per day, Y3</t>
  </si>
  <si>
    <t xml:space="preserve">A-ECO-221a</t>
  </si>
  <si>
    <t xml:space="preserve">Stations, Y2</t>
  </si>
  <si>
    <t xml:space="preserve">A-ECO-221b</t>
  </si>
  <si>
    <t xml:space="preserve">Stations, Y3</t>
  </si>
  <si>
    <t xml:space="preserve">A-ECO-222a</t>
  </si>
  <si>
    <t xml:space="preserve">Counsellor FTE, Y2</t>
  </si>
  <si>
    <t xml:space="preserve">Counsellor load A-GRO-38</t>
  </si>
  <si>
    <t xml:space="preserve">A-ECO-222b</t>
  </si>
  <si>
    <t xml:space="preserve">Counsellor FTE, Y3</t>
  </si>
  <si>
    <t xml:space="preserve">A-ECO-223a</t>
  </si>
  <si>
    <t xml:space="preserve">Academy manager in post, Y2 (FTE)</t>
  </si>
  <si>
    <t xml:space="preserve">BM: M12-18</t>
  </si>
  <si>
    <t xml:space="preserve">A-ECO-223b</t>
  </si>
  <si>
    <t xml:space="preserve">Academy manager in post, Y3 (FTE; Conservative part-time ops lead)</t>
  </si>
  <si>
    <t xml:space="preserve">A-ECO-224a</t>
  </si>
  <si>
    <t xml:space="preserve">Paid media, Y2</t>
  </si>
  <si>
    <t xml:space="preserve">Growth steady-state x 12; Conservative = test level after failed spend gates (stop-loss)</t>
  </si>
  <si>
    <t xml:space="preserve">A-ECO-224b</t>
  </si>
  <si>
    <t xml:space="preserve">Paid media, Y3</t>
  </si>
  <si>
    <t xml:space="preserve">Conservative held at test level</t>
  </si>
  <si>
    <t xml:space="preserve">A-BM-15</t>
  </si>
  <si>
    <t xml:space="preserve">Regional acquisition cost per incremental destination student</t>
  </si>
  <si>
    <t xml:space="preserve">A-BM-15 out-of-town CAC ₹10-15k</t>
  </si>
  <si>
    <t xml:space="preserve">A-ECO-225</t>
  </si>
  <si>
    <t xml:space="preserve">Accommodation-partner coordination cost per destination student</t>
  </si>
  <si>
    <t xml:space="preserve">geographic_expansion §4.1(a) ₹2k</t>
  </si>
  <si>
    <t xml:space="preserve">A-ECO-226a</t>
  </si>
  <si>
    <t xml:space="preserve">Capex Y2 (hybrid content refresh / build, stations, photo studio)</t>
  </si>
  <si>
    <t xml:space="preserve">A-ECO-226b</t>
  </si>
  <si>
    <t xml:space="preserve">Capex Y3 (content refresh, stations)</t>
  </si>
  <si>
    <t xml:space="preserve">A-ECO-227</t>
  </si>
  <si>
    <t xml:space="preserve">Kit / product margin on retail sales to students &amp; alumni, per career student per year (post price-step)</t>
  </si>
  <si>
    <t xml:space="preserve">Same basis as A-ECO-37 (optional kit at near cost)</t>
  </si>
  <si>
    <t xml:space="preserve">Programme unit economics - per seat and per cohort (scenario = Assumptions!C3 selector)</t>
  </si>
  <si>
    <t xml:space="preserve">Ladder from positioning_and_segments.md §6 (Growth) with BM realised fees. Fees incl. GST as quoted; revenue ex-GST. Trainer cost is a standard cost (salary / slots / fill).</t>
  </si>
  <si>
    <t xml:space="preserve">L1 Career Taster</t>
  </si>
  <si>
    <t xml:space="preserve">L1-S5 Self-makeup</t>
  </si>
  <si>
    <t xml:space="preserve">L2 Foundation</t>
  </si>
  <si>
    <t xml:space="preserve">L3 Pro - today's fee (CA-02, incl. kit)</t>
  </si>
  <si>
    <t xml:space="preserve">L3 Pro - after price step (A-BM-02)</t>
  </si>
  <si>
    <t xml:space="preserve">L3 Destination (price parity, step-2 fee)</t>
  </si>
  <si>
    <t xml:space="preserve">L4 Masterclass</t>
  </si>
  <si>
    <t xml:space="preserve">L5 Pro Circle (per yr)</t>
  </si>
  <si>
    <t xml:space="preserve">L3 Pro - price step 1 (₹75k list x realisation)</t>
  </si>
  <si>
    <t xml:space="preserve">Notes</t>
  </si>
  <si>
    <t xml:space="preserve">Duration (on-campus months; seat-months per student)</t>
  </si>
  <si>
    <t xml:space="preserve">Contact hours (indicative)</t>
  </si>
  <si>
    <t xml:space="preserve">Batch cap (A-BM-01) / seats per session</t>
  </si>
  <si>
    <t xml:space="preserve">Cohort fill used (A-ECO-47; masterclass x A-ECO-132)</t>
  </si>
  <si>
    <t xml:space="preserve">Fee incl. GST (as quoted)</t>
  </si>
  <si>
    <t xml:space="preserve">Revenue per seat ex-GST</t>
  </si>
  <si>
    <t xml:space="preserve">Kit cost borne by PNA</t>
  </si>
  <si>
    <t xml:space="preserve">Consumables / models / delivery</t>
  </si>
  <si>
    <t xml:space="preserve">Trainer + assistant cost per batch (standard: salary x months / slots)</t>
  </si>
  <si>
    <t xml:space="preserve">Trainer cost per student (batch cost / fill)</t>
  </si>
  <si>
    <t xml:space="preserve">Payment gateway + EMI subvention</t>
  </si>
  <si>
    <t xml:space="preserve">Contribution per seat before CAC</t>
  </si>
  <si>
    <t xml:space="preserve">Contribution margin %</t>
  </si>
  <si>
    <t xml:space="preserve">Acquisition cost per seat (career: effective paid CAC x paid share + referral reward share; L4/L1-S5: funnel media per seat)</t>
  </si>
  <si>
    <t xml:space="preserve">Contribution per seat after CAC</t>
  </si>
  <si>
    <t xml:space="preserve">Occupancy cost per seat (today's space: rent + utilities / seat-months)</t>
  </si>
  <si>
    <t xml:space="preserve">Cohort fixed cost (trainer batch cost + occupancy x batch cap)</t>
  </si>
  <si>
    <t xml:space="preserve">Variable cost per seat (kit + consumables + payment + CAC)</t>
  </si>
  <si>
    <t xml:space="preserve">Breakeven students per cohort</t>
  </si>
  <si>
    <t xml:space="preserve">Breakeven fill % of batch cap (BM M1)</t>
  </si>
  <si>
    <t xml:space="preserve">Cohort contribution at 10 students (after CAC, trainer, occupancy)</t>
  </si>
  <si>
    <t xml:space="preserve">Cohort contribution at 12 students</t>
  </si>
  <si>
    <t xml:space="preserve">Cohort contribution at 14 students (cap raised; quality risk)</t>
  </si>
  <si>
    <t xml:space="preserve">Batches per year per slot (12 / duration)</t>
  </si>
  <si>
    <t xml:space="preserve">Today's illustrative baseline (CA-01 x CA-02 mix) - NOT actual revenue; founder data pull (V1) to replace</t>
  </si>
  <si>
    <t xml:space="preserve">Students per year (CA-01)</t>
  </si>
  <si>
    <t xml:space="preserve">Career share (A-ECO-101)</t>
  </si>
  <si>
    <t xml:space="preserve">Career students</t>
  </si>
  <si>
    <t xml:space="preserve">Short-course students</t>
  </si>
  <si>
    <t xml:space="preserve">Illustrative revenue incl. GST (career x CA-02 + short x A-ECO-102)</t>
  </si>
  <si>
    <t xml:space="preserve">Illustrative revenue ex-GST</t>
  </si>
  <si>
    <t xml:space="preserve">Illustrative contribution (kit + consumables + payment)</t>
  </si>
  <si>
    <t xml:space="preserve">Less academy occupancy share x 12</t>
  </si>
  <si>
    <t xml:space="preserve">Illustrative academy surplus before founder's time (NOT actual profit)</t>
  </si>
  <si>
    <t xml:space="preserve">BM's '~₹0.3 crore today' is this same CA-01 x CA-02 arithmetic (50 x ₹60k), an estimate, not PNA's reported revenue.</t>
  </si>
  <si>
    <t xml:space="preserve">Student all-in cost by L3 format (₹, incl. GST as quoted): tuition + optional kit + living / travel - what parents compare</t>
  </si>
  <si>
    <t xml:space="preserve">Weekday - tricity resident</t>
  </si>
  <si>
    <t xml:space="preserve">Weekday - out-of-town (12-week stay)</t>
  </si>
  <si>
    <t xml:space="preserve">Flex - tricity resident</t>
  </si>
  <si>
    <t xml:space="preserve">Destination - out-of-town (5-6-week stay)</t>
  </si>
  <si>
    <t xml:space="preserve">Today's fee (CA-02; basic kit included)</t>
  </si>
  <si>
    <t xml:space="preserve">L3 list fee at price step 1</t>
  </si>
  <si>
    <t xml:space="preserve">L3 list fee at price step 2</t>
  </si>
  <si>
    <t xml:space="preserve">Optional pro kit (itemised; never compulsory)</t>
  </si>
  <si>
    <t xml:space="preserve">Living + travel (A-BM-12a/b; local commute A-ECO-171 x class days)</t>
  </si>
  <si>
    <t xml:space="preserve">All-in at today's fee (kit included)</t>
  </si>
  <si>
    <t xml:space="preserve">All-in at step 1, without optional kit</t>
  </si>
  <si>
    <t xml:space="preserve">All-in at step 1, with optional kit</t>
  </si>
  <si>
    <t xml:space="preserve">All-in at step 2, without optional kit</t>
  </si>
  <si>
    <t xml:space="preserve">All-in at step 2, with optional kit</t>
  </si>
  <si>
    <t xml:space="preserve">Premium vs Weekday tricity resident (step 2, with kit)</t>
  </si>
  <si>
    <t xml:space="preserve">Living cost excludes refundable PG deposits. Destination = 4 weeks online pre-work at home + 5-6 weeks in Chandigarh (A-BM-12b); Weekday out-of-town = 12-week stay (A-BM-12a). Fees are the GST-inclusive numbers families see.</t>
  </si>
  <si>
    <t xml:space="preserve">Directional 3-year scenarios (₹ lakh, ex-GST) - Year 1 = 12-month outlook; Years 2-3 driver-based</t>
  </si>
  <si>
    <t xml:space="preserve">Layers: flagship (tricity + regional offline), destination/hybrid, CPD (masterclasses + Pro Circle), online, adjacents, and a partner-hosted satellite only if gate G3a is met (Aggressive Y3).</t>
  </si>
  <si>
    <t xml:space="preserve">Line (₹ lakh unless stated)</t>
  </si>
  <si>
    <t xml:space="preserve">Basis</t>
  </si>
  <si>
    <t xml:space="preserve">Volumes</t>
  </si>
  <si>
    <t xml:space="preserve">Career demand before any price response (flagship L2 + L3 new students)</t>
  </si>
  <si>
    <t xml:space="preserve">Y2 = 2 x Y1 H2 run-rate (pre-move months use demand, not capacity-limited enrolments), de-seasonalised (May-Oct index), x (1+A-ECO-201); Y3 x (1+A-ECO-202); capacity-capped below</t>
  </si>
  <si>
    <t xml:space="preserve">Price-response factor on career enrolments after price step 2 (groups 7-8: A-ECO-228a/b)</t>
  </si>
  <si>
    <t xml:space="preserve">Y2: response applies to the months after step 2 (A-ECO-106); Y3: full year</t>
  </si>
  <si>
    <t xml:space="preserve">Career enrolments, flagship (L2 + L3 new students)</t>
  </si>
  <si>
    <t xml:space="preserve">L3 share of career enrolments</t>
  </si>
  <si>
    <t xml:space="preserve">Incremental destination/hybrid regional students (G2 engine)</t>
  </si>
  <si>
    <t xml:space="preserve">Y1 destination-format students are inside career enrolments; group 9: G2 not passed</t>
  </si>
  <si>
    <t xml:space="preserve">L2 -&gt; L3 upgrades</t>
  </si>
  <si>
    <t xml:space="preserve">Stations</t>
  </si>
  <si>
    <t xml:space="preserve">Batch slots per day</t>
  </si>
  <si>
    <t xml:space="preserve">Usable seat-months per year</t>
  </si>
  <si>
    <t xml:space="preserve">Seat-months needed (L3 x3, L2 x1, upgrades x3, destination x2.5)</t>
  </si>
  <si>
    <t xml:space="preserve">Capacity factor (share of planned volume that fits)</t>
  </si>
  <si>
    <t xml:space="preserve">Seat utilisation</t>
  </si>
  <si>
    <t xml:space="preserve">Career enrolments delivered (after capacity)</t>
  </si>
  <si>
    <t xml:space="preserve">Destination/hybrid incremental students delivered</t>
  </si>
  <si>
    <t xml:space="preserve">Masterclass seats</t>
  </si>
  <si>
    <t xml:space="preserve">Self-makeup seats</t>
  </si>
  <si>
    <t xml:space="preserve">Pop-up events</t>
  </si>
  <si>
    <t xml:space="preserve">Online short-course buyers</t>
  </si>
  <si>
    <t xml:space="preserve">Gated on ≥50k engaged followers; group 9: gate not passed</t>
  </si>
  <si>
    <t xml:space="preserve">Pro Circle paid members (graduates after free year + S3 buyers)</t>
  </si>
  <si>
    <t xml:space="preserve">Partner-hosted satellite students (only if G3a met)</t>
  </si>
  <si>
    <t xml:space="preserve">Founder share of contact hours (Staged: Gate D path)</t>
  </si>
  <si>
    <t xml:space="preserve">Prices (incl. GST)</t>
  </si>
  <si>
    <t xml:space="preserve">L3 / destination realised fee (two-step path: months before step 2 at step-1 realised)</t>
  </si>
  <si>
    <t xml:space="preserve">L2 Foundation fee</t>
  </si>
  <si>
    <t xml:space="preserve">Revenue (₹ lakh, ex-GST)</t>
  </si>
  <si>
    <t xml:space="preserve">Flagship career revenue - tricity-origin</t>
  </si>
  <si>
    <t xml:space="preserve">career revenue x (1 - out-of-town share)</t>
  </si>
  <si>
    <t xml:space="preserve">Flagship career revenue - out-of-town (regional destination, offline)</t>
  </si>
  <si>
    <t xml:space="preserve">Destination/hybrid incremental regional students</t>
  </si>
  <si>
    <t xml:space="preserve">Entry products: taster, self-makeup, pop-up tickets</t>
  </si>
  <si>
    <t xml:space="preserve">Working-artist CPD: L4 masterclasses + L5 Pro Circle</t>
  </si>
  <si>
    <t xml:space="preserve">Online short courses</t>
  </si>
  <si>
    <t xml:space="preserve">Adjacents: kit margin, alumni booking desk, brand partnerships</t>
  </si>
  <si>
    <t xml:space="preserve">group 9: adjacents not counted in the base business (review RT-10)</t>
  </si>
  <si>
    <t xml:space="preserve">Partner-hosted satellite (PNA share after host revenue share)</t>
  </si>
  <si>
    <t xml:space="preserve">Revenue growth</t>
  </si>
  <si>
    <t xml:space="preserve">Costs (₹ lakh)</t>
  </si>
  <si>
    <t xml:space="preserve">Variable delivery: consumables, kits, payment/EMI, rewards, pop-ups, Pro Circle service, satellite trainer</t>
  </si>
  <si>
    <t xml:space="preserve">Trainers + assistants (batch-slots x (1 - founder share) / slots per FTE; wage escalation)</t>
  </si>
  <si>
    <t xml:space="preserve">Growth team: counsellors, marketing/content, freelancers (Y2+: counsellor FTE input + Y1 M12 team run-rate)</t>
  </si>
  <si>
    <t xml:space="preserve">Academy manager + front desk + Admissions &amp; Operations Lead premium</t>
  </si>
  <si>
    <t xml:space="preserve">incl. the Admissions &amp; Operations Lead premium (A-ECO-157) in Staged groups</t>
  </si>
  <si>
    <t xml:space="preserve">Rent + utilities</t>
  </si>
  <si>
    <t xml:space="preserve">Paid media + regional acquisition + online CAC</t>
  </si>
  <si>
    <t xml:space="preserve">Tech, partnerships/PR, admin, online content, one-offs</t>
  </si>
  <si>
    <t xml:space="preserve">Total costs</t>
  </si>
  <si>
    <t xml:space="preserve">Memo: EBITDA after a founder-role salary (A-ECO-138 x 12, wage escalation)</t>
  </si>
  <si>
    <t xml:space="preserve">Memo: EBITDA margin after founder-role salary</t>
  </si>
  <si>
    <t xml:space="preserve">Capex and deposits (Staged: recorded hybrid library A-ECO-129 deferred to Year 2 / T3)</t>
  </si>
  <si>
    <t xml:space="preserve">Net cash flow (Y1 incl. instalment timing)</t>
  </si>
  <si>
    <t xml:space="preserve">Peak cash need to date (Y1 monthly peak; Y2-3 year-end)</t>
  </si>
  <si>
    <t xml:space="preserve">SOM layers for market_sizing_model.xlsx (Year 3, ₹ lakh ex-GST)</t>
  </si>
  <si>
    <t xml:space="preserve">Tricity flagship (career tricity-origin + entry products)</t>
  </si>
  <si>
    <t xml:space="preserve">Regional destination offline (+ satellite)</t>
  </si>
  <si>
    <t xml:space="preserve">Hybrid incremental</t>
  </si>
  <si>
    <t xml:space="preserve">CPD (L4 + L5)</t>
  </si>
  <si>
    <t xml:space="preserve">Online</t>
  </si>
  <si>
    <t xml:space="preserve">Adjacent (outside training market)</t>
  </si>
  <si>
    <t xml:space="preserve">SOM learners: tricity-origin career students (L2 + L3 new)</t>
  </si>
  <si>
    <t xml:space="preserve">SOM learners: out-of-town career students (+ satellite)</t>
  </si>
  <si>
    <t xml:space="preserve">SOM learners: incremental destination/hybrid students</t>
  </si>
  <si>
    <t xml:space="preserve">Checks</t>
  </si>
  <si>
    <t xml:space="preserve">Layers reconcile to total revenue (should be 0)</t>
  </si>
  <si>
    <t xml:space="preserve">Unit economics by business model (directional, Base rates, at maturity) - ₹ unless stated</t>
  </si>
  <si>
    <t xml:space="preserve">Side-by-side with the same metric rows. Inputs are in this sheet's input block (blue) with IDs; models link to 3yr_Scenarios where they are part of the recommended plan.</t>
  </si>
  <si>
    <t xml:space="preserve">Input ID</t>
  </si>
  <si>
    <t xml:space="preserve">Value</t>
  </si>
  <si>
    <t xml:space="preserve">Source</t>
  </si>
  <si>
    <t xml:space="preserve">A-ECO-301</t>
  </si>
  <si>
    <t xml:space="preserve">B1 owned regional centre: annual fixed cost (rent, lead trainer, trainer, counsellor, utilities, local brand, management)</t>
  </si>
  <si>
    <t xml:space="preserve">A-BM-13 [HYP]</t>
  </si>
  <si>
    <t xml:space="preserve">A-ECO-302</t>
  </si>
  <si>
    <t xml:space="preserve">B1 owned centre: capex + launch</t>
  </si>
  <si>
    <t xml:space="preserve">A-BM-13 ₹13-20L [HYP]</t>
  </si>
  <si>
    <t xml:space="preserve">A-ECO-303</t>
  </si>
  <si>
    <t xml:space="preserve">B1 owned centre: P1 students per year at maturity (Base)</t>
  </si>
  <si>
    <t xml:space="preserve">BM breakeven ~46 [HYP]</t>
  </si>
  <si>
    <t xml:space="preserve">A-ECO-304</t>
  </si>
  <si>
    <t xml:space="preserve">B2 partner-hosted satellite: students per year</t>
  </si>
  <si>
    <t xml:space="preserve">geographic_expansion §4.1 [HYP]</t>
  </si>
  <si>
    <t xml:space="preserve">A-ECO-305</t>
  </si>
  <si>
    <t xml:space="preserve">B3 franchise: royalty rate</t>
  </si>
  <si>
    <t xml:space="preserve">A-BM-08 15-20% [HYP]</t>
  </si>
  <si>
    <t xml:space="preserve">A-ECO-306</t>
  </si>
  <si>
    <t xml:space="preserve">B3 franchise: franchisee revenue per unit per year</t>
  </si>
  <si>
    <t xml:space="preserve">Assumed: 46 P1 x ₹80k + short courses [HYP]</t>
  </si>
  <si>
    <t xml:space="preserve">A-ECO-307</t>
  </si>
  <si>
    <t xml:space="preserve">B3 franchise: PNA support cost per unit per year</t>
  </si>
  <si>
    <t xml:space="preserve">geographic_expansion §4.1(d) ₹3-5L [HYP]</t>
  </si>
  <si>
    <t xml:space="preserve">A-ECO-308</t>
  </si>
  <si>
    <t xml:space="preserve">B3 franchise: brand/franchise fee per unit (one-off) and system build cost</t>
  </si>
  <si>
    <t xml:space="preserve">A-BM-08 ₹4.3-5.0L; system ₹5-10L [HYP]</t>
  </si>
  <si>
    <t xml:space="preserve">A-ECO-309</t>
  </si>
  <si>
    <t xml:space="preserve">B3 franchise system build (manuals, audits, legal)</t>
  </si>
  <si>
    <t xml:space="preserve">geographic_expansion §4.1(d) [HYP]</t>
  </si>
  <si>
    <t xml:space="preserve">A-ECO-310</t>
  </si>
  <si>
    <t xml:space="preserve">C digital stand-alone: buyers per year at maturity</t>
  </si>
  <si>
    <t xml:space="preserve">Gate: ≥200/month organic (BM §6.3) [HYP]</t>
  </si>
  <si>
    <t xml:space="preserve">A-ECO-311</t>
  </si>
  <si>
    <t xml:space="preserve">C digital: content + platform fixed cost per year</t>
  </si>
  <si>
    <t xml:space="preserve">Production + LMS + live sessions [HYP]</t>
  </si>
  <si>
    <t xml:space="preserve">A-ECO-312</t>
  </si>
  <si>
    <t xml:space="preserve">E marketplace: average order value (bridal + party mix)</t>
  </si>
  <si>
    <t xml:space="preserve">Bridal ₹15-25k; party ₹1.5-3k (S-CHD-12; A-CUS-02) [HYP]</t>
  </si>
  <si>
    <t xml:space="preserve">A-ECO-313</t>
  </si>
  <si>
    <t xml:space="preserve">E marketplace: take rate</t>
  </si>
  <si>
    <t xml:space="preserve">UC 25-28%; Treatwell new-client only (S-INT-17/29) [HYP]</t>
  </si>
  <si>
    <t xml:space="preserve">A-ECO-314</t>
  </si>
  <si>
    <t xml:space="preserve">E marketplace: fulfilment / QA / support / re-do cost per booking</t>
  </si>
  <si>
    <t xml:space="preserve">Judgement; UC onboarding 22.8% of revenue (S-INT-11) [HYP]</t>
  </si>
  <si>
    <t xml:space="preserve">A-ECO-315</t>
  </si>
  <si>
    <t xml:space="preserve">E marketplace: CAC per new customer</t>
  </si>
  <si>
    <t xml:space="preserve">Bridal CPL ₹300-800, low conversion [HYP]</t>
  </si>
  <si>
    <t xml:space="preserve">A-ECO-316</t>
  </si>
  <si>
    <t xml:space="preserve">E marketplace: bookings per customer over 24 months (bridal ≈ once; leakage after first)</t>
  </si>
  <si>
    <t xml:space="preserve">BM: bridal once-in-a-lifetime; Treatwell repeat commission-free [HYP]</t>
  </si>
  <si>
    <t xml:space="preserve">A-ECO-317</t>
  </si>
  <si>
    <t xml:space="preserve">E marketplace: platform tech + ops team + artist onboarding per year</t>
  </si>
  <si>
    <t xml:space="preserve">Tech ₹8L + 2 ops ₹7.2L + onboarding/QA ₹4L + marketing ops ₹4.8L [HYP]</t>
  </si>
  <si>
    <t xml:space="preserve">A-ECO-318</t>
  </si>
  <si>
    <t xml:space="preserve">E marketplace: bookings per year (≈5% of tricity pro-MUA bridal bookings x2 for party)</t>
  </si>
  <si>
    <t xml:space="preserve">A-BM-11: 8.2k tricity bridal bookings [HYP]</t>
  </si>
  <si>
    <t xml:space="preserve">A-ECO-319</t>
  </si>
  <si>
    <t xml:space="preserve">Discount rate for 5-year NPV</t>
  </si>
  <si>
    <t xml:space="preserve">Judgement for an owner-managed SME [HYP]</t>
  </si>
  <si>
    <t xml:space="preserve">A-ECO-320</t>
  </si>
  <si>
    <t xml:space="preserve">Ludhiana: destination students that would travel to Chandigarh per year (N_dest)</t>
  </si>
  <si>
    <t xml:space="preserve">geographic_expansion §4.1 indifference rule [HYP]</t>
  </si>
  <si>
    <t xml:space="preserve">A Flagship (Y3 Base, whole academy)</t>
  </si>
  <si>
    <t xml:space="preserve">B1 Owned regional centre (Ludhiana)</t>
  </si>
  <si>
    <t xml:space="preserve">B2 Partner-hosted satellite</t>
  </si>
  <si>
    <t xml:space="preserve">B3 Franchise / licence (per unit, PNA view)</t>
  </si>
  <si>
    <t xml:space="preserve">C Digital stand-alone</t>
  </si>
  <si>
    <t xml:space="preserve">D Destination / hybrid (incremental student)</t>
  </si>
  <si>
    <t xml:space="preserve">E Services marketplace (full)</t>
  </si>
  <si>
    <t xml:space="preserve">E-lite Alumni booking desk</t>
  </si>
  <si>
    <t xml:space="preserve">F1 Masterclasses (CPD)</t>
  </si>
  <si>
    <t xml:space="preserve">F2 Kits + brand partnership</t>
  </si>
  <si>
    <t xml:space="preserve">F3 Pro Circle</t>
  </si>
  <si>
    <t xml:space="preserve">Unit of sale</t>
  </si>
  <si>
    <t xml:space="preserve">Academy (all lines)</t>
  </si>
  <si>
    <t xml:space="preserve">P1 student</t>
  </si>
  <si>
    <t xml:space="preserve">Franchise unit</t>
  </si>
  <si>
    <t xml:space="preserve">Online buyer</t>
  </si>
  <si>
    <t xml:space="preserve">Destination student</t>
  </si>
  <si>
    <t xml:space="preserve">Booking</t>
  </si>
  <si>
    <t xml:space="preserve">Referred booking</t>
  </si>
  <si>
    <t xml:space="preserve">Masterclass seat</t>
  </si>
  <si>
    <t xml:space="preserve">Career student (kit) + sponsor</t>
  </si>
  <si>
    <t xml:space="preserve">Paid member-year</t>
  </si>
  <si>
    <t xml:space="preserve">Price / AOV incl. GST (₹)</t>
  </si>
  <si>
    <t xml:space="preserve">Net revenue per unit ex-GST (₹)</t>
  </si>
  <si>
    <t xml:space="preserve">Units per year at maturity</t>
  </si>
  <si>
    <t xml:space="preserve">Revenue per year (₹ lakh)</t>
  </si>
  <si>
    <t xml:space="preserve">Variable cost per unit (₹)</t>
  </si>
  <si>
    <t xml:space="preserve">Contribution per unit (₹)</t>
  </si>
  <si>
    <t xml:space="preserve">Contribution per year (₹ lakh)</t>
  </si>
  <si>
    <t xml:space="preserve">Fixed cost per year attributable (₹ lakh)</t>
  </si>
  <si>
    <t xml:space="preserve">EBITDA per year (₹ lakh)</t>
  </si>
  <si>
    <t xml:space="preserve">Upfront investment (₹ lakh)</t>
  </si>
  <si>
    <t xml:space="preserve">Payback (years)</t>
  </si>
  <si>
    <t xml:space="preserve">immediate</t>
  </si>
  <si>
    <t xml:space="preserve">CAC per customer (₹)</t>
  </si>
  <si>
    <t xml:space="preserve">LTV per customer, contribution (₹)</t>
  </si>
  <si>
    <t xml:space="preserve">n/a</t>
  </si>
  <si>
    <t xml:space="preserve">n/a (studio enquiries)</t>
  </si>
  <si>
    <t xml:space="preserve">LTV / CAC</t>
  </si>
  <si>
    <t xml:space="preserve">Break-even units per year</t>
  </si>
  <si>
    <t xml:space="preserve">Founder dependence</t>
  </si>
  <si>
    <t xml:space="preserve">High -&gt; falling (A-BM-10)</t>
  </si>
  <si>
    <t xml:space="preserve">Medium (needs site lead)</t>
  </si>
  <si>
    <t xml:space="preserve">Medium</t>
  </si>
  <si>
    <t xml:space="preserve">Low for PNA; brand dilution risk high</t>
  </si>
  <si>
    <t xml:space="preserve">Medium (founder content)</t>
  </si>
  <si>
    <t xml:space="preserve">Low</t>
  </si>
  <si>
    <t xml:space="preserve">High (founder-led ~19-25 days/yr)</t>
  </si>
  <si>
    <t xml:space="preserve">Capital intensity</t>
  </si>
  <si>
    <t xml:space="preserve">Low-medium</t>
  </si>
  <si>
    <t xml:space="preserve">High</t>
  </si>
  <si>
    <t xml:space="preserve">Low (franchisee-funded)</t>
  </si>
  <si>
    <t xml:space="preserve">Low (uses flagship seats)</t>
  </si>
  <si>
    <t xml:space="preserve">Very high (two-sided, density)</t>
  </si>
  <si>
    <t xml:space="preserve">Very low</t>
  </si>
  <si>
    <t xml:space="preserve">Verdict (directional)</t>
  </si>
  <si>
    <t xml:space="preserve">Core: necessary</t>
  </si>
  <si>
    <t xml:space="preserve">Defer to G3a</t>
  </si>
  <si>
    <t xml:space="preserve">Pilot after G3a</t>
  </si>
  <si>
    <t xml:space="preserve">G3b only</t>
  </si>
  <si>
    <t xml:space="preserve">Defer: audience gate</t>
  </si>
  <si>
    <t xml:space="preserve">Adopt after G2</t>
  </si>
  <si>
    <t xml:space="preserve">Reject (H5)</t>
  </si>
  <si>
    <t xml:space="preserve">Adopt inside flagship</t>
  </si>
  <si>
    <t xml:space="preserve">Adopt (founder's future role)</t>
  </si>
  <si>
    <t xml:space="preserve">Adopt; kits optional (trust)</t>
  </si>
  <si>
    <t xml:space="preserve">Pilot; gate ≥150 alumni</t>
  </si>
  <si>
    <t xml:space="preserve">A uses Base Y3 from 3yr_Scenarios (whole academy; 'unit' = career student). Contribution per unit for A is (revenue - variable) / career students, so it includes CPD/online/adjacent lines.</t>
  </si>
  <si>
    <t xml:space="preserve">E marketplace: 20% take on a ₹6k AOV leaves ~₹1k per booking before CAC; with ~1.4 bookings per customer LTV/CAC is &lt;1 - confirms H5 (reject).</t>
  </si>
  <si>
    <t xml:space="preserve">Ludhiana: four routes compared (BM spec M4; P1 at ₹80k realised) - contribution to PNA per year and 5-year NPV</t>
  </si>
  <si>
    <t xml:space="preserve">(a) Destination to Chandigarh</t>
  </si>
  <si>
    <t xml:space="preserve">(b) Partner-hosted satellite</t>
  </si>
  <si>
    <t xml:space="preserve">(c) Owned centre</t>
  </si>
  <si>
    <t xml:space="preserve">(d) Franchise (1 unit)</t>
  </si>
  <si>
    <t xml:space="preserve">Note</t>
  </si>
  <si>
    <t xml:space="preserve">Students per year enrolled through this route</t>
  </si>
  <si>
    <t xml:space="preserve">destination N_dest vs local-site volume</t>
  </si>
  <si>
    <t xml:space="preserve">Contribution per student to PNA (₹)</t>
  </si>
  <si>
    <t xml:space="preserve">franchise = royalty per student</t>
  </si>
  <si>
    <t xml:space="preserve">Annual fixed cost to PNA (₹)</t>
  </si>
  <si>
    <t xml:space="preserve">Annual contribution after fixed (₹)</t>
  </si>
  <si>
    <t xml:space="preserve">Upfront capex to PNA (₹)</t>
  </si>
  <si>
    <t xml:space="preserve">destination shares hybrid content with flagship</t>
  </si>
  <si>
    <t xml:space="preserve">5-year NPV at A-ECO-319 (₹)</t>
  </si>
  <si>
    <t xml:space="preserve">Break-even students per year</t>
  </si>
  <si>
    <t xml:space="preserve">BM: owned ≈46</t>
  </si>
  <si>
    <t xml:space="preserve">Owned centre beats destination only if local enrolments exceed (fixed + N_dest x dest contribution) / owned contribution</t>
  </si>
  <si>
    <t xml:space="preserve">BM indifference rule ≈46 + 0.9 x N_dest</t>
  </si>
  <si>
    <t xml:space="preserve">Partner satellite beats destination if it enrols more than (x N_dest)</t>
  </si>
  <si>
    <t xml:space="preserve">BM: ≈1.7x</t>
  </si>
  <si>
    <t xml:space="preserve">Student all-in cost: fee + living/travel (₹, A-BM-12 mid)</t>
  </si>
  <si>
    <t xml:space="preserve">hybrid stay ₹17-28k; local commute ₹0-5k</t>
  </si>
  <si>
    <t xml:space="preserve">Local-site enrolment lift vs destination (x N_dest) -&gt; annual contribution after fixed (₹)</t>
  </si>
  <si>
    <t xml:space="preserve">Partner-hosted satellite</t>
  </si>
  <si>
    <t xml:space="preserve">Owned centre</t>
  </si>
  <si>
    <t xml:space="preserve">Destination (reference)</t>
  </si>
  <si>
    <t xml:space="preserve">Payback and IRR on the founder's cash (₹) - Year 1 monthly from the outlook; Years 2-3 = 3yr_Scenarios net cash flow / 12; Years 4-5 held flat at Year 3 (no growth, no terminal value)</t>
  </si>
  <si>
    <t xml:space="preserve">Net cash = EBITDA + instalment timing - capex (before tax, GST timing and founder draw). 'After salary' deducts the founder-role market salary A-ECO-138 with wage escalation A-ECO-218. IRR is on the cash actually drawn, annualised from monthly flows.</t>
  </si>
  <si>
    <t xml:space="preserve">Planning case (G1 M9) - before founder salary</t>
  </si>
  <si>
    <t xml:space="preserve">Planning case (G1 M9) - after founder salary</t>
  </si>
  <si>
    <t xml:space="preserve">Upside (G1 M6) - before founder salary</t>
  </si>
  <si>
    <t xml:space="preserve">Upside (G1 M6) - after founder salary</t>
  </si>
  <si>
    <t xml:space="preserve">Base business only (no step 2, G2 layers not passed) - before founder salary</t>
  </si>
  <si>
    <t xml:space="preserve">Base business only (no step 2, G2 layers not passed) - after founder salary</t>
  </si>
  <si>
    <t xml:space="preserve">Read: the founder's cash at risk is the peak drawn, not the ₹30-35L envelope; IRR uses only the cash flows the plan produces (no sale value or terminal value), so it understates a business still growing at M36.</t>
  </si>
  <si>
    <t xml:space="preserve">Base business only = the planning case with price step 2 not taken and no G2/audience-gated layers (incremental Destination students, online short courses, adjacents, recorded library capex).</t>
  </si>
  <si>
    <t xml:space="preserve">Month #</t>
  </si>
  <si>
    <t xml:space="preserve">Year</t>
  </si>
  <si>
    <t xml:space="preserve">Planning case (G1 M9): net cash</t>
  </si>
  <si>
    <t xml:space="preserve">cumulative</t>
  </si>
  <si>
    <t xml:space="preserve">after salary: net cash</t>
  </si>
  <si>
    <t xml:space="preserve">cumulative (after salary)</t>
  </si>
  <si>
    <t xml:space="preserve">Upside (G1 M6): net cash</t>
  </si>
  <si>
    <t xml:space="preserve">Base business only (no step 2, G2 layers not passed): net cash</t>
  </si>
  <si>
    <t xml:space="preserve">Helper: last month cumulative &lt; 0 (pre / post salary, per case)</t>
  </si>
  <si>
    <t xml:space="preserve">Capacity: stations, batch slots, trainers and founder hours (Selected scenario)</t>
  </si>
  <si>
    <t xml:space="preserve">Today's Sector 8 space</t>
  </si>
  <si>
    <t xml:space="preserve">New academy space (plan)</t>
  </si>
  <si>
    <t xml:space="preserve">A-ECO-110 / 115 (founder to confirm today's count)</t>
  </si>
  <si>
    <t xml:space="preserve">morning / afternoon (+ weekend/flex)</t>
  </si>
  <si>
    <t xml:space="preserve">Seat capacity (concurrent students)</t>
  </si>
  <si>
    <t xml:space="preserve">Usable seat-months per month (x A-ECO-117)</t>
  </si>
  <si>
    <t xml:space="preserve">Max new L3 students per year if seats held 3 months</t>
  </si>
  <si>
    <t xml:space="preserve">upper bound with no L2/destination/hybrid</t>
  </si>
  <si>
    <t xml:space="preserve">Seat-months needed per year at A-GRO-01 (L3 x3 + L2 x1)</t>
  </si>
  <si>
    <t xml:space="preserve">Utilisation at A-GRO-01 steady state</t>
  </si>
  <si>
    <t xml:space="preserve">&gt;100% = target does not fit</t>
  </si>
  <si>
    <t xml:space="preserve">Batch-slots active at A-GRO-01 (seat-months/12 / cohort fill)</t>
  </si>
  <si>
    <t xml:space="preserve">Trainer FTE needed at month-12 founder share (A-BM-10b)</t>
  </si>
  <si>
    <t xml:space="preserve">slots one FTE leads: A-ECO-46</t>
  </si>
  <si>
    <t xml:space="preserve">Founder contact hours per month at month 12 (slots x 4 h x 22 days x share)</t>
  </si>
  <si>
    <t xml:space="preserve">plus masterclasses ~19-25 days/yr (A-BM-05)</t>
  </si>
  <si>
    <t xml:space="preserve">Rent per month</t>
  </si>
  <si>
    <t xml:space="preserve">S-CHD-22 bands; today's share unknown</t>
  </si>
  <si>
    <t xml:space="preserve">Rent per usable seat-month</t>
  </si>
  <si>
    <t xml:space="preserve">First month seat capacity binds (Base outlook)</t>
  </si>
  <si>
    <t xml:space="preserve">drives the move decision (A-ECO-112)</t>
  </si>
  <si>
    <t xml:space="preserve">Sensitivity - tornado on the PLANNING CASE (Staged_G1M9: G1 at M9, two-step price, founder ≤40% M12) Year-1 EBITDA and peak cash need</t>
  </si>
  <si>
    <t xml:space="preserve">Each row = full monthly model re-run (Flex_* sheets, run options = planning case). Low/high are adverse/favourable settings of one driver. Superseded: the unstaged-Base tornado (methodology §1A note).</t>
  </si>
  <si>
    <t xml:space="preserve">Driver</t>
  </si>
  <si>
    <t xml:space="preserve">Adverse setting</t>
  </si>
  <si>
    <t xml:space="preserve">Favourable setting</t>
  </si>
  <si>
    <t xml:space="preserve">EBITDA adverse</t>
  </si>
  <si>
    <t xml:space="preserve">EBITDA favourable</t>
  </si>
  <si>
    <t xml:space="preserve">EBITDA swing</t>
  </si>
  <si>
    <t xml:space="preserve">Rank</t>
  </si>
  <si>
    <t xml:space="preserve">Peak cash adverse</t>
  </si>
  <si>
    <t xml:space="preserve">Peak cash favourable</t>
  </si>
  <si>
    <t xml:space="preserve">Career enrol. adverse</t>
  </si>
  <si>
    <t xml:space="preserve">Career enrol. favourable</t>
  </si>
  <si>
    <t xml:space="preserve">Tornado (EBITDA swing)</t>
  </si>
  <si>
    <t xml:space="preserve">Planning case (Staged_G1M9)</t>
  </si>
  <si>
    <t xml:space="preserve">Conversion (all routes; low = founder step-back ÷1.25)</t>
  </si>
  <si>
    <t xml:space="preserve">x0.8</t>
  </si>
  <si>
    <t xml:space="preserve">x1.2</t>
  </si>
  <si>
    <t xml:space="preserve">Fees (all products)</t>
  </si>
  <si>
    <t xml:space="preserve">x1.15</t>
  </si>
  <si>
    <t xml:space="preserve">Cohort fill (students per batch 8 vs 12)</t>
  </si>
  <si>
    <t xml:space="preserve">CPL / CAC (paid routes)</t>
  </si>
  <si>
    <t xml:space="preserve">x1.3</t>
  </si>
  <si>
    <t xml:space="preserve">x0.7</t>
  </si>
  <si>
    <t xml:space="preserve">Variable delivery cost (kit, consumables)</t>
  </si>
  <si>
    <t xml:space="preserve">x1.25</t>
  </si>
  <si>
    <t xml:space="preserve">x0.75</t>
  </si>
  <si>
    <t xml:space="preserve">Rent (₹130 vs ₹47 per sq ft vs ₹80)</t>
  </si>
  <si>
    <t xml:space="preserve">x1.625</t>
  </si>
  <si>
    <t xml:space="preserve">x0.5875</t>
  </si>
  <si>
    <t xml:space="preserve">Paid-media budget ±30% (target held: extra budget cannot exceed target/capacity)</t>
  </si>
  <si>
    <t xml:space="preserve">GST charged on top of list fees (vs absorbed in quoted fee)</t>
  </si>
  <si>
    <t xml:space="preserve">incl. (base)</t>
  </si>
  <si>
    <t xml:space="preserve">on top</t>
  </si>
  <si>
    <t xml:space="preserve">Conversion low (x0.8) doubles as the BM founder step-back stress (team-led conversion = founder-led ÷1.25, A-GRO-25); it is not a price response (see named stresses). Fee low (x0.8) ≈ BM price stress.</t>
  </si>
  <si>
    <t xml:space="preserve">Budget rows hold the enrolment target: a smaller budget buys fewer paid enrolments; a larger one cannot exceed the plan target (A-GRO-01) or seat capacity.</t>
  </si>
  <si>
    <t xml:space="preserve">Named stresses on the planning case (one-sided; each a full re-run) - price response at step 1, non-paid engine flat, masterclass half, lead-trainer pay</t>
  </si>
  <si>
    <t xml:space="preserve">Stress</t>
  </si>
  <si>
    <t xml:space="preserve">Sheet</t>
  </si>
  <si>
    <t xml:space="preserve">EBITDA Y1</t>
  </si>
  <si>
    <t xml:space="preserve">Change vs planning case</t>
  </si>
  <si>
    <t xml:space="preserve">Peak cash</t>
  </si>
  <si>
    <t xml:space="preserve">Career enrolments</t>
  </si>
  <si>
    <t xml:space="preserve">Change</t>
  </si>
  <si>
    <t xml:space="preserve">Flex_pr1_10</t>
  </si>
  <si>
    <t xml:space="preserve">Flex_pr1_20</t>
  </si>
  <si>
    <t xml:space="preserve">Flex_npe_flat</t>
  </si>
  <si>
    <t xml:space="preserve">Flex_mc_half</t>
  </si>
  <si>
    <t xml:space="preserve">Flex_lead75k</t>
  </si>
  <si>
    <t xml:space="preserve">Price response at price step 2 (₹90k list at M16) - Years 2-3 of the planning case (3yr_Scenarios groups 5-8; ₹ lakh)</t>
  </si>
  <si>
    <t xml:space="preserve">Case (3yr group)</t>
  </si>
  <si>
    <t xml:space="preserve">Y2 revenue</t>
  </si>
  <si>
    <t xml:space="preserve">Y3 revenue</t>
  </si>
  <si>
    <t xml:space="preserve">Y2 EBITDA</t>
  </si>
  <si>
    <t xml:space="preserve">Y3 EBITDA</t>
  </si>
  <si>
    <t xml:space="preserve">Y3 EBITDA vs no step 2</t>
  </si>
  <si>
    <t xml:space="preserve">Y3 career enrolments</t>
  </si>
  <si>
    <t xml:space="preserve">Planning case: step 2 at M16, no conversion loss</t>
  </si>
  <si>
    <t xml:space="preserve">No price step 2 (stays at ₹75k list)</t>
  </si>
  <si>
    <t xml:space="preserve">Step 2 with career conversion -10% (A-ECO-228a)</t>
  </si>
  <si>
    <t xml:space="preserve">Step 2 with career conversion -20% (A-ECO-228b)</t>
  </si>
  <si>
    <t xml:space="preserve">Conversion loss at step 2 at which the step adds no Year-3 EBITDA (linear between 0% and -20%)</t>
  </si>
  <si>
    <t xml:space="preserve">Unit tornado: contribution after CAC per paid L3 student (post price-step, Base) - one driver at a time</t>
  </si>
  <si>
    <t xml:space="preserve">Adverse</t>
  </si>
  <si>
    <t xml:space="preserve">Favourable</t>
  </si>
  <si>
    <t xml:space="preserve">Contribution adverse</t>
  </si>
  <si>
    <t xml:space="preserve">Contribution favourable</t>
  </si>
  <si>
    <t xml:space="preserve">Swing</t>
  </si>
  <si>
    <t xml:space="preserve">Realised L3 fee ₹64k / ₹92k (x0.8 / x1.15)</t>
  </si>
  <si>
    <t xml:space="preserve">Cohort fill 8 / 12 students</t>
  </si>
  <si>
    <t xml:space="preserve">Effective paid CAC per paid student x1.3 / x0.7</t>
  </si>
  <si>
    <t xml:space="preserve">Consumables x1.25 / x0.75</t>
  </si>
  <si>
    <t xml:space="preserve">EMI subvention 7% / 3%</t>
  </si>
  <si>
    <t xml:space="preserve">x1.4</t>
  </si>
  <si>
    <t xml:space="preserve">x0.6</t>
  </si>
  <si>
    <t xml:space="preserve">Base contribution after CAC per L3 student</t>
  </si>
  <si>
    <t xml:space="preserve">12-month operating outlook - Conservative (adverse rates, ₹10L plan) (₹, ex-GST, Nov-2026 to Oct-2027)</t>
  </si>
  <si>
    <t xml:space="preserve">Cash/booking basis. Enrolments follow the Growth plan target (A-GRO-01) limited by what the paid budget can buy and by seat capacity. Blue cells in rows 3-4 are flex switches used by Sensitivity; red cells are run options.</t>
  </si>
  <si>
    <t xml:space="preserve">Rate index (1 Cons / 2 Base / 3 Aggr)</t>
  </si>
  <si>
    <t xml:space="preserve">Plan index</t>
  </si>
  <si>
    <t xml:space="preserve">conv x</t>
  </si>
  <si>
    <t xml:space="preserve">fee x</t>
  </si>
  <si>
    <t xml:space="preserve">fill x</t>
  </si>
  <si>
    <t xml:space="preserve">CPL x</t>
  </si>
  <si>
    <t xml:space="preserve">var cost x</t>
  </si>
  <si>
    <t xml:space="preserve">Staged Plan? (1 = yes)</t>
  </si>
  <si>
    <t xml:space="preserve">Price path (1 single step / 2 two-step)</t>
  </si>
  <si>
    <t xml:space="preserve">False-positive stress (1 = demand x A-ECO-162 from G1+1, KT-5 price reversion at G1+2)</t>
  </si>
  <si>
    <t xml:space="preserve">masterclass volume x</t>
  </si>
  <si>
    <t xml:space="preserve">Stop-loss depth from the cut month (0 = ₹10L-plan base; 1 = deep: paid media paused, content team and freelancers released, no additional trainers)</t>
  </si>
  <si>
    <t xml:space="preserve">rent x</t>
  </si>
  <si>
    <t xml:space="preserve">GST incl.?</t>
  </si>
  <si>
    <t xml:space="preserve">budget x</t>
  </si>
  <si>
    <t xml:space="preserve">price response at step 1 (conv. change)</t>
  </si>
  <si>
    <t xml:space="preserve">non-paid uplift x</t>
  </si>
  <si>
    <t xml:space="preserve">G1 month (Staged: move, step 1 and T2 follow at G1+1; 99 = G1 not passed)</t>
  </si>
  <si>
    <t xml:space="preserve">Founder path (1 A-BM-10 / 2 Gate D ≤40% M12)</t>
  </si>
  <si>
    <t xml:space="preserve">Stop-loss cut / exit month (99 = none): ₹10L-plan cost base, lease exit + severance</t>
  </si>
  <si>
    <t xml:space="preserve">lead trainer pay x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</si>
  <si>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</si>
  <si>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</si>
  <si>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</si>
  <si>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</si>
  <si>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</si>
  <si>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</si>
  <si>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</si>
  <si>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</si>
  <si>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</si>
  <si>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</si>
  <si>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</si>
  <si>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</si>
  <si>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Year 1</t>
  </si>
  <si>
    <t xml:space="preserve">Basis / IDs</t>
  </si>
  <si>
    <t xml:space="preserve">A. Timeline</t>
  </si>
  <si>
    <t xml:space="preserve">Calendar month number</t>
  </si>
  <si>
    <t xml:space="preserve">Plan index in force (switches to 1 = ₹10L-plan cost base from a stop-loss cut / exit month)</t>
  </si>
  <si>
    <t xml:space="preserve">Career-enquiry seasonality (A-GRO-40)</t>
  </si>
  <si>
    <t xml:space="preserve">Self-makeup seasonality (A-ECO-60)</t>
  </si>
  <si>
    <t xml:space="preserve">Founder share of contact hours (A-BM-10 path)</t>
  </si>
  <si>
    <t xml:space="preserve">B. Career enrolments (L2 + L3) - demand, budget and capacity</t>
  </si>
  <si>
    <t xml:space="preserve">Today's career enrolments per month (CA-01 x A-ECO-101 / 12) - illustrative</t>
  </si>
  <si>
    <t xml:space="preserve">Non-paid enrolment path (organic + referral): today's engine ramping to A-GRO-01 x non-paid mix by M7 (x non-paid uplift flex)</t>
  </si>
  <si>
    <t xml:space="preserve">Paid-route enrolment target path (CTWA + Search + Taster; 0 today -&gt; A-GRO-01 x paid mix by M7)</t>
  </si>
  <si>
    <t xml:space="preserve">Plan target path (sum; reaches A-GRO-01 by month 7)</t>
  </si>
  <si>
    <t xml:space="preserve">Paid media budget (Growth ramp; Staged: ≤A-ECO-151 until G1, then the post-G1 ramp from G1+1)</t>
  </si>
  <si>
    <t xml:space="preserve">A-GRO-BUD-01..12 (ramp written for G1 at M6); Staged: month m after G1 uses ramp month m-G1+6 (planning case: ₹80k M10, ₹1.0L M11-12 = ₹7.0L)</t>
  </si>
  <si>
    <t xml:space="preserve">Effective paid CAC = funnel paid CAC x calibration factor A-ECO-51 x CPL flex / conversion flex</t>
  </si>
  <si>
    <t xml:space="preserve">Speed-to-lead factor on new (incremental) leads: A-GRO-24 before the SLA month</t>
  </si>
  <si>
    <t xml:space="preserve">Paid career enrolments the budget can buy</t>
  </si>
  <si>
    <t xml:space="preserve">Demand multiplier: false-positive stress (A-ECO-162 from G1+1 when U3 = 1)</t>
  </si>
  <si>
    <t xml:space="preserve">Price response on career conversion from price step 1 (sensitivity flex L4)</t>
  </si>
  <si>
    <t xml:space="preserve">Career demand = seasonality x [today's engine x conv + new non-paid x conv x SLA + MIN(paid target, budget-bought x SLA)] x stress multipliers</t>
  </si>
  <si>
    <t xml:space="preserve">Stations available</t>
  </si>
  <si>
    <t xml:space="preserve">Batch slots per day (Staged: studio weekend/evening slot from A-ECO-156)</t>
  </si>
  <si>
    <t xml:space="preserve">Usable seat capacity (stations x slots x max use)</t>
  </si>
  <si>
    <t xml:space="preserve">Destination format share of new L3 (out-of-town students from the Destination start)</t>
  </si>
  <si>
    <t xml:space="preserve">Destination pilot cohort intake (Staged runs: A-ECO-161 over the first two months from the Destination start) [HYP]</t>
  </si>
  <si>
    <t xml:space="preserve">Unstaged reference bundles keep the earlier Destination logic (no pilot top-up)</t>
  </si>
  <si>
    <t xml:space="preserve">Destination-format demand: MAX(out-of-town L3 demand, pilot cohort intake; pilot top-up recruited by regional pilot media inside the budget)</t>
  </si>
  <si>
    <t xml:space="preserve">Seats held by continuing students (L3 from m-1, m-2; destination from m-1 x1.25)</t>
  </si>
  <si>
    <t xml:space="preserve">Seats needed for this month's new starts</t>
  </si>
  <si>
    <t xml:space="preserve">Share of demand that fits (capacity constraint)</t>
  </si>
  <si>
    <t xml:space="preserve">L3 Professional Bridal Programme - local formats (Weekday/Flex) enrolments</t>
  </si>
  <si>
    <t xml:space="preserve">L3 Destination format enrolments (out-of-town; incl. pilot cohort)</t>
  </si>
  <si>
    <t xml:space="preserve">L2 Foundation enrolments</t>
  </si>
  <si>
    <t xml:space="preserve">L2 -&gt; L3 upgrades (fee credited; A-ECO-36)</t>
  </si>
  <si>
    <t xml:space="preserve">Career enrolments (new students, L2 + L3)</t>
  </si>
  <si>
    <t xml:space="preserve">Year-2 run-rate driver: pre-capacity demand in months before the space move, delivered enrolments after it</t>
  </si>
  <si>
    <t xml:space="preserve">  of which out-of-town (A-GRO-37)</t>
  </si>
  <si>
    <t xml:space="preserve">  of which paid-route enrolments delivered (budget-bought: seasonality x MIN(paid target, budget-bought x SLA) x stress x fit)</t>
  </si>
  <si>
    <t xml:space="preserve">Seats occupied</t>
  </si>
  <si>
    <t xml:space="preserve">Seat utilisation (occupied / stations x slots)</t>
  </si>
  <si>
    <t xml:space="preserve">Capacity binds flag (1 = demand does not fully fit)</t>
  </si>
  <si>
    <t xml:space="preserve">C. Other products</t>
  </si>
  <si>
    <t xml:space="preserve">L4 masterclass seats sold (from M3, 6-month ramp)</t>
  </si>
  <si>
    <t xml:space="preserve">L1-S5 self-makeup seats</t>
  </si>
  <si>
    <t xml:space="preserve">L1 Career Taster tickets (taster-route enrolments / per-ticket conversion)</t>
  </si>
  <si>
    <t xml:space="preserve">Regional pop-up events</t>
  </si>
  <si>
    <t xml:space="preserve">Pop-up paid attendees</t>
  </si>
  <si>
    <t xml:space="preserve">L5 Pro Circle new paid members (S3 buyers; graduates free in year 1)</t>
  </si>
  <si>
    <t xml:space="preserve">D. Prices (incl. GST as quoted)</t>
  </si>
  <si>
    <t xml:space="preserve">L3 realised fee: CA-02 until step 1; single path -&gt; A-BM-02; two-step path -&gt; ₹75k list x realisation, then A-GRO-06 x realisation from step 2; KT-5 reversion intake at CA-02</t>
  </si>
  <si>
    <t xml:space="preserve">Kit included in fee? (1 before step 1 and in a KT-5 reversion intake)</t>
  </si>
  <si>
    <t xml:space="preserve">E. Revenue (ex-GST)</t>
  </si>
  <si>
    <t xml:space="preserve">L3 local formats</t>
  </si>
  <si>
    <t xml:space="preserve">L3 Destination format (price parity)</t>
  </si>
  <si>
    <t xml:space="preserve">L2 -&gt; L3 upgrades (L3 fee less credited L2 fee)</t>
  </si>
  <si>
    <t xml:space="preserve">L1 Taster tickets (net of credits to enrollers)</t>
  </si>
  <si>
    <t xml:space="preserve">L4 masterclasses</t>
  </si>
  <si>
    <t xml:space="preserve">L1-S5 self-makeup</t>
  </si>
  <si>
    <t xml:space="preserve">Pop-up tickets</t>
  </si>
  <si>
    <t xml:space="preserve">L5 Pro Circle</t>
  </si>
  <si>
    <t xml:space="preserve">Optional kit margin (post-step, near-cost kit)</t>
  </si>
  <si>
    <t xml:space="preserve">  of which career programmes (L2 + L3)</t>
  </si>
  <si>
    <t xml:space="preserve">F. Variable costs</t>
  </si>
  <si>
    <t xml:space="preserve">L3 consumables / models (local + upgrades: A-BM-16; Destination: A-ECO-41, + accommodation-partner coordination A-ECO-225 in Staged runs)</t>
  </si>
  <si>
    <t xml:space="preserve">Kit cost while fee includes kit (A-ECO-103)</t>
  </si>
  <si>
    <t xml:space="preserve">L2 consumables</t>
  </si>
  <si>
    <t xml:space="preserve">Masterclass, self-makeup and taster delivery costs</t>
  </si>
  <si>
    <t xml:space="preserve">Pop-up event costs (A-BM-06c)</t>
  </si>
  <si>
    <t xml:space="preserve">Pro Circle cost to serve</t>
  </si>
  <si>
    <t xml:space="preserve">Payment gateway (A-GRO-41) + no-cost EMI subvention on L3 (A-GRO-35 x 35b)</t>
  </si>
  <si>
    <t xml:space="preserve">Referral rewards (A-GRO-34 x referral-route enrolments)</t>
  </si>
  <si>
    <t xml:space="preserve">Total variable costs</t>
  </si>
  <si>
    <t xml:space="preserve">Contribution (revenue - variable)</t>
  </si>
  <si>
    <t xml:space="preserve">G. People (trainers follow batches and the founder step-back path)</t>
  </si>
  <si>
    <t xml:space="preserve">Active batch-slots (seats occupied / cohort fill)</t>
  </si>
  <si>
    <t xml:space="preserve">Batch-slots taught by trainers (x (1 - founder share))</t>
  </si>
  <si>
    <t xml:space="preserve">Lead trainer (FTE)</t>
  </si>
  <si>
    <t xml:space="preserve">Additional trainers (FTE; 0.1 FTE overflow absorbed by founder/assistant; Staged: second trainer from A-ECO-163, not before G1+1)</t>
  </si>
  <si>
    <t xml:space="preserve">Assistants (FTE; 1 per 2 active batch-slots, practical ratio ≤1:6)</t>
  </si>
  <si>
    <t xml:space="preserve">Trainer + assistant cost</t>
  </si>
  <si>
    <t xml:space="preserve">Admissions counsellors (A-GRO-45 x FTE; Staged: counsellor #1 is the Admissions &amp; Operations Lead)</t>
  </si>
  <si>
    <t xml:space="preserve">Marketing/content team, shooter/editor, performance and SEO freelancers (Growth §10)</t>
  </si>
  <si>
    <t xml:space="preserve">Front-desk / operations coordinator (while in the new space)</t>
  </si>
  <si>
    <t xml:space="preserve">Academy manager / admissions head</t>
  </si>
  <si>
    <t xml:space="preserve">Admissions &amp; Operations Lead premium over counsellor pay (Staged, A-ECO-157; execution owner of the 90-day plan)</t>
  </si>
  <si>
    <t xml:space="preserve">Total people cost (founder not charged - owner's return)</t>
  </si>
  <si>
    <t xml:space="preserve">H. Occupancy, marketing and overheads</t>
  </si>
  <si>
    <t xml:space="preserve">Rent: today's academy share, or new space while in it</t>
  </si>
  <si>
    <t xml:space="preserve">Utilities, housekeeping, maintenance (+ studio weekend/evening slot cost in the Staged Plan)</t>
  </si>
  <si>
    <t xml:space="preserve">Martech stack (A-GRO-42) + LMS from the month before the Destination start</t>
  </si>
  <si>
    <t xml:space="preserve">Paid media (Growth budget)</t>
  </si>
  <si>
    <t xml:space="preserve">Partnerships, PR / outcomes report, contingency (A-ECO-58)</t>
  </si>
  <si>
    <t xml:space="preserve">Admin, accounting, insurance, misc. (A-ECO-134)</t>
  </si>
  <si>
    <t xml:space="preserve">One-offs: website rebuild (M1, A-GRO-49); B&amp;WSSC/legal/accounting (M3, A-ECO-135)</t>
  </si>
  <si>
    <t xml:space="preserve">Stop-loss cut / lease exit: A-ECO-158 months' new-space rent notice (if moved) + A-ECO-159 months' salary of staff released (booked in the cut month)</t>
  </si>
  <si>
    <t xml:space="preserve">Total fixed and overhead opex (incl. people)</t>
  </si>
  <si>
    <t xml:space="preserve">Memo: EBITDA after a founder-role market salary (A-ECO-138)</t>
  </si>
  <si>
    <t xml:space="preserve">I. Capex, deposits and cash</t>
  </si>
  <si>
    <t xml:space="preserve">Fit-out of new space (month before move)</t>
  </si>
  <si>
    <t xml:space="preserve">Additional stations</t>
  </si>
  <si>
    <t xml:space="preserve">Security deposit (refundable; cash out)</t>
  </si>
  <si>
    <t xml:space="preserve">CRM / WhatsApp BSP / GBP / photo-video proof kit (M1)</t>
  </si>
  <si>
    <t xml:space="preserve">Hybrid pre-work content + LMS (2 months before launch; Staged: basic recording M3 in T1 only - recorded library deferred to T3 after G2, Year 2)</t>
  </si>
  <si>
    <t xml:space="preserve">Total capex and deposits</t>
  </si>
  <si>
    <t xml:space="preserve">Instalment timing: career cash received later than booked (A-ECO-34 payment months)</t>
  </si>
  <si>
    <t xml:space="preserve">Net cash flow (EBITDA + timing - capex; before tax, GST timing, founder draw)</t>
  </si>
  <si>
    <t xml:space="preserve">EBITDA &gt;= 0 flag</t>
  </si>
  <si>
    <t xml:space="preserve">Cash need &gt;= T1 cap flag (A-ECO-153, ₹15L)</t>
  </si>
  <si>
    <t xml:space="preserve">Cash need &gt;= ₹10L flag</t>
  </si>
  <si>
    <t xml:space="preserve">K. L3 cohort fill on the intake calendar (A-ECO-164: one local L3 cohort per intake; L3 local starts + upgrades allocated to cohorts by date)</t>
  </si>
  <si>
    <t xml:space="preserve">Cohort 1 (Mon 4 Jan 2027): share of each month's L3 starts in its enrolment window (Year-1 column = students)</t>
  </si>
  <si>
    <t xml:space="preserve">Cohort 2 (Mon 1 Mar 2027): share of each month's L3 starts in its enrolment window (Year-1 column = students)</t>
  </si>
  <si>
    <t xml:space="preserve">Cohort 3 (~Mon 12 Apr 2027): share of each month's L3 starts in its enrolment window (Year-1 column = students)</t>
  </si>
  <si>
    <t xml:space="preserve">Cohort 4 (~Mon 24 May 2027): share of each month's L3 starts in its enrolment window (Year-1 column = students)</t>
  </si>
  <si>
    <t xml:space="preserve">Cohort 5 (~Mon 5 Jul 2027): share of each month's L3 starts in its enrolment window (Year-1 column = students)</t>
  </si>
  <si>
    <t xml:space="preserve">Cohort 6 (~Mon 16 Aug 2027): share of each month's L3 starts in its enrolment window (Year-1 column = students)</t>
  </si>
  <si>
    <t xml:space="preserve">Cohort 7 (~Mon 27 Sep 2027): share of each month's L3 starts in its enrolment window (Year-1 column = students)</t>
  </si>
  <si>
    <t xml:space="preserve">L3 cohort - 6-weekly intake calendar (planning assumption)</t>
  </si>
  <si>
    <t xml:space="preserve">Students</t>
  </si>
  <si>
    <t xml:space="preserve">Fill (% of A-BM-01 = 12)</t>
  </si>
  <si>
    <t xml:space="preserve">Two consecutive ≥ A-ECO-166 of 12 (old G1 test, retired)</t>
  </si>
  <si>
    <t xml:space="preserve">Start month #</t>
  </si>
  <si>
    <t xml:space="preserve">RESTATED G1 TEST: this and the previous cohort ≥ A-ECO-166 of the stations in the room in use at their start (6 of 8 studio; 9 of 12 after the move)</t>
  </si>
  <si>
    <t xml:space="preserve">This cohort ≥ A-ECO-166 of stations in use</t>
  </si>
  <si>
    <t xml:space="preserve">Cohort 1 - Mon 4 Jan 2027</t>
  </si>
  <si>
    <t xml:space="preserve">Cohort 2 - Mon 1 Mar 2027</t>
  </si>
  <si>
    <t xml:space="preserve">Cohort 3 - ~Mon 12 Apr 2027</t>
  </si>
  <si>
    <t xml:space="preserve">Cohort 4 - ~Mon 24 May 2027</t>
  </si>
  <si>
    <t xml:space="preserve">Cohort 5 - ~Mon 5 Jul 2027</t>
  </si>
  <si>
    <t xml:space="preserve">Cohort 6 - ~Mon 16 Aug 2027</t>
  </si>
  <si>
    <t xml:space="preserve">Cohort 7 - ~Mon 27 Sep 2027</t>
  </si>
  <si>
    <t xml:space="preserve">[8-weekly] Cohort 1 (Mon 4 Jan 2027): share of each month's L3 starts in its enrolment window (Year-1 column = students)</t>
  </si>
  <si>
    <t xml:space="preserve">[8-weekly] Cohort 2 (Mon 1 Mar 2027): share of each month's L3 starts in its enrolment window (Year-1 column = students)</t>
  </si>
  <si>
    <t xml:space="preserve">[8-weekly] Cohort 3 (~Mon 26 Apr 2027): share of each month's L3 starts in its enrolment window (Year-1 column = students)</t>
  </si>
  <si>
    <t xml:space="preserve">[8-weekly] Cohort 4 (~Mon 21 Jun 2027): share of each month's L3 starts in its enrolment window (Year-1 column = students)</t>
  </si>
  <si>
    <t xml:space="preserve">[8-weekly] Cohort 5 (~Mon 16 Aug 2027): share of each month's L3 starts in its enrolment window (Year-1 column = students)</t>
  </si>
  <si>
    <t xml:space="preserve">[8-weekly] Cohort 6 (~Mon 11 Oct 2027): share of each month's L3 starts in its enrolment window (Year-1 column = students)</t>
  </si>
  <si>
    <t xml:space="preserve">L3 cohort - Alternative: 8-weekly intake calendar (A-ECO-165)</t>
  </si>
  <si>
    <t xml:space="preserve">Cohort 3 - ~Mon 26 Apr 2027</t>
  </si>
  <si>
    <t xml:space="preserve">Cohort 4 - ~Mon 21 Jun 2027</t>
  </si>
  <si>
    <t xml:space="preserve">Cohort 5 - ~Mon 16 Aug 2027</t>
  </si>
  <si>
    <t xml:space="preserve">Cohort 6 - ~Mon 11 Oct 2027</t>
  </si>
  <si>
    <t xml:space="preserve">Cohort fill tests G1 ('2 consecutive L3 cohorts ≥75% full'), KT-2 and DEL-01 against the model's own enrolment path. A parallel Flex cohort at an intake would split the fill further. In the 8-station studio a cohort above 8 needs paired practice or the 2.5-slot timetable. Column G is the G1 fill test as restated at Gate E (recommended_strategy.md §7.1): stations in the room in use at each cohort's start (row 'Stations available').</t>
  </si>
  <si>
    <t xml:space="preserve">J. Year-1 KPIs, break-even and gate metrics</t>
  </si>
  <si>
    <t xml:space="preserve">12-month operating outlook - Base (base rates, ₹30L plan) (₹, ex-GST, Nov-2026 to Oct-2027)</t>
  </si>
  <si>
    <t xml:space="preserve">12-month operating outlook - Aggressive (favourable rates, ₹50L plan) (₹, ex-GST, Nov-2026 to Oct-2027)</t>
  </si>
  <si>
    <t xml:space="preserve">12-month operating outlook - scenario chosen on Assumptions!C3 (₹, ex-GST, Nov-2026 to Oct-2027)</t>
  </si>
  <si>
    <t xml:space="preserve">12-month operating outlook - ₹10L plan at Base rates (envelope test) (₹, ex-GST, Nov-2026 to Oct-2027)</t>
  </si>
  <si>
    <t xml:space="preserve">12-month operating outlook - ₹50L plan at Base rates (envelope test) (₹, ex-GST, Nov-2026 to Oct-2027)</t>
  </si>
  <si>
    <t xml:space="preserve">12-month operating outlook - PLANNING CASE - STAGED PLAN, G1 at M9 (Jul 2027): Base team from M1 with an Admissions &amp; Operations Lead; ₹10L-plan capex, studio stations (+ weekend/evening slot from M5) and media ≤₹60k/month until G1; T2 (space move, 0.5 counsellor, pop-ups) from M10; second trainer from M10; Destination pilot M10-M11; two-step price (step 1 M10, step 2 M16); founder ≤40% at M12; media ₹80k M10, ₹1.0L M11-12 (₹, ex-GST, Nov-2026 to Oct-2027)</t>
  </si>
  <si>
    <t xml:space="preserve">12-month operating outlook - UPSIDE - STAGED PLAN, G1 at M6 (Apr 2027): as the planning case but T2, space move, price step 1 and the media ramp from M7 (₹, ex-GST, Nov-2026 to Oct-2027)</t>
  </si>
  <si>
    <t xml:space="preserve">12-month operating outlook - DOWNSIDE (a) - Staged T1 team (Base plan) at Conservative rates; G1 not passed (no T2, no move, no price step); no cut (₹, ex-GST, Nov-2026 to Oct-2027)</t>
  </si>
  <si>
    <t xml:space="preserve">12-month operating outlook - DOWNSIDE (a) - as Staged_Cons, cut to the ₹10L-plan cost base at a T1 review in M5 (1 month severance) (₹, ex-GST, Nov-2026 to Oct-2027)</t>
  </si>
  <si>
    <t xml:space="preserve">12-month operating outlook - DOWNSIDE (a) - as Staged_Cons, KT-1a mandatory cut at the March 2027 review (M5) to the stop-loss state as strategy §7 defines it: ₹10L-plan team and media lines, paid media paused, content executive and freelancers released, Lead Trainer 0.5 FTE, founder-led delivery (no additional trainers), Operations Lead kept (₹, ex-GST, Nov-2026 to Oct-2027)</t>
  </si>
  <si>
    <t xml:space="preserve">12-month operating outlook - DOWNSIDE (a) - as Staged_Cons, strategy rule as written: G1 fails at the M9 review, ₹10L-plan cost base from M10 (1 month severance) (₹, ex-GST, Nov-2026 to Oct-2027)</t>
  </si>
  <si>
    <t xml:space="preserve">12-month operating outlook - DOWNSIDE (b) - planning-case timing: G1 passed at M9 on a false positive; T2 released (fit-out + deposit M9, move M10); demand x0.6 from M10; KT-5 price reversion for the M11 intake; miss visible in M11; stop-loss exit M12 (3 months' rent notice + 1 month salaries; ₹10L-plan cost base back in the studio) (₹, ex-GST, Nov-2026 to Oct-2027)</t>
  </si>
  <si>
    <t xml:space="preserve">12-month operating outlook - DOWNSIDE (b), upside timing - G1 passed at M6 on a false positive; T2 released (fit-out M6, move M7); demand x0.6 from M7 (May-Jul peak); KT-5 reversion M8; miss visible in M8; stop-loss exit M9 (₹, ex-GST, Nov-2026 to Oct-2027)</t>
  </si>
  <si>
    <t xml:space="preserve">12-month operating outlook - Base bundle with the two-step price path (₹75k list at M7, ₹90k list at M16; ~89% realisation) (₹, ex-GST, Nov-2026 to Oct-2027)</t>
  </si>
  <si>
    <t xml:space="preserve">12-month operating outlook - Conservative bundle with the two-step price path (step 1 at M10; Conservative list stays ₹75k) (₹, ex-GST, Nov-2026 to Oct-2027)</t>
  </si>
  <si>
    <t xml:space="preserve">12-month operating outlook - Base bundle with founder share ≤40% at M12 (Gate D path) instead of ≤30% (₹, ex-GST, Nov-2026 to Oct-2027)</t>
  </si>
  <si>
    <t xml:space="preserve">12-month operating outlook - Planning case (Staged, G1 M9) with Conversion (all routes; low = founder step-back ÷1.25) x0.8 (₹, ex-GST, Nov-2026 to Oct-2027)</t>
  </si>
  <si>
    <t xml:space="preserve">12-month operating outlook - Planning case (Staged, G1 M9) with Conversion (all routes; low = founder step-back ÷1.25) x1.2 (₹, ex-GST, Nov-2026 to Oct-2027)</t>
  </si>
  <si>
    <t xml:space="preserve">12-month operating outlook - Planning case (Staged, G1 M9) with Fees (all products) x0.8 (₹, ex-GST, Nov-2026 to Oct-2027)</t>
  </si>
  <si>
    <t xml:space="preserve">12-month operating outlook - Planning case (Staged, G1 M9) with Fees (all products) x1.15 (₹, ex-GST, Nov-2026 to Oct-2027)</t>
  </si>
  <si>
    <t xml:space="preserve">12-month operating outlook - Planning case (Staged, G1 M9) with Cohort fill (students per batch 8 vs 12) x0.8 (₹, ex-GST, Nov-2026 to Oct-2027)</t>
  </si>
  <si>
    <t xml:space="preserve">12-month operating outlook - Planning case (Staged, G1 M9) with Cohort fill (students per batch 8 vs 12) x1.2 (₹, ex-GST, Nov-2026 to Oct-2027)</t>
  </si>
  <si>
    <t xml:space="preserve">12-month operating outlook - Planning case (Staged, G1 M9) with CPL / CAC (paid routes) x1.3 (₹, ex-GST, Nov-2026 to Oct-2027)</t>
  </si>
  <si>
    <t xml:space="preserve">12-month operating outlook - Planning case (Staged, G1 M9) with CPL / CAC (paid routes) x0.7 (₹, ex-GST, Nov-2026 to Oct-2027)</t>
  </si>
  <si>
    <t xml:space="preserve">12-month operating outlook - Planning case (Staged, G1 M9) with Variable delivery cost (kit, consumables) x1.25 (₹, ex-GST, Nov-2026 to Oct-2027)</t>
  </si>
  <si>
    <t xml:space="preserve">12-month operating outlook - Planning case (Staged, G1 M9) with Variable delivery cost (kit, consumables) x0.75 (₹, ex-GST, Nov-2026 to Oct-2027)</t>
  </si>
  <si>
    <t xml:space="preserve">12-month operating outlook - Planning case (Staged, G1 M9) with Rent (₹130 vs ₹47 per sq ft vs ₹80) x1.625 (₹, ex-GST, Nov-2026 to Oct-2027)</t>
  </si>
  <si>
    <t xml:space="preserve">12-month operating outlook - Planning case (Staged, G1 M9) with Rent (₹130 vs ₹47 per sq ft vs ₹80) x0.5875 (₹, ex-GST, Nov-2026 to Oct-2027)</t>
  </si>
  <si>
    <t xml:space="preserve">12-month operating outlook - Planning case (Staged, G1 M9) with Paid-media budget ±30% (target held: extra budget cannot exceed target/capacity) x0.7 (₹, ex-GST, Nov-2026 to Oct-2027)</t>
  </si>
  <si>
    <t xml:space="preserve">12-month operating outlook - Planning case (Staged, G1 M9) with Paid-media budget ±30% (target held: extra budget cannot exceed target/capacity) x1.3 (₹, ex-GST, Nov-2026 to Oct-2027)</t>
  </si>
  <si>
    <t xml:space="preserve">12-month operating outlook - Planning case with GST charged on top of list fees (₹, ex-GST, Nov-2026 to Oct-2027)</t>
  </si>
  <si>
    <t xml:space="preserve">12-month operating outlook - Planning case: Price response at step 1 (₹75k list, from M10): career conversion -10% (₹, ex-GST, Nov-2026 to Oct-2027)</t>
  </si>
  <si>
    <t xml:space="preserve">12-month operating outlook - Planning case: Price response at step 1 (₹75k list, from M10): career conversion -20% (₹, ex-GST, Nov-2026 to Oct-2027)</t>
  </si>
  <si>
    <t xml:space="preserve">12-month operating outlook - Planning case: Non-paid engine flat at today's rate (no organic/referral uplift; RT-08) (₹, ex-GST, Nov-2026 to Oct-2027)</t>
  </si>
  <si>
    <t xml:space="preserve">12-month operating outlook - Planning case: Masterclass (L4) volume at half (RT-21) (₹, ex-GST, Nov-2026 to Oct-2027)</t>
  </si>
  <si>
    <t xml:space="preserve">12-month operating outlook - Planning case: Lead trainer paid ₹75k/month instead of ₹60k (RT-11) (₹, ex-GST, Nov-2026 to Oct-2027)</t>
  </si>
  <si>
    <t xml:space="preserve">Integrity checks (TRUE = pass)</t>
  </si>
  <si>
    <t xml:space="preserve">Check</t>
  </si>
  <si>
    <t xml:space="preserve">Result</t>
  </si>
  <si>
    <t xml:space="preserve">Outlook_Conservative: seat utilisation never above 100%</t>
  </si>
  <si>
    <t xml:space="preserve">Outlook_Conservative: revenue lines sum to total</t>
  </si>
  <si>
    <t xml:space="preserve">Outlook_Conservative: EBITDA = contribution - fixed</t>
  </si>
  <si>
    <t xml:space="preserve">Outlook_Base: seat utilisation never above 100%</t>
  </si>
  <si>
    <t xml:space="preserve">Outlook_Base: revenue lines sum to total</t>
  </si>
  <si>
    <t xml:space="preserve">Outlook_Base: EBITDA = contribution - fixed</t>
  </si>
  <si>
    <t xml:space="preserve">Outlook_Aggressive: seat utilisation never above 100%</t>
  </si>
  <si>
    <t xml:space="preserve">Outlook_Aggressive: revenue lines sum to total</t>
  </si>
  <si>
    <t xml:space="preserve">Outlook_Aggressive: EBITDA = contribution - fixed</t>
  </si>
  <si>
    <t xml:space="preserve">Plan10L_BaseRates: seat utilisation never above 100%</t>
  </si>
  <si>
    <t xml:space="preserve">Plan10L_BaseRates: revenue lines sum to total</t>
  </si>
  <si>
    <t xml:space="preserve">Plan10L_BaseRates: EBITDA = contribution - fixed</t>
  </si>
  <si>
    <t xml:space="preserve">Plan50L_BaseRates: seat utilisation never above 100%</t>
  </si>
  <si>
    <t xml:space="preserve">Plan50L_BaseRates: revenue lines sum to total</t>
  </si>
  <si>
    <t xml:space="preserve">Plan50L_BaseRates: EBITDA = contribution - fixed</t>
  </si>
  <si>
    <t xml:space="preserve">Staged_G1M9: seat utilisation never above 100%</t>
  </si>
  <si>
    <t xml:space="preserve">Staged_G1M9: revenue lines sum to total</t>
  </si>
  <si>
    <t xml:space="preserve">Staged_G1M9: EBITDA = contribution - fixed</t>
  </si>
  <si>
    <t xml:space="preserve">Staged_G1M6: seat utilisation never above 100%</t>
  </si>
  <si>
    <t xml:space="preserve">Staged_G1M6: revenue lines sum to total</t>
  </si>
  <si>
    <t xml:space="preserve">Staged_G1M6: EBITDA = contribution - fixed</t>
  </si>
  <si>
    <t xml:space="preserve">Staged_Cons: seat utilisation never above 100%</t>
  </si>
  <si>
    <t xml:space="preserve">Staged_Cons: revenue lines sum to total</t>
  </si>
  <si>
    <t xml:space="preserve">Staged_Cons: EBITDA = contribution - fixed</t>
  </si>
  <si>
    <t xml:space="preserve">Staged_Cons_CutM5: seat utilisation never above 100%</t>
  </si>
  <si>
    <t xml:space="preserve">Staged_Cons_CutM5: revenue lines sum to total</t>
  </si>
  <si>
    <t xml:space="preserve">Staged_Cons_CutM5: EBITDA = contribution - fixed</t>
  </si>
  <si>
    <t xml:space="preserve">Staged_Cons_CutM5_Deep: seat utilisation never above 100%</t>
  </si>
  <si>
    <t xml:space="preserve">Staged_Cons_CutM5_Deep: revenue lines sum to total</t>
  </si>
  <si>
    <t xml:space="preserve">Staged_Cons_CutM5_Deep: EBITDA = contribution - fixed</t>
  </si>
  <si>
    <t xml:space="preserve">Staged_Cons_CutM10: seat utilisation never above 100%</t>
  </si>
  <si>
    <t xml:space="preserve">Staged_Cons_CutM10: revenue lines sum to total</t>
  </si>
  <si>
    <t xml:space="preserve">Staged_Cons_CutM10: EBITDA = contribution - fixed</t>
  </si>
  <si>
    <t xml:space="preserve">Staged_FalsePos: seat utilisation never above 100%</t>
  </si>
  <si>
    <t xml:space="preserve">Staged_FalsePos: revenue lines sum to total</t>
  </si>
  <si>
    <t xml:space="preserve">Staged_FalsePos: EBITDA = contribution - fixed</t>
  </si>
  <si>
    <t xml:space="preserve">Staged_FalsePos_M6: seat utilisation never above 100%</t>
  </si>
  <si>
    <t xml:space="preserve">Staged_FalsePos_M6: revenue lines sum to total</t>
  </si>
  <si>
    <t xml:space="preserve">Staged_FalsePos_M6: EBITDA = contribution - fixed</t>
  </si>
  <si>
    <t xml:space="preserve">Base_TwoStep: seat utilisation never above 100%</t>
  </si>
  <si>
    <t xml:space="preserve">Base_TwoStep: revenue lines sum to total</t>
  </si>
  <si>
    <t xml:space="preserve">Base_TwoStep: EBITDA = contribution - fixed</t>
  </si>
  <si>
    <t xml:space="preserve">Conservative_TwoStep: seat utilisation never above 100%</t>
  </si>
  <si>
    <t xml:space="preserve">Conservative_TwoStep: revenue lines sum to total</t>
  </si>
  <si>
    <t xml:space="preserve">Conservative_TwoStep: EBITDA = contribution - fixed</t>
  </si>
  <si>
    <t xml:space="preserve">Base_Founder40: seat utilisation never above 100%</t>
  </si>
  <si>
    <t xml:space="preserve">Base_Founder40: revenue lines sum to total</t>
  </si>
  <si>
    <t xml:space="preserve">Base_Founder40: EBITDA = contribution - fixed</t>
  </si>
  <si>
    <t xml:space="preserve">Outlook_Selected: seat utilisation never above 100%</t>
  </si>
  <si>
    <t xml:space="preserve">Outlook_Selected: revenue lines sum to total</t>
  </si>
  <si>
    <t xml:space="preserve">Outlook_Selected: EBITDA = contribution - fixed</t>
  </si>
  <si>
    <t xml:space="preserve">3yr Conservative Y1: SOM layers reconcile</t>
  </si>
  <si>
    <t xml:space="preserve">3yr Conservative Y2: SOM layers reconcile</t>
  </si>
  <si>
    <t xml:space="preserve">3yr Conservative Y3: SOM layers reconcile</t>
  </si>
  <si>
    <t xml:space="preserve">3yr Base Y1: SOM layers reconcile</t>
  </si>
  <si>
    <t xml:space="preserve">3yr Base Y2: SOM layers reconcile</t>
  </si>
  <si>
    <t xml:space="preserve">3yr Base Y3: SOM layers reconcile</t>
  </si>
  <si>
    <t xml:space="preserve">3yr Aggressive Y1: SOM layers reconcile</t>
  </si>
  <si>
    <t xml:space="preserve">3yr Aggressive Y2: SOM layers reconcile</t>
  </si>
  <si>
    <t xml:space="preserve">3yr Aggressive Y3: SOM layers reconcile</t>
  </si>
  <si>
    <t xml:space="preserve">3yr Upside G1 M6 Y1: SOM layers reconcile</t>
  </si>
  <si>
    <t xml:space="preserve">3yr Upside G1 M6 Y2: SOM layers reconcile</t>
  </si>
  <si>
    <t xml:space="preserve">3yr Upside G1 M6 Y3: SOM layers reconcile</t>
  </si>
  <si>
    <t xml:space="preserve">3yr PLANNING G1 M9 Y1: SOM layers reconcile</t>
  </si>
  <si>
    <t xml:space="preserve">3yr PLANNING G1 M9 Y2: SOM layers reconcile</t>
  </si>
  <si>
    <t xml:space="preserve">3yr PLANNING G1 M9 Y3: SOM layers reconcile</t>
  </si>
  <si>
    <t xml:space="preserve">3yr Plan: no step 2 Y1: SOM layers reconcile</t>
  </si>
  <si>
    <t xml:space="preserve">3yr Plan: no step 2 Y2: SOM layers reconcile</t>
  </si>
  <si>
    <t xml:space="preserve">3yr Plan: no step 2 Y3: SOM layers reconcile</t>
  </si>
  <si>
    <t xml:space="preserve">3yr Plan: step 2, conv -10% Y1: SOM layers reconcile</t>
  </si>
  <si>
    <t xml:space="preserve">3yr Plan: step 2, conv -10% Y2: SOM layers reconcile</t>
  </si>
  <si>
    <t xml:space="preserve">3yr Plan: step 2, conv -10% Y3: SOM layers reconcile</t>
  </si>
  <si>
    <t xml:space="preserve">3yr Plan: step 2, conv -20% Y1: SOM layers reconcile</t>
  </si>
  <si>
    <t xml:space="preserve">3yr Plan: step 2, conv -20% Y2: SOM layers reconcile</t>
  </si>
  <si>
    <t xml:space="preserve">3yr Plan: step 2, conv -20% Y3: SOM layers reconcile</t>
  </si>
  <si>
    <t xml:space="preserve">3yr Plan: base business only Y1: SOM layers reconcile</t>
  </si>
  <si>
    <t xml:space="preserve">3yr Plan: base business only Y2: SOM layers reconcile</t>
  </si>
  <si>
    <t xml:space="preserve">3yr Plan: base business only Y3: SOM layers reconcile</t>
  </si>
  <si>
    <t xml:space="preserve">Selected outlook equals Base when selector = Base (and run options at defaults)</t>
  </si>
  <si>
    <t xml:space="preserve">Calibration: Base month-12 paid demand is budget-limited exactly at target (A-ECO-51)</t>
  </si>
  <si>
    <t xml:space="preserve">3yr Conservative Y1 EBITDA = Outlook_Conservative Year-1 EBITDA</t>
  </si>
  <si>
    <t xml:space="preserve">3yr Base Y1 EBITDA = Outlook_Base Year-1 EBITDA</t>
  </si>
  <si>
    <t xml:space="preserve">3yr Aggressive Y1 EBITDA = Outlook_Aggressive Year-1 EBITDA</t>
  </si>
  <si>
    <t xml:space="preserve">3yr Upside G1 M6 Y1 EBITDA = Staged_G1M6 Year-1 EBITDA</t>
  </si>
  <si>
    <t xml:space="preserve">3yr PLANNING G1 M9 Y1 EBITDA = Staged_G1M9 Year-1 EBITDA</t>
  </si>
  <si>
    <t xml:space="preserve">3yr Plan: no step 2 Y1 EBITDA = Staged_G1M9 Year-1 EBITDA</t>
  </si>
  <si>
    <t xml:space="preserve">3yr Plan: step 2, conv -10% Y1 EBITDA = Staged_G1M9 Year-1 EBITDA</t>
  </si>
  <si>
    <t xml:space="preserve">3yr Plan: step 2, conv -20% Y1 EBITDA = Staged_G1M9 Year-1 EBITDA</t>
  </si>
  <si>
    <t xml:space="preserve">3yr Plan: base business only Y1 EBITDA = Staged_G1M9 Year-1 EBITDA</t>
  </si>
  <si>
    <t xml:space="preserve">Planning-case paid media = marketing_channel_plan.md §3.2 B row (₹7.0L)</t>
  </si>
  <si>
    <t xml:space="preserve">Upside (G1 M6) paid media = §3.2 'B upside' row (₹8.2L)</t>
  </si>
  <si>
    <t xml:space="preserve">Planning case = Flex_* run options (tornado runs on the planning case)</t>
  </si>
  <si>
    <t xml:space="preserve">Payback series Year 1 equals the planning-case outlook cash at M12</t>
  </si>
  <si>
    <t xml:space="preserve">Year-3 bridge closes (planning case - layers = base business)</t>
  </si>
  <si>
    <t xml:space="preserve">All checks pass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</si>
</sst>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0.0%;[RED]\-0.0%"/>
    <numFmt numFmtId="167" formatCode="#,##0;[RED]\-#,##0"/>
    <numFmt numFmtId="168" formatCode="General"/>
    <numFmt numFmtId="169" formatCode="\₹#,##0;[RED]&quot;-₹&quot;#,##0"/>
    <numFmt numFmtId="170" formatCode="#,##0.00;[RED]\-#,##0.00"/>
    <numFmt numFmtId="171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sz val="11"/>
      <color rgb="FF0000CC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  <row r="10" customFormat="false" ht="48" hidden="false" customHeight="true" outlineLevel="0" collapsed="false">
      <c r="A10" s="3" t="s">
        <v>14</v>
      </c>
      <c r="B10" s="4" t="s">
        <v>15</v>
      </c>
    </row>
    <row r="11" customFormat="false" ht="48" hidden="false" customHeight="true" outlineLevel="0" collapsed="false">
      <c r="A11" s="3" t="s">
        <v>16</v>
      </c>
      <c r="B11" s="4" t="s">
        <v>17</v>
      </c>
    </row>
    <row r="12" customFormat="false" ht="48" hidden="false" customHeight="true" outlineLevel="0" collapsed="false">
      <c r="A12" s="3" t="s">
        <v>18</v>
      </c>
      <c r="B12" s="4" t="s">
        <v>19</v>
      </c>
    </row>
    <row r="13" customFormat="false" ht="48" hidden="false" customHeight="true" outlineLevel="0" collapsed="false">
      <c r="A13" s="3" t="s">
        <v>20</v>
      </c>
      <c r="B13" s="4" t="s">
        <v>21</v>
      </c>
    </row>
    <row r="14" customFormat="false" ht="48" hidden="false" customHeight="true" outlineLevel="0" collapsed="false">
      <c r="A14" s="3" t="s">
        <v>22</v>
      </c>
      <c r="B14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7" min="2" style="0" width="15"/>
    <col collapsed="false" customWidth="true" hidden="false" outlineLevel="0" max="28" min="18" style="0" width="13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55.2" hidden="false" customHeight="false" outlineLevel="0" collapsed="false">
      <c r="A4" s="5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39</v>
      </c>
      <c r="O4" s="5" t="s">
        <v>40</v>
      </c>
      <c r="P4" s="5" t="s">
        <v>41</v>
      </c>
      <c r="Q4" s="5" t="s">
        <v>42</v>
      </c>
    </row>
    <row r="5" customFormat="false" ht="15" hidden="false" customHeight="false" outlineLevel="0" collapsed="false">
      <c r="A5" s="0" t="s">
        <v>43</v>
      </c>
      <c r="B5" s="6" t="n">
        <f aca="false">Outlook_Conservative!B152/100000</f>
        <v>17.5990848798782</v>
      </c>
      <c r="C5" s="6" t="n">
        <f aca="false">Outlook_Base!B152/100000</f>
        <v>70.9661072610592</v>
      </c>
      <c r="D5" s="6" t="n">
        <f aca="false">Outlook_Aggressive!B152/100000</f>
        <v>134.783683632995</v>
      </c>
      <c r="E5" s="6" t="n">
        <f aca="false">Plan10L_BaseRates!B152/100000</f>
        <v>39.7881817550246</v>
      </c>
      <c r="F5" s="6" t="n">
        <f aca="false">Plan50L_BaseRates!B152/100000</f>
        <v>99.3247302212249</v>
      </c>
      <c r="G5" s="7" t="n">
        <f aca="false">Staged_G1M9!B152/100000</f>
        <v>60.5534125214664</v>
      </c>
      <c r="H5" s="6" t="n">
        <f aca="false">Staged_G1M6!B152/100000</f>
        <v>66.7444434981563</v>
      </c>
      <c r="I5" s="6" t="n">
        <f aca="false">Staged_Cons!B152/100000</f>
        <v>26.4543923056932</v>
      </c>
      <c r="J5" s="6" t="n">
        <f aca="false">Staged_Cons_CutM5!B152/100000</f>
        <v>17.4893756447961</v>
      </c>
      <c r="K5" s="6" t="n">
        <f aca="false">Staged_Cons_CutM5_Deep!B152/100000</f>
        <v>15.5051008371263</v>
      </c>
      <c r="L5" s="6" t="n">
        <f aca="false">Staged_Cons_CutM10!B152/100000</f>
        <v>22.9057897701548</v>
      </c>
      <c r="M5" s="6" t="n">
        <f aca="false">Staged_FalsePos!B152/100000</f>
        <v>48.1333214854422</v>
      </c>
      <c r="N5" s="6" t="n">
        <f aca="false">Staged_FalsePos_M6!B152/100000</f>
        <v>38.60463431644</v>
      </c>
      <c r="O5" s="6" t="n">
        <f aca="false">Base_TwoStep!B152/100000</f>
        <v>65.8783535745677</v>
      </c>
      <c r="P5" s="6" t="n">
        <f aca="false">Conservative_TwoStep!B152/100000</f>
        <v>17.5990848798782</v>
      </c>
      <c r="Q5" s="6" t="n">
        <f aca="false">Base_Founder40!B152/100000</f>
        <v>70.9661072610592</v>
      </c>
    </row>
    <row r="6" customFormat="false" ht="15" hidden="false" customHeight="false" outlineLevel="0" collapsed="false">
      <c r="A6" s="0" t="s">
        <v>44</v>
      </c>
      <c r="B6" s="6" t="n">
        <f aca="false">Outlook_Conservative!B153/100000</f>
        <v>-13.0190962801152</v>
      </c>
      <c r="C6" s="6" t="n">
        <f aca="false">Outlook_Base!B153/100000</f>
        <v>6.75605349504378</v>
      </c>
      <c r="D6" s="6" t="n">
        <f aca="false">Outlook_Aggressive!B153/100000</f>
        <v>37.1931011947186</v>
      </c>
      <c r="E6" s="6" t="n">
        <f aca="false">Plan10L_BaseRates!B153/100000</f>
        <v>10.7671807355403</v>
      </c>
      <c r="F6" s="6" t="n">
        <f aca="false">Plan50L_BaseRates!B153/100000</f>
        <v>-2.97697091892765</v>
      </c>
      <c r="G6" s="7" t="n">
        <f aca="false">Staged_G1M9!B153/100000</f>
        <v>-2.81881419978914</v>
      </c>
      <c r="H6" s="6" t="n">
        <f aca="false">Staged_G1M6!B153/100000</f>
        <v>-0.753743585203634</v>
      </c>
      <c r="I6" s="6" t="n">
        <f aca="false">Staged_Cons!B153/100000</f>
        <v>-32.1088741392415</v>
      </c>
      <c r="J6" s="6" t="n">
        <f aca="false">Staged_Cons_CutM5!B153/100000</f>
        <v>-25.2156479403223</v>
      </c>
      <c r="K6" s="6" t="n">
        <f aca="false">Staged_Cons_CutM5_Deep!B153/100000</f>
        <v>-22.154974242813</v>
      </c>
      <c r="L6" s="6" t="n">
        <f aca="false">Staged_Cons_CutM10!B153/100000</f>
        <v>-30.4270779393726</v>
      </c>
      <c r="M6" s="6" t="n">
        <f aca="false">Staged_FalsePos!B153/100000</f>
        <v>-14.6653032921913</v>
      </c>
      <c r="N6" s="6" t="n">
        <f aca="false">Staged_FalsePos_M6!B153/100000</f>
        <v>-14.4648561999304</v>
      </c>
      <c r="O6" s="6" t="n">
        <f aca="false">Base_TwoStep!B153/100000</f>
        <v>1.89343290917959</v>
      </c>
      <c r="P6" s="6" t="n">
        <f aca="false">Conservative_TwoStep!B153/100000</f>
        <v>-13.0190962801152</v>
      </c>
      <c r="Q6" s="6" t="n">
        <f aca="false">Base_Founder40!B153/100000</f>
        <v>6.75605349504378</v>
      </c>
    </row>
    <row r="7" customFormat="false" ht="15" hidden="false" customHeight="false" outlineLevel="0" collapsed="false">
      <c r="A7" s="0" t="s">
        <v>45</v>
      </c>
      <c r="B7" s="8" t="n">
        <f aca="false">Outlook_Conservative!B154</f>
        <v>-0.739759843706448</v>
      </c>
      <c r="C7" s="8" t="n">
        <f aca="false">Outlook_Base!B154</f>
        <v>0.0952011284794113</v>
      </c>
      <c r="D7" s="8" t="n">
        <f aca="false">Outlook_Aggressive!B154</f>
        <v>0.275946614547146</v>
      </c>
      <c r="E7" s="8" t="n">
        <f aca="false">Plan10L_BaseRates!B154</f>
        <v>0.270612535195343</v>
      </c>
      <c r="F7" s="8" t="n">
        <f aca="false">Plan50L_BaseRates!B154</f>
        <v>-0.0299721017343523</v>
      </c>
      <c r="G7" s="9" t="n">
        <f aca="false">Staged_G1M9!B154</f>
        <v>-0.0465508727322323</v>
      </c>
      <c r="H7" s="8" t="n">
        <f aca="false">Staged_G1M6!B154</f>
        <v>-0.0112929787964215</v>
      </c>
      <c r="I7" s="8" t="n">
        <f aca="false">Staged_Cons!B154</f>
        <v>-1.21374453694525</v>
      </c>
      <c r="J7" s="8" t="n">
        <f aca="false">Staged_Cons_CutM5!B154</f>
        <v>-1.44176947493406</v>
      </c>
      <c r="K7" s="8" t="n">
        <f aca="false">Staged_Cons_CutM5_Deep!B154</f>
        <v>-1.42888295120041</v>
      </c>
      <c r="L7" s="8" t="n">
        <f aca="false">Staged_Cons_CutM10!B154</f>
        <v>-1.32835751330512</v>
      </c>
      <c r="M7" s="8" t="n">
        <f aca="false">Staged_FalsePos!B154</f>
        <v>-0.304680891316151</v>
      </c>
      <c r="N7" s="8" t="n">
        <f aca="false">Staged_FalsePos_M6!B154</f>
        <v>-0.374692221699674</v>
      </c>
      <c r="O7" s="8" t="n">
        <f aca="false">Base_TwoStep!B154</f>
        <v>0.0287413513914918</v>
      </c>
      <c r="P7" s="8" t="n">
        <f aca="false">Conservative_TwoStep!B154</f>
        <v>-0.739759843706448</v>
      </c>
      <c r="Q7" s="8" t="n">
        <f aca="false">Base_Founder40!B154</f>
        <v>0.0952011284794113</v>
      </c>
    </row>
    <row r="8" customFormat="false" ht="15" hidden="false" customHeight="false" outlineLevel="0" collapsed="false">
      <c r="A8" s="0" t="s">
        <v>46</v>
      </c>
      <c r="B8" s="6" t="n">
        <f aca="false">Outlook_Conservative!B155/100000</f>
        <v>-22.0190962801152</v>
      </c>
      <c r="C8" s="6" t="n">
        <f aca="false">Outlook_Base!B155/100000</f>
        <v>-2.24394650495622</v>
      </c>
      <c r="D8" s="6" t="n">
        <f aca="false">Outlook_Aggressive!B155/100000</f>
        <v>28.1931011947186</v>
      </c>
      <c r="E8" s="6" t="n">
        <f aca="false">Plan10L_BaseRates!B155/100000</f>
        <v>1.76718073554029</v>
      </c>
      <c r="F8" s="6" t="n">
        <f aca="false">Plan50L_BaseRates!B155/100000</f>
        <v>-11.9769709189277</v>
      </c>
      <c r="G8" s="7" t="n">
        <f aca="false">Staged_G1M9!B155/100000</f>
        <v>-11.8188141997891</v>
      </c>
      <c r="H8" s="6" t="n">
        <f aca="false">Staged_G1M6!B155/100000</f>
        <v>-9.75374358520364</v>
      </c>
      <c r="I8" s="6" t="n">
        <f aca="false">Staged_Cons!B155/100000</f>
        <v>-41.1088741392415</v>
      </c>
      <c r="J8" s="6" t="n">
        <f aca="false">Staged_Cons_CutM5!B155/100000</f>
        <v>-34.2156479403223</v>
      </c>
      <c r="K8" s="6" t="n">
        <f aca="false">Staged_Cons_CutM5_Deep!B155/100000</f>
        <v>-31.154974242813</v>
      </c>
      <c r="L8" s="6" t="n">
        <f aca="false">Staged_Cons_CutM10!B155/100000</f>
        <v>-39.4270779393726</v>
      </c>
      <c r="M8" s="6" t="n">
        <f aca="false">Staged_FalsePos!B155/100000</f>
        <v>-23.6653032921913</v>
      </c>
      <c r="N8" s="6" t="n">
        <f aca="false">Staged_FalsePos_M6!B155/100000</f>
        <v>-23.4648561999304</v>
      </c>
      <c r="O8" s="6" t="n">
        <f aca="false">Base_TwoStep!B155/100000</f>
        <v>-7.10656709082041</v>
      </c>
      <c r="P8" s="6" t="n">
        <f aca="false">Conservative_TwoStep!B155/100000</f>
        <v>-22.0190962801152</v>
      </c>
      <c r="Q8" s="6" t="n">
        <f aca="false">Base_Founder40!B155/100000</f>
        <v>-2.24394650495622</v>
      </c>
    </row>
    <row r="9" customFormat="false" ht="15" hidden="false" customHeight="false" outlineLevel="0" collapsed="false">
      <c r="A9" s="0" t="s">
        <v>47</v>
      </c>
      <c r="B9" s="6" t="n">
        <f aca="false">Outlook_Conservative!B156/100000</f>
        <v>0.5</v>
      </c>
      <c r="C9" s="6" t="n">
        <f aca="false">Outlook_Base!B156/100000</f>
        <v>19.72</v>
      </c>
      <c r="D9" s="6" t="n">
        <f aca="false">Outlook_Aggressive!B156/100000</f>
        <v>27.04</v>
      </c>
      <c r="E9" s="6" t="n">
        <f aca="false">Plan10L_BaseRates!B156/100000</f>
        <v>0.5</v>
      </c>
      <c r="F9" s="6" t="n">
        <f aca="false">Plan50L_BaseRates!B156/100000</f>
        <v>27.04</v>
      </c>
      <c r="G9" s="7" t="n">
        <f aca="false">Staged_G1M9!B156/100000</f>
        <v>17.22</v>
      </c>
      <c r="H9" s="6" t="n">
        <f aca="false">Staged_G1M6!B156/100000</f>
        <v>17.22</v>
      </c>
      <c r="I9" s="6" t="n">
        <f aca="false">Staged_Cons!B156/100000</f>
        <v>2.5</v>
      </c>
      <c r="J9" s="6" t="n">
        <f aca="false">Staged_Cons_CutM5!B156/100000</f>
        <v>2.5</v>
      </c>
      <c r="K9" s="6" t="n">
        <f aca="false">Staged_Cons_CutM5_Deep!B156/100000</f>
        <v>2.5</v>
      </c>
      <c r="L9" s="6" t="n">
        <f aca="false">Staged_Cons_CutM10!B156/100000</f>
        <v>2.5</v>
      </c>
      <c r="M9" s="6" t="n">
        <f aca="false">Staged_FalsePos!B156/100000</f>
        <v>17.22</v>
      </c>
      <c r="N9" s="6" t="n">
        <f aca="false">Staged_FalsePos_M6!B156/100000</f>
        <v>17.22</v>
      </c>
      <c r="O9" s="6" t="n">
        <f aca="false">Base_TwoStep!B156/100000</f>
        <v>19.72</v>
      </c>
      <c r="P9" s="6" t="n">
        <f aca="false">Conservative_TwoStep!B156/100000</f>
        <v>0.5</v>
      </c>
      <c r="Q9" s="6" t="n">
        <f aca="false">Base_Founder40!B156/100000</f>
        <v>19.72</v>
      </c>
    </row>
    <row r="10" customFormat="false" ht="15" hidden="false" customHeight="false" outlineLevel="0" collapsed="false">
      <c r="A10" s="0" t="s">
        <v>48</v>
      </c>
      <c r="B10" s="6" t="n">
        <f aca="false">Outlook_Conservative!B157/100000</f>
        <v>14.90785608583</v>
      </c>
      <c r="C10" s="6" t="n">
        <f aca="false">Outlook_Base!B157/100000</f>
        <v>24.5827086430661</v>
      </c>
      <c r="D10" s="6" t="n">
        <f aca="false">Outlook_Aggressive!B157/100000</f>
        <v>28.1045136588427</v>
      </c>
      <c r="E10" s="6" t="n">
        <f aca="false">Plan10L_BaseRates!B157/100000</f>
        <v>3.07099112080031</v>
      </c>
      <c r="F10" s="6" t="n">
        <f aca="false">Plan50L_BaseRates!B157/100000</f>
        <v>44.1548341892802</v>
      </c>
      <c r="G10" s="7" t="n">
        <f aca="false">Staged_G1M9!B157/100000</f>
        <v>25.1833224604047</v>
      </c>
      <c r="H10" s="6" t="n">
        <f aca="false">Staged_G1M6!B157/100000</f>
        <v>26.5241981279978</v>
      </c>
      <c r="I10" s="6" t="n">
        <f aca="false">Staged_Cons!B157/100000</f>
        <v>36.1861489634499</v>
      </c>
      <c r="J10" s="6" t="n">
        <f aca="false">Staged_Cons_CutM5!B157/100000</f>
        <v>28.6837369945027</v>
      </c>
      <c r="K10" s="6" t="n">
        <f aca="false">Staged_Cons_CutM5_Deep!B157/100000</f>
        <v>25.4058217004401</v>
      </c>
      <c r="L10" s="6" t="n">
        <f aca="false">Staged_Cons_CutM10!B157/100000</f>
        <v>33.895166993553</v>
      </c>
      <c r="M10" s="6" t="n">
        <f aca="false">Staged_FalsePos!B157/100000</f>
        <v>32.6539490549032</v>
      </c>
      <c r="N10" s="6" t="n">
        <f aca="false">Staged_FalsePos_M6!B157/100000</f>
        <v>32.4252802644152</v>
      </c>
      <c r="O10" s="6" t="n">
        <f aca="false">Base_TwoStep!B157/100000</f>
        <v>25.7587668018746</v>
      </c>
      <c r="P10" s="6" t="n">
        <f aca="false">Conservative_TwoStep!B157/100000</f>
        <v>14.90785608583</v>
      </c>
      <c r="Q10" s="6" t="n">
        <f aca="false">Base_Founder40!B157/100000</f>
        <v>24.5827086430661</v>
      </c>
    </row>
    <row r="11" customFormat="false" ht="15" hidden="false" customHeight="false" outlineLevel="0" collapsed="false">
      <c r="A11" s="0" t="s">
        <v>49</v>
      </c>
      <c r="B11" s="6" t="n">
        <f aca="false">Outlook_Conservative!B158/100000</f>
        <v>10</v>
      </c>
      <c r="C11" s="6" t="n">
        <f aca="false">Outlook_Base!B158/100000</f>
        <v>30</v>
      </c>
      <c r="D11" s="6" t="n">
        <f aca="false">Outlook_Aggressive!B158/100000</f>
        <v>50</v>
      </c>
      <c r="E11" s="6" t="n">
        <f aca="false">Plan10L_BaseRates!B158/100000</f>
        <v>10</v>
      </c>
      <c r="F11" s="6" t="n">
        <f aca="false">Plan50L_BaseRates!B158/100000</f>
        <v>50</v>
      </c>
      <c r="G11" s="7" t="n">
        <f aca="false">Staged_G1M9!B158/100000</f>
        <v>30</v>
      </c>
      <c r="H11" s="6" t="n">
        <f aca="false">Staged_G1M6!B158/100000</f>
        <v>30</v>
      </c>
      <c r="I11" s="6" t="n">
        <f aca="false">Staged_Cons!B158/100000</f>
        <v>30</v>
      </c>
      <c r="J11" s="6" t="n">
        <f aca="false">Staged_Cons_CutM5!B158/100000</f>
        <v>30</v>
      </c>
      <c r="K11" s="6" t="n">
        <f aca="false">Staged_Cons_CutM5_Deep!B158/100000</f>
        <v>30</v>
      </c>
      <c r="L11" s="6" t="n">
        <f aca="false">Staged_Cons_CutM10!B158/100000</f>
        <v>30</v>
      </c>
      <c r="M11" s="6" t="n">
        <f aca="false">Staged_FalsePos!B158/100000</f>
        <v>30</v>
      </c>
      <c r="N11" s="6" t="n">
        <f aca="false">Staged_FalsePos_M6!B158/100000</f>
        <v>30</v>
      </c>
      <c r="O11" s="6" t="n">
        <f aca="false">Base_TwoStep!B158/100000</f>
        <v>30</v>
      </c>
      <c r="P11" s="6" t="n">
        <f aca="false">Conservative_TwoStep!B158/100000</f>
        <v>10</v>
      </c>
      <c r="Q11" s="6" t="n">
        <f aca="false">Base_Founder40!B158/100000</f>
        <v>30</v>
      </c>
    </row>
    <row r="12" customFormat="false" ht="15" hidden="false" customHeight="false" outlineLevel="0" collapsed="false">
      <c r="A12" s="0" t="s">
        <v>50</v>
      </c>
      <c r="B12" s="6" t="n">
        <f aca="false">Outlook_Conservative!B159/100000</f>
        <v>-4.90785608582998</v>
      </c>
      <c r="C12" s="6" t="n">
        <f aca="false">Outlook_Base!B159/100000</f>
        <v>5.41729135693395</v>
      </c>
      <c r="D12" s="6" t="n">
        <f aca="false">Outlook_Aggressive!B159/100000</f>
        <v>21.8954863411573</v>
      </c>
      <c r="E12" s="6" t="n">
        <f aca="false">Plan10L_BaseRates!B159/100000</f>
        <v>6.92900887919969</v>
      </c>
      <c r="F12" s="6" t="n">
        <f aca="false">Plan50L_BaseRates!B159/100000</f>
        <v>5.84516581071982</v>
      </c>
      <c r="G12" s="7" t="n">
        <f aca="false">Staged_G1M9!B159/100000</f>
        <v>4.81667753959533</v>
      </c>
      <c r="H12" s="6" t="n">
        <f aca="false">Staged_G1M6!B159/100000</f>
        <v>3.47580187200224</v>
      </c>
      <c r="I12" s="6" t="n">
        <f aca="false">Staged_Cons!B159/100000</f>
        <v>-6.18614896344988</v>
      </c>
      <c r="J12" s="6" t="n">
        <f aca="false">Staged_Cons_CutM5!B159/100000</f>
        <v>1.31626300549734</v>
      </c>
      <c r="K12" s="6" t="n">
        <f aca="false">Staged_Cons_CutM5_Deep!B159/100000</f>
        <v>4.59417829955991</v>
      </c>
      <c r="L12" s="6" t="n">
        <f aca="false">Staged_Cons_CutM10!B159/100000</f>
        <v>-3.89516699355301</v>
      </c>
      <c r="M12" s="6" t="n">
        <f aca="false">Staged_FalsePos!B159/100000</f>
        <v>-2.65394905490321</v>
      </c>
      <c r="N12" s="6" t="n">
        <f aca="false">Staged_FalsePos_M6!B159/100000</f>
        <v>-2.42528026441518</v>
      </c>
      <c r="O12" s="6" t="n">
        <f aca="false">Base_TwoStep!B159/100000</f>
        <v>4.24123319812542</v>
      </c>
      <c r="P12" s="6" t="n">
        <f aca="false">Conservative_TwoStep!B159/100000</f>
        <v>-4.90785608582998</v>
      </c>
      <c r="Q12" s="6" t="n">
        <f aca="false">Base_Founder40!B159/100000</f>
        <v>5.41729135693395</v>
      </c>
    </row>
    <row r="13" customFormat="false" ht="15" hidden="false" customHeight="false" outlineLevel="0" collapsed="false">
      <c r="A13" s="0" t="s">
        <v>51</v>
      </c>
      <c r="B13" s="6" t="n">
        <f aca="false">Outlook_Conservative!B160</f>
        <v>33.1370242805755</v>
      </c>
      <c r="C13" s="6" t="n">
        <f aca="false">Outlook_Base!B160</f>
        <v>89.3117228168619</v>
      </c>
      <c r="D13" s="6" t="n">
        <f aca="false">Outlook_Aggressive!B160</f>
        <v>123.616323104723</v>
      </c>
      <c r="E13" s="6" t="n">
        <f aca="false">Plan10L_BaseRates!B160</f>
        <v>51.9759590046751</v>
      </c>
      <c r="F13" s="6" t="n">
        <f aca="false">Plan50L_BaseRates!B160</f>
        <v>125.178184439188</v>
      </c>
      <c r="G13" s="7" t="n">
        <f aca="false">Staged_G1M9!B160</f>
        <v>81.0218308581928</v>
      </c>
      <c r="H13" s="6" t="n">
        <f aca="false">Staged_G1M6!B160</f>
        <v>90.85354334035</v>
      </c>
      <c r="I13" s="6" t="n">
        <f aca="false">Staged_Cons!B160</f>
        <v>51.5481909472422</v>
      </c>
      <c r="J13" s="6" t="n">
        <f aca="false">Staged_Cons_CutM5!B160</f>
        <v>34.8674691247002</v>
      </c>
      <c r="K13" s="6" t="n">
        <f aca="false">Staged_Cons_CutM5_Deep!B160</f>
        <v>28.652692146283</v>
      </c>
      <c r="L13" s="6" t="n">
        <f aca="false">Staged_Cons_CutM10!B160</f>
        <v>45.4145290767386</v>
      </c>
      <c r="M13" s="6" t="n">
        <f aca="false">Staged_FalsePos!B160</f>
        <v>65.3587517056032</v>
      </c>
      <c r="N13" s="6" t="n">
        <f aca="false">Staged_FalsePos_M6!B160</f>
        <v>54.328875</v>
      </c>
      <c r="O13" s="6" t="n">
        <f aca="false">Base_TwoStep!B160</f>
        <v>89.3117228168619</v>
      </c>
      <c r="P13" s="6" t="n">
        <f aca="false">Conservative_TwoStep!B160</f>
        <v>33.1370242805755</v>
      </c>
      <c r="Q13" s="6" t="n">
        <f aca="false">Base_Founder40!B160</f>
        <v>89.3117228168619</v>
      </c>
    </row>
    <row r="14" customFormat="false" ht="15" hidden="false" customHeight="false" outlineLevel="0" collapsed="false">
      <c r="A14" s="0" t="s">
        <v>52</v>
      </c>
      <c r="B14" s="6" t="n">
        <f aca="false">Outlook_Conservative!B161</f>
        <v>3.63590647482014</v>
      </c>
      <c r="C14" s="6" t="n">
        <f aca="false">Outlook_Base!B161</f>
        <v>10.6735421997155</v>
      </c>
      <c r="D14" s="6" t="n">
        <f aca="false">Outlook_Aggressive!B161</f>
        <v>13.7443871841204</v>
      </c>
      <c r="E14" s="6" t="n">
        <f aca="false">Plan10L_BaseRates!B161</f>
        <v>5.41971677855696</v>
      </c>
      <c r="F14" s="6" t="n">
        <f aca="false">Plan50L_BaseRates!B161</f>
        <v>14.8395585176425</v>
      </c>
      <c r="G14" s="7" t="n">
        <f aca="false">Staged_G1M9!B161</f>
        <v>9.05482597636547</v>
      </c>
      <c r="H14" s="6" t="n">
        <f aca="false">Staged_G1M6!B161</f>
        <v>10.6934447233917</v>
      </c>
      <c r="I14" s="6" t="n">
        <f aca="false">Staged_Cons!B161</f>
        <v>5.92385971223022</v>
      </c>
      <c r="J14" s="6" t="n">
        <f aca="false">Staged_Cons_CutM5!B161</f>
        <v>3.63590647482014</v>
      </c>
      <c r="K14" s="6" t="n">
        <f aca="false">Staged_Cons_CutM5_Deep!B161</f>
        <v>2.82</v>
      </c>
      <c r="L14" s="6" t="n">
        <f aca="false">Staged_Cons_CutM10!B161</f>
        <v>4.90158273381295</v>
      </c>
      <c r="M14" s="6" t="n">
        <f aca="false">Staged_FalsePos!B161</f>
        <v>6.4443127842672</v>
      </c>
      <c r="N14" s="6" t="n">
        <f aca="false">Staged_FalsePos_M6!B161</f>
        <v>4.606</v>
      </c>
      <c r="O14" s="6" t="n">
        <f aca="false">Base_TwoStep!B161</f>
        <v>10.6735421997155</v>
      </c>
      <c r="P14" s="6" t="n">
        <f aca="false">Conservative_TwoStep!B161</f>
        <v>3.63590647482014</v>
      </c>
      <c r="Q14" s="6" t="n">
        <f aca="false">Base_Founder40!B161</f>
        <v>10.6735421997155</v>
      </c>
    </row>
    <row r="15" customFormat="false" ht="15" hidden="false" customHeight="false" outlineLevel="0" collapsed="false">
      <c r="A15" s="0" t="s">
        <v>53</v>
      </c>
      <c r="B15" s="10" t="n">
        <f aca="false">Outlook_Conservative!B162</f>
        <v>67.5</v>
      </c>
      <c r="C15" s="10" t="n">
        <f aca="false">Outlook_Base!B162</f>
        <v>153</v>
      </c>
      <c r="D15" s="10" t="n">
        <f aca="false">Outlook_Aggressive!B162</f>
        <v>202.5</v>
      </c>
      <c r="E15" s="10" t="n">
        <f aca="false">Plan10L_BaseRates!B162</f>
        <v>76.5</v>
      </c>
      <c r="F15" s="10" t="n">
        <f aca="false">Plan50L_BaseRates!B162</f>
        <v>191.25</v>
      </c>
      <c r="G15" s="11" t="n">
        <f aca="false">Staged_G1M9!B162</f>
        <v>153</v>
      </c>
      <c r="H15" s="10" t="n">
        <f aca="false">Staged_G1M6!B162</f>
        <v>153</v>
      </c>
      <c r="I15" s="10" t="n">
        <f aca="false">Staged_Cons!B162</f>
        <v>135</v>
      </c>
      <c r="J15" s="10" t="n">
        <f aca="false">Staged_Cons_CutM5!B162</f>
        <v>72</v>
      </c>
      <c r="K15" s="10" t="n">
        <f aca="false">Staged_Cons_CutM5_Deep!B162</f>
        <v>72</v>
      </c>
      <c r="L15" s="10" t="n">
        <f aca="false">Staged_Cons_CutM10!B162</f>
        <v>108</v>
      </c>
      <c r="M15" s="10" t="n">
        <f aca="false">Staged_FalsePos!B162</f>
        <v>122.4</v>
      </c>
      <c r="N15" s="10" t="n">
        <f aca="false">Staged_FalsePos_M6!B162</f>
        <v>80.92</v>
      </c>
      <c r="O15" s="10" t="n">
        <f aca="false">Base_TwoStep!B162</f>
        <v>153</v>
      </c>
      <c r="P15" s="10" t="n">
        <f aca="false">Conservative_TwoStep!B162</f>
        <v>67.5</v>
      </c>
      <c r="Q15" s="10" t="n">
        <f aca="false">Base_Founder40!B162</f>
        <v>153</v>
      </c>
    </row>
    <row r="16" customFormat="false" ht="15" hidden="false" customHeight="false" outlineLevel="0" collapsed="false">
      <c r="A16" s="0" t="s">
        <v>54</v>
      </c>
      <c r="B16" s="8" t="n">
        <f aca="false">Outlook_Conservative!B163</f>
        <v>0.483498201438849</v>
      </c>
      <c r="C16" s="8" t="n">
        <f aca="false">Outlook_Base!B163</f>
        <v>0.828357899756937</v>
      </c>
      <c r="D16" s="8" t="n">
        <f aca="false">Outlook_Aggressive!B163</f>
        <v>0.9</v>
      </c>
      <c r="E16" s="8" t="n">
        <f aca="false">Plan10L_BaseRates!B163</f>
        <v>0.803271019975302</v>
      </c>
      <c r="F16" s="8" t="n">
        <f aca="false">Plan50L_BaseRates!B163</f>
        <v>0.9</v>
      </c>
      <c r="G16" s="9" t="n">
        <f aca="false">Staged_G1M9!B163</f>
        <v>0.861575179568179</v>
      </c>
      <c r="H16" s="8" t="n">
        <f aca="false">Staged_G1M6!B163</f>
        <v>0.835432556717462</v>
      </c>
      <c r="I16" s="8" t="n">
        <f aca="false">Staged_Cons!B163</f>
        <v>0.630197841726619</v>
      </c>
      <c r="J16" s="8" t="n">
        <f aca="false">Staged_Cons_CutM5!B163</f>
        <v>0.386798561151079</v>
      </c>
      <c r="K16" s="8" t="n">
        <f aca="false">Staged_Cons_CutM5_Deep!B163</f>
        <v>0.3</v>
      </c>
      <c r="L16" s="8" t="n">
        <f aca="false">Staged_Cons_CutM10!B163</f>
        <v>0.40201101618705</v>
      </c>
      <c r="M16" s="8" t="n">
        <f aca="false">Staged_FalsePos!B163</f>
        <v>0.645370310760621</v>
      </c>
      <c r="N16" s="8" t="n">
        <f aca="false">Staged_FalsePos_M6!B163</f>
        <v>0.388512</v>
      </c>
      <c r="O16" s="8" t="n">
        <f aca="false">Base_TwoStep!B163</f>
        <v>0.828357899756937</v>
      </c>
      <c r="P16" s="8" t="n">
        <f aca="false">Conservative_TwoStep!B163</f>
        <v>0.483498201438849</v>
      </c>
      <c r="Q16" s="8" t="n">
        <f aca="false">Base_Founder40!B163</f>
        <v>0.828357899756937</v>
      </c>
    </row>
    <row r="17" customFormat="false" ht="15" hidden="false" customHeight="false" outlineLevel="0" collapsed="false">
      <c r="A17" s="0" t="s">
        <v>55</v>
      </c>
      <c r="B17" s="0" t="str">
        <f aca="false">Outlook_Conservative!B164</f>
        <v>not in Y1</v>
      </c>
      <c r="C17" s="0" t="n">
        <f aca="false">Outlook_Base!B164</f>
        <v>6</v>
      </c>
      <c r="D17" s="0" t="n">
        <f aca="false">Outlook_Aggressive!B164</f>
        <v>7</v>
      </c>
      <c r="E17" s="0" t="n">
        <f aca="false">Plan10L_BaseRates!B164</f>
        <v>8</v>
      </c>
      <c r="F17" s="0" t="n">
        <f aca="false">Plan50L_BaseRates!B164</f>
        <v>8</v>
      </c>
      <c r="G17" s="12" t="n">
        <f aca="false">Staged_G1M9!B164</f>
        <v>7</v>
      </c>
      <c r="H17" s="13" t="n">
        <f aca="false">Staged_G1M6!B164</f>
        <v>8</v>
      </c>
      <c r="I17" s="0" t="str">
        <f aca="false">Staged_Cons!B164</f>
        <v>not in Y1</v>
      </c>
      <c r="J17" s="0" t="str">
        <f aca="false">Staged_Cons_CutM5!B164</f>
        <v>not in Y1</v>
      </c>
      <c r="K17" s="0" t="str">
        <f aca="false">Staged_Cons_CutM5_Deep!B164</f>
        <v>not in Y1</v>
      </c>
      <c r="L17" s="0" t="str">
        <f aca="false">Staged_Cons_CutM10!B164</f>
        <v>not in Y1</v>
      </c>
      <c r="M17" s="13" t="n">
        <f aca="false">Staged_FalsePos!B164</f>
        <v>7</v>
      </c>
      <c r="N17" s="0" t="str">
        <f aca="false">Staged_FalsePos_M6!B164</f>
        <v>not in Y1</v>
      </c>
      <c r="O17" s="13" t="n">
        <f aca="false">Base_TwoStep!B164</f>
        <v>6</v>
      </c>
      <c r="P17" s="0" t="str">
        <f aca="false">Conservative_TwoStep!B164</f>
        <v>not in Y1</v>
      </c>
      <c r="Q17" s="13" t="n">
        <f aca="false">Base_Founder40!B164</f>
        <v>6</v>
      </c>
    </row>
    <row r="18" customFormat="false" ht="15" hidden="false" customHeight="false" outlineLevel="0" collapsed="false">
      <c r="A18" s="0" t="s">
        <v>56</v>
      </c>
      <c r="B18" s="8" t="n">
        <f aca="false">Outlook_Conservative!B165</f>
        <v>0.4</v>
      </c>
      <c r="C18" s="8" t="n">
        <f aca="false">Outlook_Base!B165</f>
        <v>0.3</v>
      </c>
      <c r="D18" s="8" t="n">
        <f aca="false">Outlook_Aggressive!B165</f>
        <v>0.25</v>
      </c>
      <c r="E18" s="8" t="n">
        <f aca="false">Plan10L_BaseRates!B165</f>
        <v>0.4</v>
      </c>
      <c r="F18" s="8" t="n">
        <f aca="false">Plan50L_BaseRates!B165</f>
        <v>0.25</v>
      </c>
      <c r="G18" s="9" t="n">
        <f aca="false">Staged_G1M9!B165</f>
        <v>0.4</v>
      </c>
      <c r="H18" s="8" t="n">
        <f aca="false">Staged_G1M6!B165</f>
        <v>0.4</v>
      </c>
      <c r="I18" s="8" t="n">
        <f aca="false">Staged_Cons!B165</f>
        <v>0.4</v>
      </c>
      <c r="J18" s="8" t="n">
        <f aca="false">Staged_Cons_CutM5!B165</f>
        <v>0.4</v>
      </c>
      <c r="K18" s="8" t="n">
        <f aca="false">Staged_Cons_CutM5_Deep!B165</f>
        <v>0.4</v>
      </c>
      <c r="L18" s="8" t="n">
        <f aca="false">Staged_Cons_CutM10!B165</f>
        <v>0.4</v>
      </c>
      <c r="M18" s="8" t="n">
        <f aca="false">Staged_FalsePos!B165</f>
        <v>0.4</v>
      </c>
      <c r="N18" s="8" t="n">
        <f aca="false">Staged_FalsePos_M6!B165</f>
        <v>0.4</v>
      </c>
      <c r="O18" s="8" t="n">
        <f aca="false">Base_TwoStep!B165</f>
        <v>0.3</v>
      </c>
      <c r="P18" s="8" t="n">
        <f aca="false">Conservative_TwoStep!B165</f>
        <v>0.4</v>
      </c>
      <c r="Q18" s="8" t="n">
        <f aca="false">Base_Founder40!B165</f>
        <v>0.4</v>
      </c>
    </row>
    <row r="19" customFormat="false" ht="15" hidden="false" customHeight="false" outlineLevel="0" collapsed="false">
      <c r="A19" s="0" t="s">
        <v>57</v>
      </c>
      <c r="B19" s="10" t="n">
        <f aca="false">Outlook_Conservative!B166</f>
        <v>1.5</v>
      </c>
      <c r="C19" s="10" t="n">
        <f aca="false">Outlook_Base!B166</f>
        <v>3</v>
      </c>
      <c r="D19" s="10" t="n">
        <f aca="false">Outlook_Aggressive!B166</f>
        <v>4</v>
      </c>
      <c r="E19" s="10" t="n">
        <f aca="false">Plan10L_BaseRates!B166</f>
        <v>1.5</v>
      </c>
      <c r="F19" s="10" t="n">
        <f aca="false">Plan50L_BaseRates!B166</f>
        <v>4</v>
      </c>
      <c r="G19" s="11" t="n">
        <f aca="false">Staged_G1M9!B166</f>
        <v>4</v>
      </c>
      <c r="H19" s="10" t="n">
        <f aca="false">Staged_G1M6!B166</f>
        <v>4</v>
      </c>
      <c r="I19" s="10" t="n">
        <f aca="false">Staged_Cons!B166</f>
        <v>2</v>
      </c>
      <c r="J19" s="10" t="n">
        <f aca="false">Staged_Cons_CutM5!B166</f>
        <v>1.5</v>
      </c>
      <c r="K19" s="10" t="n">
        <f aca="false">Staged_Cons_CutM5_Deep!B166</f>
        <v>1.5</v>
      </c>
      <c r="L19" s="10" t="n">
        <f aca="false">Staged_Cons_CutM10!B166</f>
        <v>1.5</v>
      </c>
      <c r="M19" s="10" t="n">
        <f aca="false">Staged_FalsePos!B166</f>
        <v>1.5</v>
      </c>
      <c r="N19" s="10" t="n">
        <f aca="false">Staged_FalsePos_M6!B166</f>
        <v>1.5</v>
      </c>
      <c r="O19" s="10" t="n">
        <f aca="false">Base_TwoStep!B166</f>
        <v>3</v>
      </c>
      <c r="P19" s="10" t="n">
        <f aca="false">Conservative_TwoStep!B166</f>
        <v>1.5</v>
      </c>
      <c r="Q19" s="10" t="n">
        <f aca="false">Base_Founder40!B166</f>
        <v>3</v>
      </c>
    </row>
    <row r="20" customFormat="false" ht="15" hidden="false" customHeight="false" outlineLevel="0" collapsed="false">
      <c r="A20" s="0" t="s">
        <v>58</v>
      </c>
      <c r="B20" s="14" t="n">
        <f aca="false">Outlook_Conservative!B167</f>
        <v>34929.9645127119</v>
      </c>
      <c r="C20" s="14" t="n">
        <f aca="false">Outlook_Base!B167</f>
        <v>50195.5817372881</v>
      </c>
      <c r="D20" s="14" t="n">
        <f aca="false">Outlook_Aggressive!B167</f>
        <v>68504.5547756493</v>
      </c>
      <c r="E20" s="14" t="n">
        <f aca="false">Plan10L_BaseRates!B167</f>
        <v>50420.5817372881</v>
      </c>
      <c r="F20" s="14" t="n">
        <f aca="false">Plan50L_BaseRates!B167</f>
        <v>50076.1628413045</v>
      </c>
      <c r="G20" s="15" t="n">
        <f aca="false">Staged_G1M9!B167</f>
        <v>41936.2179147712</v>
      </c>
      <c r="H20" s="14" t="n">
        <f aca="false">Staged_G1M6!B167</f>
        <v>41877.7455312369</v>
      </c>
      <c r="I20" s="14" t="n">
        <f aca="false">Staged_Cons!B167</f>
        <v>14987.1175847458</v>
      </c>
      <c r="J20" s="14" t="n">
        <f aca="false">Staged_Cons_CutM5!B167</f>
        <v>14987.1175847458</v>
      </c>
      <c r="K20" s="14" t="n">
        <f aca="false">Staged_Cons_CutM5_Deep!B167</f>
        <v>14987.1175847458</v>
      </c>
      <c r="L20" s="14" t="n">
        <f aca="false">Staged_Cons_CutM10!B167</f>
        <v>14987.1175847458</v>
      </c>
      <c r="M20" s="14" t="n">
        <f aca="false">Staged_FalsePos!B167</f>
        <v>44720.4935911017</v>
      </c>
      <c r="N20" s="14" t="n">
        <f aca="false">Staged_FalsePos_M6!B167</f>
        <v>42580.1919067797</v>
      </c>
      <c r="O20" s="14" t="n">
        <f aca="false">Base_TwoStep!B167</f>
        <v>42355.1919067797</v>
      </c>
      <c r="P20" s="14" t="n">
        <f aca="false">Conservative_TwoStep!B167</f>
        <v>34929.9645127119</v>
      </c>
      <c r="Q20" s="14" t="n">
        <f aca="false">Base_Founder40!B167</f>
        <v>50195.5817372881</v>
      </c>
    </row>
    <row r="21" customFormat="false" ht="15" hidden="false" customHeight="false" outlineLevel="0" collapsed="false">
      <c r="A21" s="0" t="s">
        <v>59</v>
      </c>
      <c r="B21" s="6" t="n">
        <f aca="false">Outlook_Conservative!B168/100000</f>
        <v>2.09833</v>
      </c>
      <c r="C21" s="6" t="n">
        <f aca="false">Outlook_Base!B168/100000</f>
        <v>5.14933</v>
      </c>
      <c r="D21" s="6" t="n">
        <f aca="false">Outlook_Aggressive!B168/100000</f>
        <v>8.36367</v>
      </c>
      <c r="E21" s="6" t="n">
        <f aca="false">Plan10L_BaseRates!B168/100000</f>
        <v>1.88333</v>
      </c>
      <c r="F21" s="6" t="n">
        <f aca="false">Plan50L_BaseRates!B168/100000</f>
        <v>8.51367</v>
      </c>
      <c r="G21" s="7" t="n">
        <f aca="false">Staged_G1M9!B168/100000</f>
        <v>5.67933</v>
      </c>
      <c r="H21" s="6" t="n">
        <f aca="false">Staged_G1M6!B168/100000</f>
        <v>5.67933</v>
      </c>
      <c r="I21" s="6" t="n">
        <f aca="false">Staged_Cons!B168/100000</f>
        <v>4.00833</v>
      </c>
      <c r="J21" s="6" t="n">
        <f aca="false">Staged_Cons_CutM5!B168/100000</f>
        <v>2.34833</v>
      </c>
      <c r="K21" s="6" t="n">
        <f aca="false">Staged_Cons_CutM5_Deep!B168/100000</f>
        <v>1.82833</v>
      </c>
      <c r="L21" s="6" t="n">
        <f aca="false">Staged_Cons_CutM10!B168/100000</f>
        <v>2.34833</v>
      </c>
      <c r="M21" s="6" t="n">
        <f aca="false">Staged_FalsePos!B168/100000</f>
        <v>7.04833</v>
      </c>
      <c r="N21" s="6" t="n">
        <f aca="false">Staged_FalsePos_M6!B168/100000</f>
        <v>2.11333</v>
      </c>
      <c r="O21" s="6" t="n">
        <f aca="false">Base_TwoStep!B168/100000</f>
        <v>5.14933</v>
      </c>
      <c r="P21" s="6" t="n">
        <f aca="false">Conservative_TwoStep!B168/100000</f>
        <v>2.09833</v>
      </c>
      <c r="Q21" s="6" t="n">
        <f aca="false">Base_Founder40!B168/100000</f>
        <v>5.14933</v>
      </c>
    </row>
    <row r="22" customFormat="false" ht="15" hidden="false" customHeight="false" outlineLevel="0" collapsed="false">
      <c r="A22" s="0" t="s">
        <v>60</v>
      </c>
      <c r="B22" s="6" t="n">
        <f aca="false">Outlook_Conservative!B169/100000</f>
        <v>0.57692860181452</v>
      </c>
      <c r="C22" s="6" t="n">
        <f aca="false">Outlook_Base!B169/100000</f>
        <v>2.39878409678962</v>
      </c>
      <c r="D22" s="6" t="n">
        <f aca="false">Outlook_Aggressive!B169/100000</f>
        <v>5.03600586737455</v>
      </c>
      <c r="E22" s="6" t="n">
        <f aca="false">Plan10L_BaseRates!B169/100000</f>
        <v>1.35889810898458</v>
      </c>
      <c r="F22" s="6" t="n">
        <f aca="false">Plan50L_BaseRates!B169/100000</f>
        <v>3.13889804423433</v>
      </c>
      <c r="G22" s="7" t="n">
        <f aca="false">Staged_G1M9!B169/100000</f>
        <v>2.39878409678962</v>
      </c>
      <c r="H22" s="6" t="n">
        <f aca="false">Staged_G1M6!B169/100000</f>
        <v>2.39878409678962</v>
      </c>
      <c r="I22" s="6" t="n">
        <f aca="false">Staged_Cons!B169/100000</f>
        <v>0.988841575487711</v>
      </c>
      <c r="J22" s="6" t="n">
        <f aca="false">Staged_Cons_CutM5!B169/100000</f>
        <v>0.567908335592937</v>
      </c>
      <c r="K22" s="6" t="n">
        <f aca="false">Staged_Cons_CutM5_Deep!B169/100000</f>
        <v>0.562431044101695</v>
      </c>
      <c r="L22" s="6" t="n">
        <f aca="false">Staged_Cons_CutM10!B169/100000</f>
        <v>0.567908335592937</v>
      </c>
      <c r="M22" s="6" t="n">
        <f aca="false">Staged_FalsePos!B169/100000</f>
        <v>0.815338865390747</v>
      </c>
      <c r="N22" s="6" t="n">
        <f aca="false">Staged_FalsePos_M6!B169/100000</f>
        <v>0.815338865390747</v>
      </c>
      <c r="O22" s="6" t="n">
        <f aca="false">Base_TwoStep!B169/100000</f>
        <v>2.39878409678962</v>
      </c>
      <c r="P22" s="6" t="n">
        <f aca="false">Conservative_TwoStep!B169/100000</f>
        <v>0.57692860181452</v>
      </c>
      <c r="Q22" s="6" t="n">
        <f aca="false">Base_Founder40!B169/100000</f>
        <v>2.39878409678962</v>
      </c>
    </row>
    <row r="23" customFormat="false" ht="15" hidden="false" customHeight="false" outlineLevel="0" collapsed="false">
      <c r="A23" s="0" t="s">
        <v>61</v>
      </c>
      <c r="B23" s="6" t="n">
        <f aca="false">Outlook_Conservative!B170</f>
        <v>4.35557670730471</v>
      </c>
      <c r="C23" s="6" t="n">
        <f aca="false">Outlook_Base!B170</f>
        <v>5.47965738818625</v>
      </c>
      <c r="D23" s="6" t="n">
        <f aca="false">Outlook_Aggressive!B170</f>
        <v>4.85758084776037</v>
      </c>
      <c r="E23" s="6" t="n">
        <f aca="false">Plan10L_BaseRates!B170</f>
        <v>1.04011471693827</v>
      </c>
      <c r="F23" s="6" t="n">
        <f aca="false">Plan50L_BaseRates!B170</f>
        <v>10.7331944997439</v>
      </c>
      <c r="G23" s="7" t="n">
        <f aca="false">Staged_G1M9!B170</f>
        <v>7.82270330118366</v>
      </c>
      <c r="H23" s="6" t="n">
        <f aca="false">Staged_G1M6!B170</f>
        <v>7.83362585926073</v>
      </c>
      <c r="I23" s="6" t="n">
        <f aca="false">Staged_Cons!B170</f>
        <v>20.1472258253688</v>
      </c>
      <c r="J23" s="6" t="n">
        <f aca="false">Staged_Cons_CutM5!B170</f>
        <v>11.8796803610803</v>
      </c>
      <c r="K23" s="6" t="n">
        <f aca="false">Staged_Cons_CutM5_Deep!B170</f>
        <v>8.44658052984629</v>
      </c>
      <c r="L23" s="6" t="n">
        <f aca="false">Staged_Cons_CutM10!B170</f>
        <v>11.8796803610803</v>
      </c>
      <c r="M23" s="6" t="n">
        <f aca="false">Staged_FalsePos!B170</f>
        <v>13.9376617610712</v>
      </c>
      <c r="N23" s="6" t="n">
        <f aca="false">Staged_FalsePos_M6!B170</f>
        <v>3.04834496155144</v>
      </c>
      <c r="O23" s="6" t="n">
        <f aca="false">Base_TwoStep!B170</f>
        <v>6.493999387995</v>
      </c>
      <c r="P23" s="6" t="n">
        <f aca="false">Conservative_TwoStep!B170</f>
        <v>4.35557670730471</v>
      </c>
      <c r="Q23" s="6" t="n">
        <f aca="false">Base_Founder40!B170</f>
        <v>5.47965738818625</v>
      </c>
    </row>
    <row r="24" customFormat="false" ht="15" hidden="false" customHeight="false" outlineLevel="0" collapsed="false">
      <c r="A24" s="0" t="s">
        <v>62</v>
      </c>
      <c r="B24" s="10" t="n">
        <f aca="false">Outlook_Conservative!B171</f>
        <v>52.2669204876565</v>
      </c>
      <c r="C24" s="10" t="n">
        <f aca="false">Outlook_Base!B171</f>
        <v>65.755888658235</v>
      </c>
      <c r="D24" s="10" t="n">
        <f aca="false">Outlook_Aggressive!B171</f>
        <v>58.2909701731245</v>
      </c>
      <c r="E24" s="10" t="n">
        <f aca="false">Plan10L_BaseRates!B171</f>
        <v>12.4813766032592</v>
      </c>
      <c r="F24" s="10" t="n">
        <f aca="false">Plan50L_BaseRates!B171</f>
        <v>128.798333996926</v>
      </c>
      <c r="G24" s="11" t="n">
        <f aca="false">Staged_G1M9!B171</f>
        <v>93.8724396142039</v>
      </c>
      <c r="H24" s="10" t="n">
        <f aca="false">Staged_G1M6!B171</f>
        <v>94.0035103111288</v>
      </c>
      <c r="I24" s="10" t="n">
        <f aca="false">Staged_Cons!B171</f>
        <v>241.766709904426</v>
      </c>
      <c r="J24" s="10" t="n">
        <f aca="false">Staged_Cons_CutM5!B171</f>
        <v>142.556164332964</v>
      </c>
      <c r="K24" s="10" t="n">
        <f aca="false">Staged_Cons_CutM5_Deep!B171</f>
        <v>101.358966358155</v>
      </c>
      <c r="L24" s="10" t="n">
        <f aca="false">Staged_Cons_CutM10!B171</f>
        <v>142.556164332964</v>
      </c>
      <c r="M24" s="10" t="n">
        <f aca="false">Staged_FalsePos!B171</f>
        <v>167.251941132854</v>
      </c>
      <c r="N24" s="10" t="n">
        <f aca="false">Staged_FalsePos_M6!B171</f>
        <v>36.5801395386173</v>
      </c>
      <c r="O24" s="10" t="n">
        <f aca="false">Base_TwoStep!B171</f>
        <v>77.92799265594</v>
      </c>
      <c r="P24" s="10" t="n">
        <f aca="false">Conservative_TwoStep!B171</f>
        <v>52.2669204876565</v>
      </c>
      <c r="Q24" s="10" t="n">
        <f aca="false">Base_Founder40!B171</f>
        <v>65.755888658235</v>
      </c>
    </row>
    <row r="25" customFormat="false" ht="15" hidden="false" customHeight="false" outlineLevel="0" collapsed="false">
      <c r="A25" s="0" t="s">
        <v>63</v>
      </c>
      <c r="B25" s="14" t="n">
        <f aca="false">Outlook_Conservative!B172</f>
        <v>34317.6587808943</v>
      </c>
      <c r="C25" s="14" t="n">
        <f aca="false">Outlook_Base!B172</f>
        <v>10740.527089785</v>
      </c>
      <c r="D25" s="14" t="n">
        <f aca="false">Outlook_Aggressive!B172</f>
        <v>16552.2112373873</v>
      </c>
      <c r="E25" s="14" t="n">
        <f aca="false">Plan10L_BaseRates!B172</f>
        <v>10332.6432520539</v>
      </c>
      <c r="F25" s="14" t="n">
        <f aca="false">Plan50L_BaseRates!B172</f>
        <v>15330.6447580317</v>
      </c>
      <c r="G25" s="15" t="n">
        <f aca="false">Staged_G1M9!B172</f>
        <v>11678.7288298016</v>
      </c>
      <c r="H25" s="14" t="n">
        <f aca="false">Staged_G1M6!B172</f>
        <v>11140.6125049905</v>
      </c>
      <c r="I25" s="14" t="n">
        <f aca="false">Staged_Cons!B172</f>
        <v>34317.6587808943</v>
      </c>
      <c r="J25" s="14" t="n">
        <f aca="false">Staged_Cons_CutM5!B172</f>
        <v>34317.6587808943</v>
      </c>
      <c r="K25" s="14" t="n">
        <f aca="false">Staged_Cons_CutM5_Deep!B172</f>
        <v>0</v>
      </c>
      <c r="L25" s="14" t="n">
        <f aca="false">Staged_Cons_CutM10!B172</f>
        <v>33602.7075562923</v>
      </c>
      <c r="M25" s="14" t="n">
        <f aca="false">Staged_FalsePos!B172</f>
        <v>14926.2654962606</v>
      </c>
      <c r="N25" s="14" t="n">
        <f aca="false">Staged_FalsePos_M6!B172</f>
        <v>15930.3882195448</v>
      </c>
      <c r="O25" s="14" t="n">
        <f aca="false">Base_TwoStep!B172</f>
        <v>10740.527089785</v>
      </c>
      <c r="P25" s="14" t="n">
        <f aca="false">Conservative_TwoStep!B172</f>
        <v>34317.6587808943</v>
      </c>
      <c r="Q25" s="14" t="n">
        <f aca="false">Base_Founder40!B172</f>
        <v>10740.527089785</v>
      </c>
    </row>
    <row r="26" customFormat="false" ht="15" hidden="false" customHeight="false" outlineLevel="0" collapsed="false">
      <c r="A26" s="0" t="s">
        <v>64</v>
      </c>
      <c r="B26" s="8" t="n">
        <f aca="false">Outlook_Conservative!B173</f>
        <v>0.622997497868542</v>
      </c>
      <c r="C26" s="8" t="n">
        <f aca="false">Outlook_Base!B173</f>
        <v>0.158422774574328</v>
      </c>
      <c r="D26" s="8" t="n">
        <f aca="false">Outlook_Aggressive!B173</f>
        <v>0.19531609260117</v>
      </c>
      <c r="E26" s="8" t="n">
        <f aca="false">Plan10L_BaseRates!B173</f>
        <v>0.152406487967795</v>
      </c>
      <c r="F26" s="8" t="n">
        <f aca="false">Plan50L_BaseRates!B173</f>
        <v>0.226127010180967</v>
      </c>
      <c r="G26" s="9" t="n">
        <f aca="false">Staged_G1M9!B173</f>
        <v>0.206713500287489</v>
      </c>
      <c r="H26" s="8" t="n">
        <f aca="false">Staged_G1M6!B173</f>
        <v>0.197188841338332</v>
      </c>
      <c r="I26" s="8" t="n">
        <f aca="false">Staged_Cons!B173</f>
        <v>1.01237093403638</v>
      </c>
      <c r="J26" s="8" t="n">
        <f aca="false">Staged_Cons_CutM5!B173</f>
        <v>1.01237093403638</v>
      </c>
      <c r="K26" s="8" t="n">
        <f aca="false">Staged_Cons_CutM5_Deep!B173</f>
        <v>0</v>
      </c>
      <c r="L26" s="8" t="n">
        <f aca="false">Staged_Cons_CutM10!B173</f>
        <v>0.991279872910623</v>
      </c>
      <c r="M26" s="8" t="n">
        <f aca="false">Staged_FalsePos!B173</f>
        <v>0.264194899283813</v>
      </c>
      <c r="N26" s="8" t="n">
        <f aca="false">Staged_FalsePos_M6!B173</f>
        <v>0.281967871485944</v>
      </c>
      <c r="O26" s="8" t="n">
        <f aca="false">Base_TwoStep!B173</f>
        <v>0.190107329489194</v>
      </c>
      <c r="P26" s="8" t="n">
        <f aca="false">Conservative_TwoStep!B173</f>
        <v>0.622997497868542</v>
      </c>
      <c r="Q26" s="8" t="n">
        <f aca="false">Base_Founder40!B173</f>
        <v>0.158422774574328</v>
      </c>
    </row>
    <row r="27" customFormat="false" ht="15" hidden="false" customHeight="false" outlineLevel="0" collapsed="false">
      <c r="A27" s="0" t="s">
        <v>65</v>
      </c>
      <c r="B27" s="8" t="n">
        <f aca="false">Outlook_Conservative!B174</f>
        <v>0.650763530821488</v>
      </c>
      <c r="C27" s="8" t="n">
        <f aca="false">Outlook_Base!B174</f>
        <v>0.423535404642289</v>
      </c>
      <c r="D27" s="8" t="n">
        <f aca="false">Outlook_Aggressive!B174</f>
        <v>0.439851898236505</v>
      </c>
      <c r="E27" s="8" t="n">
        <f aca="false">Plan10L_BaseRates!B174</f>
        <v>0.2787472607242</v>
      </c>
      <c r="F27" s="8" t="n">
        <f aca="false">Plan50L_BaseRates!B174</f>
        <v>0.543323621579241</v>
      </c>
      <c r="G27" s="9" t="n">
        <f aca="false">Staged_G1M9!B174</f>
        <v>0.526360616474585</v>
      </c>
      <c r="H27" s="8" t="n">
        <f aca="false">Staged_G1M6!B174</f>
        <v>0.485618379815417</v>
      </c>
      <c r="I27" s="8" t="n">
        <f aca="false">Staged_Cons!B174</f>
        <v>1.11632793806148</v>
      </c>
      <c r="J27" s="8" t="n">
        <f aca="false">Staged_Cons_CutM5!B174</f>
        <v>0.771748886552144</v>
      </c>
      <c r="K27" s="8" t="n">
        <f aca="false">Staged_Cons_CutM5_Deep!B174</f>
        <v>0.378662295884044</v>
      </c>
      <c r="L27" s="8" t="n">
        <f aca="false">Staged_Cons_CutM10!B174</f>
        <v>0.96012016945764</v>
      </c>
      <c r="M27" s="8" t="n">
        <f aca="false">Staged_FalsePos!B174</f>
        <v>0.651950704454075</v>
      </c>
      <c r="N27" s="8" t="n">
        <f aca="false">Staged_FalsePos_M6!B174</f>
        <v>0.604999718094159</v>
      </c>
      <c r="O27" s="8" t="n">
        <f aca="false">Base_TwoStep!B174</f>
        <v>0.488339192013916</v>
      </c>
      <c r="P27" s="8" t="n">
        <f aca="false">Conservative_TwoStep!B174</f>
        <v>0.650763530821488</v>
      </c>
      <c r="Q27" s="8" t="n">
        <f aca="false">Base_Founder40!B174</f>
        <v>0.423535404642289</v>
      </c>
    </row>
    <row r="28" customFormat="false" ht="15" hidden="false" customHeight="false" outlineLevel="0" collapsed="false">
      <c r="A28" s="0" t="s">
        <v>66</v>
      </c>
      <c r="B28" s="6" t="n">
        <f aca="false">Outlook_Conservative!B175</f>
        <v>7.52884009442716</v>
      </c>
      <c r="C28" s="6" t="n">
        <f aca="false">Outlook_Base!B175</f>
        <v>17.5428834734527</v>
      </c>
      <c r="D28" s="6" t="n">
        <f aca="false">Outlook_Aggressive!B175</f>
        <v>23.9529504580762</v>
      </c>
      <c r="E28" s="6" t="n">
        <f aca="false">Plan10L_BaseRates!B175</f>
        <v>5.66843735781582</v>
      </c>
      <c r="F28" s="6" t="n">
        <f aca="false">Plan50L_BaseRates!B175</f>
        <v>31.2723802642365</v>
      </c>
      <c r="G28" s="7" t="n">
        <f aca="false">Staged_G1M9!B175</f>
        <v>20.4750580186914</v>
      </c>
      <c r="H28" s="6" t="n">
        <f aca="false">Staged_G1M6!B175</f>
        <v>20.5096804380865</v>
      </c>
      <c r="I28" s="6" t="n">
        <f aca="false">Staged_Cons!B175</f>
        <v>25.7419971223022</v>
      </c>
      <c r="J28" s="6" t="n">
        <f aca="false">Staged_Cons_CutM5!B175</f>
        <v>10.8008403075818</v>
      </c>
      <c r="K28" s="6" t="n">
        <f aca="false">Staged_Cons_CutM5_Deep!B175</f>
        <v>3.95147676419966</v>
      </c>
      <c r="L28" s="6" t="n">
        <f aca="false">Staged_Cons_CutM10!B175</f>
        <v>10.8008403075818</v>
      </c>
      <c r="M28" s="6" t="n">
        <f aca="false">Staged_FalsePos!B175</f>
        <v>6.12445033638294</v>
      </c>
      <c r="N28" s="6" t="n">
        <f aca="false">Staged_FalsePos_M6!B175</f>
        <v>6.50158867132066</v>
      </c>
      <c r="O28" s="6" t="n">
        <f aca="false">Base_TwoStep!B175</f>
        <v>20.4049712973981</v>
      </c>
      <c r="P28" s="6" t="n">
        <f aca="false">Conservative_TwoStep!B175</f>
        <v>7.52884009442716</v>
      </c>
      <c r="Q28" s="6" t="n">
        <f aca="false">Base_Founder40!B175</f>
        <v>17.5428834734527</v>
      </c>
    </row>
    <row r="29" customFormat="false" ht="15" hidden="false" customHeight="false" outlineLevel="0" collapsed="false">
      <c r="A29" s="0" t="s">
        <v>67</v>
      </c>
      <c r="B29" s="6" t="n">
        <f aca="false">Outlook_Conservative!B176/100000</f>
        <v>-1.32441771834039</v>
      </c>
      <c r="C29" s="6" t="n">
        <f aca="false">Outlook_Base!B176/100000</f>
        <v>6.34057336597821</v>
      </c>
      <c r="D29" s="6" t="n">
        <f aca="false">Outlook_Aggressive!B176/100000</f>
        <v>18.3875798106906</v>
      </c>
      <c r="E29" s="6" t="n">
        <f aca="false">Plan10L_BaseRates!B176/100000</f>
        <v>5.70950525933428</v>
      </c>
      <c r="F29" s="6" t="n">
        <f aca="false">Plan50L_BaseRates!B176/100000</f>
        <v>5.62390917309598</v>
      </c>
      <c r="G29" s="7" t="n">
        <f aca="false">Staged_G1M9!B176/100000</f>
        <v>3.4834228334389</v>
      </c>
      <c r="H29" s="6" t="n">
        <f aca="false">Staged_G1M6!B176/100000</f>
        <v>2.57092390866547</v>
      </c>
      <c r="I29" s="6" t="n">
        <f aca="false">Staged_Cons!B176/100000</f>
        <v>-6.93788282482482</v>
      </c>
      <c r="J29" s="6" t="n">
        <f aca="false">Staged_Cons_CutM5!B176/100000</f>
        <v>-4.05377794030626</v>
      </c>
      <c r="K29" s="6" t="n">
        <f aca="false">Staged_Cons_CutM5_Deep!B176/100000</f>
        <v>-2.83891921097898</v>
      </c>
      <c r="L29" s="6" t="n">
        <f aca="false">Staged_Cons_CutM10!B176/100000</f>
        <v>-5.256086624956</v>
      </c>
      <c r="M29" s="6" t="n">
        <f aca="false">Staged_FalsePos!B176/100000</f>
        <v>-8.3630662589633</v>
      </c>
      <c r="N29" s="6" t="n">
        <f aca="false">Staged_FalsePos_M6!B176/100000</f>
        <v>-0.22344542704064</v>
      </c>
      <c r="O29" s="6" t="n">
        <f aca="false">Base_TwoStep!B176/100000</f>
        <v>4.01322383958824</v>
      </c>
      <c r="P29" s="6" t="n">
        <f aca="false">Conservative_TwoStep!B176/100000</f>
        <v>-1.32441771834039</v>
      </c>
      <c r="Q29" s="6" t="n">
        <f aca="false">Base_Founder40!B176/100000</f>
        <v>6.34057336597821</v>
      </c>
    </row>
    <row r="30" customFormat="false" ht="15" hidden="false" customHeight="false" outlineLevel="0" collapsed="false">
      <c r="A30" s="0" t="s">
        <v>68</v>
      </c>
      <c r="B30" s="0" t="str">
        <f aca="false">Outlook_Conservative!B177</f>
        <v>not in Y1</v>
      </c>
      <c r="C30" s="0" t="n">
        <f aca="false">Outlook_Base!B177</f>
        <v>7</v>
      </c>
      <c r="D30" s="0" t="n">
        <f aca="false">Outlook_Aggressive!B177</f>
        <v>4</v>
      </c>
      <c r="E30" s="0" t="n">
        <f aca="false">Plan10L_BaseRates!B177</f>
        <v>5</v>
      </c>
      <c r="F30" s="0" t="n">
        <f aca="false">Plan50L_BaseRates!B177</f>
        <v>7</v>
      </c>
      <c r="G30" s="12" t="n">
        <f aca="false">Staged_G1M9!B177</f>
        <v>6</v>
      </c>
      <c r="H30" s="13" t="n">
        <f aca="false">Staged_G1M6!B177</f>
        <v>6</v>
      </c>
      <c r="I30" s="0" t="str">
        <f aca="false">Staged_Cons!B177</f>
        <v>not in Y1</v>
      </c>
      <c r="J30" s="0" t="str">
        <f aca="false">Staged_Cons_CutM5!B177</f>
        <v>not in Y1</v>
      </c>
      <c r="K30" s="0" t="str">
        <f aca="false">Staged_Cons_CutM5_Deep!B177</f>
        <v>not in Y1</v>
      </c>
      <c r="L30" s="0" t="str">
        <f aca="false">Staged_Cons_CutM10!B177</f>
        <v>not in Y1</v>
      </c>
      <c r="M30" s="13" t="n">
        <f aca="false">Staged_FalsePos!B177</f>
        <v>6</v>
      </c>
      <c r="N30" s="13" t="n">
        <f aca="false">Staged_FalsePos_M6!B177</f>
        <v>6</v>
      </c>
      <c r="O30" s="13" t="n">
        <f aca="false">Base_TwoStep!B177</f>
        <v>7</v>
      </c>
      <c r="P30" s="0" t="str">
        <f aca="false">Conservative_TwoStep!B177</f>
        <v>not in Y1</v>
      </c>
      <c r="Q30" s="13" t="n">
        <f aca="false">Base_Founder40!B177</f>
        <v>7</v>
      </c>
    </row>
    <row r="31" customFormat="false" ht="15" hidden="false" customHeight="false" outlineLevel="0" collapsed="false">
      <c r="A31" s="0" t="s">
        <v>69</v>
      </c>
      <c r="B31" s="6" t="n">
        <f aca="false">Outlook_Conservative!B178/100000</f>
        <v>-14.90785608583</v>
      </c>
      <c r="C31" s="6" t="n">
        <f aca="false">Outlook_Base!B178/100000</f>
        <v>-15.8882092168206</v>
      </c>
      <c r="D31" s="6" t="n">
        <f aca="false">Outlook_Aggressive!B178/100000</f>
        <v>10.1531011947186</v>
      </c>
      <c r="E31" s="6" t="n">
        <f aca="false">Plan10L_BaseRates!B178/100000</f>
        <v>8.86353463384538</v>
      </c>
      <c r="F31" s="6" t="n">
        <f aca="false">Plan50L_BaseRates!B178/100000</f>
        <v>-33.9276820294751</v>
      </c>
      <c r="G31" s="7" t="n">
        <f aca="false">Staged_G1M9!B178/100000</f>
        <v>-22.544301605645</v>
      </c>
      <c r="H31" s="6" t="n">
        <f aca="false">Staged_G1M6!B178/100000</f>
        <v>-20.4750014743678</v>
      </c>
      <c r="I31" s="6" t="n">
        <f aca="false">Staged_Cons!B178/100000</f>
        <v>-36.1861489634499</v>
      </c>
      <c r="J31" s="6" t="n">
        <f aca="false">Staged_Cons_CutM5!B178/100000</f>
        <v>-28.6837369945027</v>
      </c>
      <c r="K31" s="6" t="n">
        <f aca="false">Staged_Cons_CutM5_Deep!B178/100000</f>
        <v>-25.4058217004401</v>
      </c>
      <c r="L31" s="6" t="n">
        <f aca="false">Staged_Cons_CutM10!B178/100000</f>
        <v>-33.895166993553</v>
      </c>
      <c r="M31" s="6" t="n">
        <f aca="false">Staged_FalsePos!B178/100000</f>
        <v>-32.6539490549032</v>
      </c>
      <c r="N31" s="6" t="n">
        <f aca="false">Staged_FalsePos_M6!B178/100000</f>
        <v>-32.408915047388</v>
      </c>
      <c r="O31" s="6" t="n">
        <f aca="false">Base_TwoStep!B178/100000</f>
        <v>-20.3406603111594</v>
      </c>
      <c r="P31" s="6" t="n">
        <f aca="false">Conservative_TwoStep!B178/100000</f>
        <v>-14.90785608583</v>
      </c>
      <c r="Q31" s="6" t="n">
        <f aca="false">Base_Founder40!B178/100000</f>
        <v>-15.8882092168206</v>
      </c>
    </row>
    <row r="32" customFormat="false" ht="15" hidden="false" customHeight="false" outlineLevel="0" collapsed="false">
      <c r="A32" s="0" t="s">
        <v>70</v>
      </c>
      <c r="B32" s="0" t="str">
        <f aca="false">Outlook_Conservative!B179</f>
        <v>not in Y1</v>
      </c>
      <c r="C32" s="0" t="n">
        <f aca="false">Outlook_Base!B179</f>
        <v>6</v>
      </c>
      <c r="D32" s="0" t="n">
        <f aca="false">Outlook_Aggressive!B179</f>
        <v>3</v>
      </c>
      <c r="E32" s="0" t="str">
        <f aca="false">Plan10L_BaseRates!B179</f>
        <v>not in Y1</v>
      </c>
      <c r="F32" s="0" t="n">
        <f aca="false">Plan50L_BaseRates!B179</f>
        <v>3</v>
      </c>
      <c r="G32" s="12" t="n">
        <f aca="false">Staged_G1M9!B179</f>
        <v>9</v>
      </c>
      <c r="H32" s="13" t="n">
        <f aca="false">Staged_G1M6!B179</f>
        <v>6</v>
      </c>
      <c r="I32" s="13" t="n">
        <f aca="false">Staged_Cons!B179</f>
        <v>4</v>
      </c>
      <c r="J32" s="13" t="n">
        <f aca="false">Staged_Cons_CutM5!B179</f>
        <v>4</v>
      </c>
      <c r="K32" s="13" t="n">
        <f aca="false">Staged_Cons_CutM5_Deep!B179</f>
        <v>4</v>
      </c>
      <c r="L32" s="13" t="n">
        <f aca="false">Staged_Cons_CutM10!B179</f>
        <v>4</v>
      </c>
      <c r="M32" s="13" t="n">
        <f aca="false">Staged_FalsePos!B179</f>
        <v>9</v>
      </c>
      <c r="N32" s="13" t="n">
        <f aca="false">Staged_FalsePos_M6!B179</f>
        <v>6</v>
      </c>
      <c r="O32" s="13" t="n">
        <f aca="false">Base_TwoStep!B179</f>
        <v>6</v>
      </c>
      <c r="P32" s="0" t="str">
        <f aca="false">Conservative_TwoStep!B179</f>
        <v>not in Y1</v>
      </c>
      <c r="Q32" s="13" t="n">
        <f aca="false">Base_Founder40!B179</f>
        <v>6</v>
      </c>
    </row>
    <row r="33" customFormat="false" ht="15" hidden="false" customHeight="false" outlineLevel="0" collapsed="false">
      <c r="A33" s="0" t="s">
        <v>71</v>
      </c>
      <c r="B33" s="0" t="n">
        <f aca="false">Outlook_Conservative!B180</f>
        <v>7</v>
      </c>
      <c r="C33" s="0" t="n">
        <f aca="false">Outlook_Base!B180</f>
        <v>6</v>
      </c>
      <c r="D33" s="0" t="n">
        <f aca="false">Outlook_Aggressive!B180</f>
        <v>3</v>
      </c>
      <c r="E33" s="0" t="str">
        <f aca="false">Plan10L_BaseRates!B180</f>
        <v>not in Y1</v>
      </c>
      <c r="F33" s="0" t="n">
        <f aca="false">Plan50L_BaseRates!B180</f>
        <v>3</v>
      </c>
      <c r="G33" s="12" t="n">
        <f aca="false">Staged_G1M9!B180</f>
        <v>4</v>
      </c>
      <c r="H33" s="13" t="n">
        <f aca="false">Staged_G1M6!B180</f>
        <v>4</v>
      </c>
      <c r="I33" s="13" t="n">
        <f aca="false">Staged_Cons!B180</f>
        <v>3</v>
      </c>
      <c r="J33" s="13" t="n">
        <f aca="false">Staged_Cons_CutM5!B180</f>
        <v>3</v>
      </c>
      <c r="K33" s="13" t="n">
        <f aca="false">Staged_Cons_CutM5_Deep!B180</f>
        <v>3</v>
      </c>
      <c r="L33" s="13" t="n">
        <f aca="false">Staged_Cons_CutM10!B180</f>
        <v>3</v>
      </c>
      <c r="M33" s="13" t="n">
        <f aca="false">Staged_FalsePos!B180</f>
        <v>4</v>
      </c>
      <c r="N33" s="13" t="n">
        <f aca="false">Staged_FalsePos_M6!B180</f>
        <v>4</v>
      </c>
      <c r="O33" s="13" t="n">
        <f aca="false">Base_TwoStep!B180</f>
        <v>6</v>
      </c>
      <c r="P33" s="13" t="n">
        <f aca="false">Conservative_TwoStep!B180</f>
        <v>7</v>
      </c>
      <c r="Q33" s="13" t="n">
        <f aca="false">Base_Founder40!B180</f>
        <v>6</v>
      </c>
    </row>
    <row r="34" customFormat="false" ht="15" hidden="false" customHeight="false" outlineLevel="0" collapsed="false">
      <c r="A34" s="0" t="s">
        <v>72</v>
      </c>
      <c r="B34" s="6" t="n">
        <f aca="false">Outlook_Conservative!B181/100000</f>
        <v>12.3551322548832</v>
      </c>
      <c r="C34" s="6" t="n">
        <f aca="false">Outlook_Base!B181/100000</f>
        <v>24.5827086430661</v>
      </c>
      <c r="D34" s="6" t="n">
        <f aca="false">Outlook_Aggressive!B181/100000</f>
        <v>28.1045136588427</v>
      </c>
      <c r="E34" s="6" t="n">
        <f aca="false">Plan10L_BaseRates!B181/100000</f>
        <v>3.07099112080031</v>
      </c>
      <c r="F34" s="6" t="n">
        <f aca="false">Plan50L_BaseRates!B181/100000</f>
        <v>44.1548341892802</v>
      </c>
      <c r="G34" s="7" t="n">
        <f aca="false">Staged_G1M9!B181/100000</f>
        <v>11.8041981279978</v>
      </c>
      <c r="H34" s="6" t="n">
        <f aca="false">Staged_G1M6!B181/100000</f>
        <v>11.7073589303069</v>
      </c>
      <c r="I34" s="6" t="n">
        <f aca="false">Staged_Cons!B181/100000</f>
        <v>36.1861489634499</v>
      </c>
      <c r="J34" s="6" t="n">
        <f aca="false">Staged_Cons_CutM5!B181/100000</f>
        <v>28.6837369945027</v>
      </c>
      <c r="K34" s="6" t="n">
        <f aca="false">Staged_Cons_CutM5_Deep!B181/100000</f>
        <v>25.4058217004401</v>
      </c>
      <c r="L34" s="6" t="n">
        <f aca="false">Staged_Cons_CutM10!B181/100000</f>
        <v>33.895166993553</v>
      </c>
      <c r="M34" s="6" t="n">
        <f aca="false">Staged_FalsePos!B181/100000</f>
        <v>11.8041981279978</v>
      </c>
      <c r="N34" s="6" t="n">
        <f aca="false">Staged_FalsePos_M6!B181/100000</f>
        <v>11.7073589303069</v>
      </c>
      <c r="O34" s="6" t="n">
        <f aca="false">Base_TwoStep!B181/100000</f>
        <v>25.7587668018746</v>
      </c>
      <c r="P34" s="6" t="n">
        <f aca="false">Conservative_TwoStep!B181/100000</f>
        <v>12.3551322548832</v>
      </c>
      <c r="Q34" s="6" t="n">
        <f aca="false">Base_Founder40!B181/100000</f>
        <v>24.5827086430661</v>
      </c>
    </row>
    <row r="35" customFormat="false" ht="15" hidden="false" customHeight="false" outlineLevel="0" collapsed="false">
      <c r="A35" s="0" t="s">
        <v>73</v>
      </c>
      <c r="B35" s="6" t="n">
        <f aca="false">Outlook_Conservative!B182/100000</f>
        <v>6.15</v>
      </c>
      <c r="C35" s="6" t="n">
        <f aca="false">Outlook_Base!B182/100000</f>
        <v>9.84</v>
      </c>
      <c r="D35" s="6" t="n">
        <f aca="false">Outlook_Aggressive!B182/100000</f>
        <v>11.56</v>
      </c>
      <c r="E35" s="6" t="n">
        <f aca="false">Plan10L_BaseRates!B182/100000</f>
        <v>5.16</v>
      </c>
      <c r="F35" s="6" t="n">
        <f aca="false">Plan50L_BaseRates!B182/100000</f>
        <v>12.9</v>
      </c>
      <c r="G35" s="7" t="n">
        <f aca="false">Staged_G1M9!B182/100000</f>
        <v>10.44</v>
      </c>
      <c r="H35" s="6" t="n">
        <f aca="false">Staged_G1M6!B182/100000</f>
        <v>10.98</v>
      </c>
      <c r="I35" s="6" t="n">
        <f aca="false">Staged_Cons!B182/100000</f>
        <v>10.65</v>
      </c>
      <c r="J35" s="6" t="n">
        <f aca="false">Staged_Cons_CutM5!B182/100000</f>
        <v>7.65</v>
      </c>
      <c r="K35" s="6" t="n">
        <f aca="false">Staged_Cons_CutM5_Deep!B182/100000</f>
        <v>7.65</v>
      </c>
      <c r="L35" s="6" t="n">
        <f aca="false">Staged_Cons_CutM10!B182/100000</f>
        <v>9.525</v>
      </c>
      <c r="M35" s="6" t="n">
        <f aca="false">Staged_FalsePos!B182/100000</f>
        <v>9.22</v>
      </c>
      <c r="N35" s="6" t="n">
        <f aca="false">Staged_FalsePos_M6!B182/100000</f>
        <v>7.56</v>
      </c>
      <c r="O35" s="6" t="n">
        <f aca="false">Base_TwoStep!B182/100000</f>
        <v>9.84</v>
      </c>
      <c r="P35" s="6" t="n">
        <f aca="false">Conservative_TwoStep!B182/100000</f>
        <v>6.15</v>
      </c>
      <c r="Q35" s="6" t="n">
        <f aca="false">Base_Founder40!B182/100000</f>
        <v>9.84</v>
      </c>
    </row>
    <row r="36" customFormat="false" ht="15" hidden="false" customHeight="false" outlineLevel="0" collapsed="false">
      <c r="A36" s="0" t="s">
        <v>74</v>
      </c>
      <c r="B36" s="14" t="n">
        <f aca="false">Outlook_Conservative!B183</f>
        <v>65000</v>
      </c>
      <c r="C36" s="14" t="n">
        <f aca="false">Outlook_Base!B183</f>
        <v>80000</v>
      </c>
      <c r="D36" s="14" t="n">
        <f aca="false">Outlook_Aggressive!B183</f>
        <v>100000</v>
      </c>
      <c r="E36" s="14" t="n">
        <f aca="false">Plan10L_BaseRates!B183</f>
        <v>80000</v>
      </c>
      <c r="F36" s="14" t="n">
        <f aca="false">Plan50L_BaseRates!B183</f>
        <v>80000</v>
      </c>
      <c r="G36" s="15" t="n">
        <f aca="false">Staged_G1M9!B183</f>
        <v>66666.6666666667</v>
      </c>
      <c r="H36" s="14" t="n">
        <f aca="false">Staged_G1M6!B183</f>
        <v>66666.6666666667</v>
      </c>
      <c r="I36" s="14" t="n">
        <f aca="false">Staged_Cons!B183</f>
        <v>40000</v>
      </c>
      <c r="J36" s="14" t="n">
        <f aca="false">Staged_Cons_CutM5!B183</f>
        <v>40000</v>
      </c>
      <c r="K36" s="14" t="n">
        <f aca="false">Staged_Cons_CutM5_Deep!B183</f>
        <v>40000</v>
      </c>
      <c r="L36" s="14" t="n">
        <f aca="false">Staged_Cons_CutM10!B183</f>
        <v>40000</v>
      </c>
      <c r="M36" s="14" t="n">
        <f aca="false">Staged_FalsePos!B183</f>
        <v>66666.6666666667</v>
      </c>
      <c r="N36" s="14" t="n">
        <f aca="false">Staged_FalsePos_M6!B183</f>
        <v>66666.6666666667</v>
      </c>
      <c r="O36" s="14" t="n">
        <f aca="false">Base_TwoStep!B183</f>
        <v>66666.6666666667</v>
      </c>
      <c r="P36" s="14" t="n">
        <f aca="false">Conservative_TwoStep!B183</f>
        <v>65000</v>
      </c>
      <c r="Q36" s="14" t="n">
        <f aca="false">Base_Founder40!B183</f>
        <v>80000</v>
      </c>
    </row>
    <row r="37" customFormat="false" ht="15" hidden="false" customHeight="false" outlineLevel="0" collapsed="false">
      <c r="A37" s="0" t="s">
        <v>75</v>
      </c>
      <c r="B37" s="0" t="n">
        <f aca="false">Outlook_Conservative!B184</f>
        <v>99</v>
      </c>
      <c r="C37" s="10" t="n">
        <f aca="false">Outlook_Base!B184</f>
        <v>7</v>
      </c>
      <c r="D37" s="10" t="n">
        <f aca="false">Outlook_Aggressive!B184</f>
        <v>4</v>
      </c>
      <c r="E37" s="13" t="n">
        <f aca="false">Plan10L_BaseRates!B184</f>
        <v>99</v>
      </c>
      <c r="F37" s="10" t="n">
        <f aca="false">Plan50L_BaseRates!B184</f>
        <v>4</v>
      </c>
      <c r="G37" s="12" t="n">
        <f aca="false">Staged_G1M9!B184</f>
        <v>10</v>
      </c>
      <c r="H37" s="13" t="n">
        <f aca="false">Staged_G1M6!B184</f>
        <v>7</v>
      </c>
      <c r="I37" s="13" t="n">
        <f aca="false">Staged_Cons!B184</f>
        <v>99</v>
      </c>
      <c r="J37" s="13" t="n">
        <f aca="false">Staged_Cons_CutM5!B184</f>
        <v>99</v>
      </c>
      <c r="K37" s="13" t="n">
        <f aca="false">Staged_Cons_CutM5_Deep!B184</f>
        <v>99</v>
      </c>
      <c r="L37" s="13" t="n">
        <f aca="false">Staged_Cons_CutM10!B184</f>
        <v>99</v>
      </c>
      <c r="M37" s="13" t="n">
        <f aca="false">Staged_FalsePos!B184</f>
        <v>10</v>
      </c>
      <c r="N37" s="13" t="n">
        <f aca="false">Staged_FalsePos_M6!B184</f>
        <v>7</v>
      </c>
      <c r="O37" s="10" t="n">
        <f aca="false">Base_TwoStep!B184</f>
        <v>7</v>
      </c>
      <c r="P37" s="13" t="n">
        <f aca="false">Conservative_TwoStep!B184</f>
        <v>99</v>
      </c>
      <c r="Q37" s="10" t="n">
        <f aca="false">Base_Founder40!B184</f>
        <v>7</v>
      </c>
    </row>
    <row r="38" customFormat="false" ht="15" hidden="false" customHeight="false" outlineLevel="0" collapsed="false">
      <c r="A38" s="0" t="s">
        <v>76</v>
      </c>
      <c r="B38" s="10" t="n">
        <f aca="false">Outlook_Conservative!B185</f>
        <v>10</v>
      </c>
      <c r="C38" s="10" t="n">
        <f aca="false">Outlook_Base!B185</f>
        <v>7</v>
      </c>
      <c r="D38" s="10" t="n">
        <f aca="false">Outlook_Aggressive!B185</f>
        <v>5</v>
      </c>
      <c r="E38" s="10" t="n">
        <f aca="false">Plan10L_BaseRates!B185</f>
        <v>7</v>
      </c>
      <c r="F38" s="10" t="n">
        <f aca="false">Plan50L_BaseRates!B185</f>
        <v>7</v>
      </c>
      <c r="G38" s="12" t="n">
        <f aca="false">Staged_G1M9!B185</f>
        <v>10</v>
      </c>
      <c r="H38" s="13" t="n">
        <f aca="false">Staged_G1M6!B185</f>
        <v>7</v>
      </c>
      <c r="I38" s="13" t="n">
        <f aca="false">Staged_Cons!B185</f>
        <v>100</v>
      </c>
      <c r="J38" s="13" t="n">
        <f aca="false">Staged_Cons_CutM5!B185</f>
        <v>100</v>
      </c>
      <c r="K38" s="13" t="n">
        <f aca="false">Staged_Cons_CutM5_Deep!B185</f>
        <v>100</v>
      </c>
      <c r="L38" s="13" t="n">
        <f aca="false">Staged_Cons_CutM10!B185</f>
        <v>100</v>
      </c>
      <c r="M38" s="13" t="n">
        <f aca="false">Staged_FalsePos!B185</f>
        <v>10</v>
      </c>
      <c r="N38" s="13" t="n">
        <f aca="false">Staged_FalsePos_M6!B185</f>
        <v>7</v>
      </c>
      <c r="O38" s="10" t="n">
        <f aca="false">Base_TwoStep!B185</f>
        <v>7</v>
      </c>
      <c r="P38" s="10" t="n">
        <f aca="false">Conservative_TwoStep!B185</f>
        <v>10</v>
      </c>
      <c r="Q38" s="10" t="n">
        <f aca="false">Base_Founder40!B185</f>
        <v>7</v>
      </c>
    </row>
    <row r="39" customFormat="false" ht="15" hidden="false" customHeight="false" outlineLevel="0" collapsed="false">
      <c r="A39" s="0" t="s">
        <v>77</v>
      </c>
      <c r="B39" s="6" t="n">
        <f aca="false">Outlook_Conservative!B186/100000</f>
        <v>9.73133024280576</v>
      </c>
      <c r="C39" s="6" t="n">
        <f aca="false">Outlook_Base!B186/100000</f>
        <v>28.5358303369012</v>
      </c>
      <c r="D39" s="6" t="n">
        <f aca="false">Outlook_Aggressive!B186/100000</f>
        <v>49.7945052924189</v>
      </c>
      <c r="E39" s="6" t="n">
        <f aca="false">Plan10L_BaseRates!B186/100000</f>
        <v>9.71181575402805</v>
      </c>
      <c r="F39" s="6" t="n">
        <f aca="false">Plan50L_BaseRates!B186/100000</f>
        <v>50.5411091066351</v>
      </c>
      <c r="G39" s="7" t="n">
        <f aca="false">Staged_G1M9!B186/100000</f>
        <v>26.6510909851492</v>
      </c>
      <c r="H39" s="6" t="n">
        <f aca="false">Staged_G1M6!B186/100000</f>
        <v>28.5450812600421</v>
      </c>
      <c r="I39" s="6" t="n">
        <f aca="false">Staged_Cons!B186/100000</f>
        <v>24.5254419094724</v>
      </c>
      <c r="J39" s="6" t="n">
        <f aca="false">Staged_Cons_CutM5!B186/100000</f>
        <v>15.118634691247</v>
      </c>
      <c r="K39" s="6" t="n">
        <f aca="false">Staged_Cons_CutM5_Deep!B186/100000</f>
        <v>10.8964869214628</v>
      </c>
      <c r="L39" s="6" t="n">
        <f aca="false">Staged_Cons_CutM10!B186/100000</f>
        <v>20.9991052907674</v>
      </c>
      <c r="M39" s="6" t="n">
        <f aca="false">Staged_FalsePos!B186/100000</f>
        <v>24.6171125102336</v>
      </c>
      <c r="N39" s="6" t="n">
        <f aca="false">Staged_FalsePos_M6!B186/100000</f>
        <v>20.56593325</v>
      </c>
      <c r="O39" s="6" t="n">
        <f aca="false">Base_TwoStep!B186/100000</f>
        <v>28.5358303369012</v>
      </c>
      <c r="P39" s="6" t="n">
        <f aca="false">Conservative_TwoStep!B186/100000</f>
        <v>9.73133024280576</v>
      </c>
      <c r="Q39" s="6" t="n">
        <f aca="false">Base_Founder40!B186/100000</f>
        <v>28.5358303369012</v>
      </c>
    </row>
    <row r="40" customFormat="false" ht="15" hidden="false" customHeight="false" outlineLevel="0" collapsed="false">
      <c r="A40" s="0" t="s">
        <v>78</v>
      </c>
      <c r="B40" s="6" t="n">
        <f aca="false">Outlook_Conservative!B187/100000</f>
        <v>4.1</v>
      </c>
      <c r="C40" s="6" t="n">
        <f aca="false">Outlook_Base!B187/100000</f>
        <v>8.2</v>
      </c>
      <c r="D40" s="6" t="n">
        <f aca="false">Outlook_Aggressive!B187/100000</f>
        <v>14.9</v>
      </c>
      <c r="E40" s="6" t="n">
        <f aca="false">Plan10L_BaseRates!B187/100000</f>
        <v>4.1</v>
      </c>
      <c r="F40" s="6" t="n">
        <f aca="false">Plan50L_BaseRates!B187/100000</f>
        <v>14.9</v>
      </c>
      <c r="G40" s="7" t="n">
        <f aca="false">Staged_G1M9!B187/100000</f>
        <v>7</v>
      </c>
      <c r="H40" s="6" t="n">
        <f aca="false">Staged_G1M6!B187/100000</f>
        <v>8.2</v>
      </c>
      <c r="I40" s="6" t="n">
        <f aca="false">Staged_Cons!B187/100000</f>
        <v>6</v>
      </c>
      <c r="J40" s="6" t="n">
        <f aca="false">Staged_Cons_CutM5!B187/100000</f>
        <v>4.4</v>
      </c>
      <c r="K40" s="6" t="n">
        <f aca="false">Staged_Cons_CutM5_Deep!B187/100000</f>
        <v>1.2</v>
      </c>
      <c r="L40" s="6" t="n">
        <f aca="false">Staged_Cons_CutM10!B187/100000</f>
        <v>5.4</v>
      </c>
      <c r="M40" s="6" t="n">
        <f aca="false">Staged_FalsePos!B187/100000</f>
        <v>6.4</v>
      </c>
      <c r="N40" s="6" t="n">
        <f aca="false">Staged_FalsePos_M6!B187/100000</f>
        <v>5.8</v>
      </c>
      <c r="O40" s="6" t="n">
        <f aca="false">Base_TwoStep!B187/100000</f>
        <v>8.2</v>
      </c>
      <c r="P40" s="6" t="n">
        <f aca="false">Conservative_TwoStep!B187/100000</f>
        <v>4.1</v>
      </c>
      <c r="Q40" s="6" t="n">
        <f aca="false">Base_Founder40!B187/100000</f>
        <v>8.2</v>
      </c>
    </row>
    <row r="41" customFormat="false" ht="15" hidden="false" customHeight="false" outlineLevel="0" collapsed="false">
      <c r="A41" s="0" t="s">
        <v>79</v>
      </c>
      <c r="B41" s="0" t="n">
        <f aca="false">Outlook_Conservative!B188</f>
        <v>12</v>
      </c>
      <c r="C41" s="0" t="n">
        <f aca="false">Outlook_Base!B188</f>
        <v>6</v>
      </c>
      <c r="D41" s="0" t="n">
        <f aca="false">Outlook_Aggressive!B188</f>
        <v>3</v>
      </c>
      <c r="E41" s="0" t="n">
        <f aca="false">Plan10L_BaseRates!B188</f>
        <v>4</v>
      </c>
      <c r="F41" s="0" t="n">
        <f aca="false">Plan50L_BaseRates!B188</f>
        <v>6</v>
      </c>
      <c r="G41" s="12" t="n">
        <f aca="false">Staged_G1M9!B188</f>
        <v>9</v>
      </c>
      <c r="H41" s="13" t="n">
        <f aca="false">Staged_G1M6!B188</f>
        <v>6</v>
      </c>
      <c r="I41" s="13" t="n">
        <f aca="false">Staged_Cons!B188</f>
        <v>12</v>
      </c>
      <c r="J41" s="13" t="n">
        <f aca="false">Staged_Cons_CutM5!B188</f>
        <v>12</v>
      </c>
      <c r="K41" s="13" t="n">
        <f aca="false">Staged_Cons_CutM5_Deep!B188</f>
        <v>12</v>
      </c>
      <c r="L41" s="13" t="n">
        <f aca="false">Staged_Cons_CutM10!B188</f>
        <v>12</v>
      </c>
      <c r="M41" s="13" t="n">
        <f aca="false">Staged_FalsePos!B188</f>
        <v>12</v>
      </c>
      <c r="N41" s="13" t="n">
        <f aca="false">Staged_FalsePos_M6!B188</f>
        <v>9</v>
      </c>
      <c r="O41" s="13" t="n">
        <f aca="false">Base_TwoStep!B188</f>
        <v>8</v>
      </c>
      <c r="P41" s="13" t="n">
        <f aca="false">Conservative_TwoStep!B188</f>
        <v>12</v>
      </c>
      <c r="Q41" s="13" t="n">
        <f aca="false">Base_Founder40!B188</f>
        <v>6</v>
      </c>
    </row>
    <row r="42" customFormat="false" ht="15" hidden="false" customHeight="false" outlineLevel="0" collapsed="false">
      <c r="A42" s="0" t="s">
        <v>80</v>
      </c>
      <c r="B42" s="0" t="n">
        <f aca="false">Outlook_Conservative!B189</f>
        <v>99</v>
      </c>
      <c r="C42" s="0" t="n">
        <f aca="false">Outlook_Base!B189</f>
        <v>99</v>
      </c>
      <c r="D42" s="0" t="n">
        <f aca="false">Outlook_Aggressive!B189</f>
        <v>99</v>
      </c>
      <c r="E42" s="0" t="n">
        <f aca="false">Plan10L_BaseRates!B189</f>
        <v>99</v>
      </c>
      <c r="F42" s="0" t="n">
        <f aca="false">Plan50L_BaseRates!B189</f>
        <v>99</v>
      </c>
      <c r="G42" s="12" t="n">
        <f aca="false">Staged_G1M9!B189</f>
        <v>99</v>
      </c>
      <c r="H42" s="13" t="n">
        <f aca="false">Staged_G1M6!B189</f>
        <v>99</v>
      </c>
      <c r="I42" s="13" t="n">
        <f aca="false">Staged_Cons!B189</f>
        <v>99</v>
      </c>
      <c r="J42" s="13" t="n">
        <f aca="false">Staged_Cons_CutM5!B189</f>
        <v>5</v>
      </c>
      <c r="K42" s="13" t="n">
        <f aca="false">Staged_Cons_CutM5_Deep!B189</f>
        <v>5</v>
      </c>
      <c r="L42" s="13" t="n">
        <f aca="false">Staged_Cons_CutM10!B189</f>
        <v>10</v>
      </c>
      <c r="M42" s="13" t="n">
        <f aca="false">Staged_FalsePos!B189</f>
        <v>12</v>
      </c>
      <c r="N42" s="13" t="n">
        <f aca="false">Staged_FalsePos_M6!B189</f>
        <v>9</v>
      </c>
      <c r="O42" s="13" t="n">
        <f aca="false">Base_TwoStep!B189</f>
        <v>99</v>
      </c>
      <c r="P42" s="13" t="n">
        <f aca="false">Conservative_TwoStep!B189</f>
        <v>99</v>
      </c>
      <c r="Q42" s="13" t="n">
        <f aca="false">Base_Founder40!B189</f>
        <v>99</v>
      </c>
    </row>
    <row r="43" customFormat="false" ht="15" hidden="false" customHeight="false" outlineLevel="0" collapsed="false">
      <c r="A43" s="0" t="s">
        <v>81</v>
      </c>
      <c r="B43" s="6" t="n">
        <f aca="false">Outlook_Conservative!B190/100000</f>
        <v>0</v>
      </c>
      <c r="C43" s="6" t="n">
        <f aca="false">Outlook_Base!B190/100000</f>
        <v>0</v>
      </c>
      <c r="D43" s="6" t="n">
        <f aca="false">Outlook_Aggressive!B190/100000</f>
        <v>0</v>
      </c>
      <c r="E43" s="6" t="n">
        <f aca="false">Plan10L_BaseRates!B190/100000</f>
        <v>0</v>
      </c>
      <c r="F43" s="6" t="n">
        <f aca="false">Plan50L_BaseRates!B190/100000</f>
        <v>0</v>
      </c>
      <c r="G43" s="7" t="n">
        <f aca="false">Staged_G1M9!B190/100000</f>
        <v>0</v>
      </c>
      <c r="H43" s="6" t="n">
        <f aca="false">Staged_G1M6!B190/100000</f>
        <v>0</v>
      </c>
      <c r="I43" s="6" t="n">
        <f aca="false">Staged_Cons!B190/100000</f>
        <v>0</v>
      </c>
      <c r="J43" s="6" t="n">
        <f aca="false">Staged_Cons_CutM5!B190/100000</f>
        <v>1.205</v>
      </c>
      <c r="K43" s="6" t="n">
        <f aca="false">Staged_Cons_CutM5_Deep!B190/100000</f>
        <v>1.325</v>
      </c>
      <c r="L43" s="6" t="n">
        <f aca="false">Staged_Cons_CutM10!B190/100000</f>
        <v>1.205</v>
      </c>
      <c r="M43" s="6" t="n">
        <f aca="false">Staged_FalsePos!B190/100000</f>
        <v>4.935</v>
      </c>
      <c r="N43" s="6" t="n">
        <f aca="false">Staged_FalsePos_M6!B190/100000</f>
        <v>4.555</v>
      </c>
      <c r="O43" s="6" t="n">
        <f aca="false">Base_TwoStep!B190/100000</f>
        <v>0</v>
      </c>
      <c r="P43" s="6" t="n">
        <f aca="false">Conservative_TwoStep!B190/100000</f>
        <v>0</v>
      </c>
      <c r="Q43" s="6" t="n">
        <f aca="false">Base_Founder40!B190/100000</f>
        <v>0</v>
      </c>
    </row>
    <row r="44" customFormat="false" ht="15" hidden="false" customHeight="false" outlineLevel="0" collapsed="false">
      <c r="A44" s="0" t="s">
        <v>82</v>
      </c>
      <c r="B44" s="6" t="n">
        <f aca="false">Outlook_Conservative!B191/100000</f>
        <v>0</v>
      </c>
      <c r="C44" s="6" t="n">
        <f aca="false">Outlook_Base!B191/100000</f>
        <v>0</v>
      </c>
      <c r="D44" s="6" t="n">
        <f aca="false">Outlook_Aggressive!B191/100000</f>
        <v>0</v>
      </c>
      <c r="E44" s="6" t="n">
        <f aca="false">Plan10L_BaseRates!B191/100000</f>
        <v>0</v>
      </c>
      <c r="F44" s="6" t="n">
        <f aca="false">Plan50L_BaseRates!B191/100000</f>
        <v>0</v>
      </c>
      <c r="G44" s="7" t="n">
        <f aca="false">Staged_G1M9!B191/100000</f>
        <v>0</v>
      </c>
      <c r="H44" s="6" t="n">
        <f aca="false">Staged_G1M6!B191/100000</f>
        <v>0</v>
      </c>
      <c r="I44" s="6" t="n">
        <f aca="false">Staged_Cons!B191/100000</f>
        <v>0</v>
      </c>
      <c r="J44" s="6" t="n">
        <f aca="false">Staged_Cons_CutM5!B191/100000</f>
        <v>0</v>
      </c>
      <c r="K44" s="6" t="n">
        <f aca="false">Staged_Cons_CutM5_Deep!B191/100000</f>
        <v>0</v>
      </c>
      <c r="L44" s="6" t="n">
        <f aca="false">Staged_Cons_CutM10!B191/100000</f>
        <v>0</v>
      </c>
      <c r="M44" s="6" t="n">
        <f aca="false">Staged_FalsePos!B191/100000</f>
        <v>3.12</v>
      </c>
      <c r="N44" s="6" t="n">
        <f aca="false">Staged_FalsePos_M6!B191/100000</f>
        <v>3.12</v>
      </c>
      <c r="O44" s="6" t="n">
        <f aca="false">Base_TwoStep!B191/100000</f>
        <v>0</v>
      </c>
      <c r="P44" s="6" t="n">
        <f aca="false">Conservative_TwoStep!B191/100000</f>
        <v>0</v>
      </c>
      <c r="Q44" s="6" t="n">
        <f aca="false">Base_Founder40!B191/100000</f>
        <v>0</v>
      </c>
    </row>
    <row r="45" customFormat="false" ht="15" hidden="false" customHeight="false" outlineLevel="0" collapsed="false">
      <c r="A45" s="0" t="s">
        <v>83</v>
      </c>
      <c r="B45" s="6" t="n">
        <f aca="false">Outlook_Conservative!B192/100000</f>
        <v>0</v>
      </c>
      <c r="C45" s="6" t="n">
        <f aca="false">Outlook_Base!B192/100000</f>
        <v>0</v>
      </c>
      <c r="D45" s="6" t="n">
        <f aca="false">Outlook_Aggressive!B192/100000</f>
        <v>0</v>
      </c>
      <c r="E45" s="6" t="n">
        <f aca="false">Plan10L_BaseRates!B192/100000</f>
        <v>0</v>
      </c>
      <c r="F45" s="6" t="n">
        <f aca="false">Plan50L_BaseRates!B192/100000</f>
        <v>0</v>
      </c>
      <c r="G45" s="7" t="n">
        <f aca="false">Staged_G1M9!B192/100000</f>
        <v>0</v>
      </c>
      <c r="H45" s="6" t="n">
        <f aca="false">Staged_G1M6!B192/100000</f>
        <v>0</v>
      </c>
      <c r="I45" s="6" t="n">
        <f aca="false">Staged_Cons!B192/100000</f>
        <v>0</v>
      </c>
      <c r="J45" s="6" t="n">
        <f aca="false">Staged_Cons_CutM5!B192/100000</f>
        <v>0</v>
      </c>
      <c r="K45" s="6" t="n">
        <f aca="false">Staged_Cons_CutM5_Deep!B192/100000</f>
        <v>0</v>
      </c>
      <c r="L45" s="6" t="n">
        <f aca="false">Staged_Cons_CutM10!B192/100000</f>
        <v>0</v>
      </c>
      <c r="M45" s="6" t="n">
        <f aca="false">Staged_FalsePos!B192/100000</f>
        <v>11.6</v>
      </c>
      <c r="N45" s="6" t="n">
        <f aca="false">Staged_FalsePos_M6!B192/100000</f>
        <v>11.6</v>
      </c>
      <c r="O45" s="6" t="n">
        <f aca="false">Base_TwoStep!B192/100000</f>
        <v>0</v>
      </c>
      <c r="P45" s="6" t="n">
        <f aca="false">Conservative_TwoStep!B192/100000</f>
        <v>0</v>
      </c>
      <c r="Q45" s="6" t="n">
        <f aca="false">Base_Founder40!B192/100000</f>
        <v>0</v>
      </c>
    </row>
    <row r="46" customFormat="false" ht="15" hidden="false" customHeight="false" outlineLevel="0" collapsed="false">
      <c r="A46" s="0" t="s">
        <v>84</v>
      </c>
      <c r="B46" s="6" t="n">
        <f aca="false">Outlook_Conservative!B193/100000</f>
        <v>0</v>
      </c>
      <c r="C46" s="6" t="n">
        <f aca="false">Outlook_Base!B193/100000</f>
        <v>2.29350289551294</v>
      </c>
      <c r="D46" s="6" t="n">
        <f aca="false">Outlook_Aggressive!B193/100000</f>
        <v>4.86195720595126</v>
      </c>
      <c r="E46" s="6" t="n">
        <f aca="false">Plan10L_BaseRates!B193/100000</f>
        <v>0</v>
      </c>
      <c r="F46" s="6" t="n">
        <f aca="false">Plan50L_BaseRates!B193/100000</f>
        <v>0.74051487115718</v>
      </c>
      <c r="G46" s="7" t="n">
        <f aca="false">Staged_G1M9!B193/100000</f>
        <v>1.16114094447963</v>
      </c>
      <c r="H46" s="6" t="n">
        <f aca="false">Staged_G1M6!B193/100000</f>
        <v>1.14448346899676</v>
      </c>
      <c r="I46" s="6" t="n">
        <f aca="false">Staged_Cons!B193/100000</f>
        <v>0</v>
      </c>
      <c r="J46" s="6" t="n">
        <f aca="false">Staged_Cons_CutM5!B193/100000</f>
        <v>0</v>
      </c>
      <c r="K46" s="6" t="n">
        <f aca="false">Staged_Cons_CutM5_Deep!B193/100000</f>
        <v>0</v>
      </c>
      <c r="L46" s="6" t="n">
        <f aca="false">Staged_Cons_CutM10!B193/100000</f>
        <v>0</v>
      </c>
      <c r="M46" s="6" t="n">
        <f aca="false">Staged_FalsePos!B193/100000</f>
        <v>-1.70901266988889</v>
      </c>
      <c r="N46" s="6" t="n">
        <f aca="false">Staged_FalsePos_M6!B193/100000</f>
        <v>-1.10497264989335</v>
      </c>
      <c r="O46" s="6" t="n">
        <f aca="false">Base_TwoStep!B193/100000</f>
        <v>1.48306613120224</v>
      </c>
      <c r="P46" s="6" t="n">
        <f aca="false">Conservative_TwoStep!B193/100000</f>
        <v>0</v>
      </c>
      <c r="Q46" s="6" t="n">
        <f aca="false">Base_Founder40!B193/100000</f>
        <v>2.29350289551294</v>
      </c>
    </row>
    <row r="47" customFormat="false" ht="15" hidden="false" customHeight="false" outlineLevel="0" collapsed="false">
      <c r="A47" s="0" t="s">
        <v>85</v>
      </c>
      <c r="B47" s="8" t="n">
        <f aca="false">Outlook_Conservative!B194</f>
        <v>0.122691605777878</v>
      </c>
      <c r="C47" s="8" t="n">
        <f aca="false">Outlook_Base!B194</f>
        <v>0.262596625</v>
      </c>
      <c r="D47" s="8" t="n">
        <f aca="false">Outlook_Aggressive!B194</f>
        <v>0.415083333333333</v>
      </c>
      <c r="E47" s="8" t="n">
        <f aca="false">Plan10L_BaseRates!B194</f>
        <v>0.251019708333333</v>
      </c>
      <c r="F47" s="8" t="n">
        <f aca="false">Plan50L_BaseRates!B194</f>
        <v>0.295695833333333</v>
      </c>
      <c r="G47" s="9" t="n">
        <f aca="false">Staged_G1M9!B194</f>
        <v>0.262596625</v>
      </c>
      <c r="H47" s="8" t="n">
        <f aca="false">Staged_G1M6!B194</f>
        <v>0.262596625</v>
      </c>
      <c r="I47" s="8" t="n">
        <f aca="false">Staged_Cons!B194</f>
        <v>0.130221307016887</v>
      </c>
      <c r="J47" s="8" t="n">
        <f aca="false">Staged_Cons_CutM5!B194</f>
        <v>0.130221307016887</v>
      </c>
      <c r="K47" s="8" t="n">
        <f aca="false">Staged_Cons_CutM5_Deep!B194</f>
        <v>0.130221307016887</v>
      </c>
      <c r="L47" s="8" t="n">
        <f aca="false">Staged_Cons_CutM10!B194</f>
        <v>0.130221307016887</v>
      </c>
      <c r="M47" s="8" t="n">
        <f aca="false">Staged_FalsePos!B194</f>
        <v>0.262596625</v>
      </c>
      <c r="N47" s="8" t="n">
        <f aca="false">Staged_FalsePos_M6!B194</f>
        <v>0.262596625</v>
      </c>
      <c r="O47" s="8" t="n">
        <f aca="false">Base_TwoStep!B194</f>
        <v>0.262596625</v>
      </c>
      <c r="P47" s="8" t="n">
        <f aca="false">Conservative_TwoStep!B194</f>
        <v>0.122691605777878</v>
      </c>
      <c r="Q47" s="8" t="n">
        <f aca="false">Base_Founder40!B194</f>
        <v>0.262596625</v>
      </c>
    </row>
    <row r="48" customFormat="false" ht="15" hidden="false" customHeight="false" outlineLevel="0" collapsed="false">
      <c r="A48" s="0" t="s">
        <v>86</v>
      </c>
      <c r="B48" s="8" t="n">
        <f aca="false">Outlook_Conservative!B195</f>
        <v>0.161320525142386</v>
      </c>
      <c r="C48" s="8" t="n">
        <f aca="false">Outlook_Base!B195</f>
        <v>0.464575875</v>
      </c>
      <c r="D48" s="8" t="n">
        <f aca="false">Outlook_Aggressive!B195</f>
        <v>0.76</v>
      </c>
      <c r="E48" s="8" t="n">
        <f aca="false">Plan10L_BaseRates!B195</f>
        <v>0.332439791666667</v>
      </c>
      <c r="F48" s="8" t="n">
        <f aca="false">Plan50L_BaseRates!B195</f>
        <v>0.597554166666667</v>
      </c>
      <c r="G48" s="9" t="n">
        <f aca="false">Staged_G1M9!B195</f>
        <v>0.464575875</v>
      </c>
      <c r="H48" s="8" t="n">
        <f aca="false">Staged_G1M6!B195</f>
        <v>0.464575875</v>
      </c>
      <c r="I48" s="8" t="n">
        <f aca="false">Staged_Cons!B195</f>
        <v>0.235081528839428</v>
      </c>
      <c r="J48" s="8" t="n">
        <f aca="false">Staged_Cons_CutM5!B195</f>
        <v>0.235081528839428</v>
      </c>
      <c r="K48" s="8" t="n">
        <f aca="false">Staged_Cons_CutM5_Deep!B195</f>
        <v>0.235081528839428</v>
      </c>
      <c r="L48" s="8" t="n">
        <f aca="false">Staged_Cons_CutM10!B195</f>
        <v>0.235081528839428</v>
      </c>
      <c r="M48" s="8" t="n">
        <f aca="false">Staged_FalsePos!B195</f>
        <v>0.464575875</v>
      </c>
      <c r="N48" s="8" t="n">
        <f aca="false">Staged_FalsePos_M6!B195</f>
        <v>0.464575875</v>
      </c>
      <c r="O48" s="8" t="n">
        <f aca="false">Base_TwoStep!B195</f>
        <v>0.464575875</v>
      </c>
      <c r="P48" s="8" t="n">
        <f aca="false">Conservative_TwoStep!B195</f>
        <v>0.161320525142386</v>
      </c>
      <c r="Q48" s="8" t="n">
        <f aca="false">Base_Founder40!B195</f>
        <v>0.464575875</v>
      </c>
    </row>
    <row r="49" customFormat="false" ht="15" hidden="false" customHeight="false" outlineLevel="0" collapsed="false">
      <c r="A49" s="0" t="s">
        <v>87</v>
      </c>
      <c r="B49" s="8" t="n">
        <f aca="false">Outlook_Conservative!B196</f>
        <v>0.215523865140031</v>
      </c>
      <c r="C49" s="8" t="n">
        <f aca="false">Outlook_Base!B196</f>
        <v>0.610606991218075</v>
      </c>
      <c r="D49" s="8" t="n">
        <f aca="false">Outlook_Aggressive!B196</f>
        <v>0.870889910821696</v>
      </c>
      <c r="E49" s="8" t="n">
        <f aca="false">Plan10L_BaseRates!B196</f>
        <v>0.389648110169707</v>
      </c>
      <c r="F49" s="8" t="n">
        <f aca="false">Plan50L_BaseRates!B196</f>
        <v>0.804590619740352</v>
      </c>
      <c r="G49" s="9" t="n">
        <f aca="false">Staged_G1M9!B196</f>
        <v>0.517406723275228</v>
      </c>
      <c r="H49" s="8" t="n">
        <f aca="false">Staged_G1M6!B196</f>
        <v>0.608508239196913</v>
      </c>
      <c r="I49" s="8" t="n">
        <f aca="false">Staged_Cons!B196</f>
        <v>0.332984715317032</v>
      </c>
      <c r="J49" s="8" t="n">
        <f aca="false">Staged_Cons_CutM5!B196</f>
        <v>0.228399198801673</v>
      </c>
      <c r="K49" s="8" t="n">
        <f aca="false">Staged_Cons_CutM5_Deep!B196</f>
        <v>0.189121816564606</v>
      </c>
      <c r="L49" s="8" t="n">
        <f aca="false">Staged_Cons_CutM10!B196</f>
        <v>0.306874347254339</v>
      </c>
      <c r="M49" s="8" t="n">
        <f aca="false">Staged_FalsePos!B196</f>
        <v>0.475948024180607</v>
      </c>
      <c r="N49" s="8" t="n">
        <f aca="false">Staged_FalsePos_M6!B196</f>
        <v>0.433274014285714</v>
      </c>
      <c r="O49" s="8" t="n">
        <f aca="false">Base_TwoStep!B196</f>
        <v>0.610606991218075</v>
      </c>
      <c r="P49" s="8" t="n">
        <f aca="false">Conservative_TwoStep!B196</f>
        <v>0.215523865140031</v>
      </c>
      <c r="Q49" s="8" t="n">
        <f aca="false">Base_Founder40!B196</f>
        <v>0.610606991218075</v>
      </c>
    </row>
    <row r="50" customFormat="false" ht="15" hidden="false" customHeight="false" outlineLevel="0" collapsed="false">
      <c r="A50" s="0" t="s">
        <v>88</v>
      </c>
      <c r="B50" s="0" t="str">
        <f aca="false">Outlook_Conservative!B197</f>
        <v>not in Y1</v>
      </c>
      <c r="C50" s="0" t="str">
        <f aca="false">Outlook_Base!B197</f>
        <v>not in Y1</v>
      </c>
      <c r="D50" s="10" t="n">
        <f aca="false">Outlook_Aggressive!B197</f>
        <v>6</v>
      </c>
      <c r="E50" s="0" t="str">
        <f aca="false">Plan10L_BaseRates!B197</f>
        <v>not in Y1</v>
      </c>
      <c r="F50" s="10" t="n">
        <f aca="false">Plan50L_BaseRates!B197</f>
        <v>9</v>
      </c>
      <c r="G50" s="12" t="str">
        <f aca="false">Staged_G1M9!B197</f>
        <v>not in Y1</v>
      </c>
      <c r="H50" s="0" t="str">
        <f aca="false">Staged_G1M6!B197</f>
        <v>not in Y1</v>
      </c>
      <c r="I50" s="0" t="str">
        <f aca="false">Staged_Cons!B197</f>
        <v>not in Y1</v>
      </c>
      <c r="J50" s="0" t="str">
        <f aca="false">Staged_Cons_CutM5!B197</f>
        <v>not in Y1</v>
      </c>
      <c r="K50" s="0" t="str">
        <f aca="false">Staged_Cons_CutM5_Deep!B197</f>
        <v>not in Y1</v>
      </c>
      <c r="L50" s="0" t="str">
        <f aca="false">Staged_Cons_CutM10!B197</f>
        <v>not in Y1</v>
      </c>
      <c r="M50" s="0" t="str">
        <f aca="false">Staged_FalsePos!B197</f>
        <v>not in Y1</v>
      </c>
      <c r="N50" s="0" t="str">
        <f aca="false">Staged_FalsePos_M6!B197</f>
        <v>not in Y1</v>
      </c>
      <c r="O50" s="0" t="str">
        <f aca="false">Base_TwoStep!B197</f>
        <v>not in Y1</v>
      </c>
      <c r="P50" s="0" t="str">
        <f aca="false">Conservative_TwoStep!B197</f>
        <v>not in Y1</v>
      </c>
      <c r="Q50" s="0" t="str">
        <f aca="false">Base_Founder40!B197</f>
        <v>not in Y1</v>
      </c>
    </row>
    <row r="51" customFormat="false" ht="15" hidden="false" customHeight="false" outlineLevel="0" collapsed="false">
      <c r="A51" s="0" t="s">
        <v>89</v>
      </c>
      <c r="B51" s="6" t="n">
        <f aca="false">Outlook_Conservative!B198</f>
        <v>2.91994233812949</v>
      </c>
      <c r="C51" s="6" t="n">
        <f aca="false">Outlook_Base!B198</f>
        <v>7.91341168221993</v>
      </c>
      <c r="D51" s="6" t="n">
        <f aca="false">Outlook_Aggressive!B198</f>
        <v>11.3303971103955</v>
      </c>
      <c r="E51" s="6" t="n">
        <f aca="false">Plan10L_BaseRates!B198</f>
        <v>5.15287888619451</v>
      </c>
      <c r="F51" s="6" t="n">
        <f aca="false">Plan50L_BaseRates!B198</f>
        <v>12.2184295632451</v>
      </c>
      <c r="G51" s="7" t="n">
        <f aca="false">Staged_G1M9!B198</f>
        <v>7.5334959558586</v>
      </c>
      <c r="H51" s="6" t="n">
        <f aca="false">Staged_G1M6!B198</f>
        <v>7.10969153087188</v>
      </c>
      <c r="I51" s="6" t="n">
        <f aca="false">Staged_Cons!B198</f>
        <v>4.75736350719424</v>
      </c>
      <c r="J51" s="6" t="n">
        <f aca="false">Staged_Cons_CutM5!B198</f>
        <v>2.91994233812949</v>
      </c>
      <c r="K51" s="6" t="n">
        <f aca="false">Staged_Cons_CutM5_Deep!B198</f>
        <v>2.2647</v>
      </c>
      <c r="L51" s="6" t="n">
        <f aca="false">Staged_Cons_CutM10!B198</f>
        <v>3.07815187050359</v>
      </c>
      <c r="M51" s="6" t="n">
        <f aca="false">Staged_FalsePos!B198</f>
        <v>4.88731723191046</v>
      </c>
      <c r="N51" s="6" t="n">
        <f aca="false">Staged_FalsePos_M6!B198</f>
        <v>3.1223232</v>
      </c>
      <c r="O51" s="6" t="n">
        <f aca="false">Base_TwoStep!B198</f>
        <v>7.91341168221993</v>
      </c>
      <c r="P51" s="6" t="n">
        <f aca="false">Conservative_TwoStep!B198</f>
        <v>2.91994233812949</v>
      </c>
      <c r="Q51" s="6" t="n">
        <f aca="false">Base_Founder40!B198</f>
        <v>7.91341168221993</v>
      </c>
    </row>
    <row r="52" customFormat="false" ht="15" hidden="false" customHeight="false" outlineLevel="0" collapsed="false">
      <c r="A52" s="0" t="s">
        <v>90</v>
      </c>
      <c r="B52" s="0" t="str">
        <f aca="false">Outlook_Conservative!B199</f>
        <v>not in Y1</v>
      </c>
      <c r="C52" s="0" t="str">
        <f aca="false">Outlook_Base!B199</f>
        <v>not in Y1</v>
      </c>
      <c r="D52" s="0" t="str">
        <f aca="false">Outlook_Aggressive!B199</f>
        <v>not in Y1</v>
      </c>
      <c r="E52" s="0" t="str">
        <f aca="false">Plan10L_BaseRates!B199</f>
        <v>not in Y1</v>
      </c>
      <c r="F52" s="0" t="str">
        <f aca="false">Plan50L_BaseRates!B199</f>
        <v>not in Y1</v>
      </c>
      <c r="G52" s="11" t="n">
        <f aca="false">Staged_G1M9!B199</f>
        <v>7</v>
      </c>
      <c r="H52" s="0" t="str">
        <f aca="false">Staged_G1M6!B199</f>
        <v>not in Y1</v>
      </c>
      <c r="I52" s="0" t="str">
        <f aca="false">Staged_Cons!B199</f>
        <v>not in Y1</v>
      </c>
      <c r="J52" s="0" t="str">
        <f aca="false">Staged_Cons_CutM5!B199</f>
        <v>not in Y1</v>
      </c>
      <c r="K52" s="0" t="str">
        <f aca="false">Staged_Cons_CutM5_Deep!B199</f>
        <v>not in Y1</v>
      </c>
      <c r="L52" s="0" t="str">
        <f aca="false">Staged_Cons_CutM10!B199</f>
        <v>not in Y1</v>
      </c>
      <c r="M52" s="10" t="n">
        <f aca="false">Staged_FalsePos!B199</f>
        <v>7</v>
      </c>
      <c r="N52" s="0" t="str">
        <f aca="false">Staged_FalsePos_M6!B199</f>
        <v>not in Y1</v>
      </c>
      <c r="O52" s="0" t="str">
        <f aca="false">Base_TwoStep!B199</f>
        <v>not in Y1</v>
      </c>
      <c r="P52" s="0" t="str">
        <f aca="false">Conservative_TwoStep!B199</f>
        <v>not in Y1</v>
      </c>
      <c r="Q52" s="0" t="str">
        <f aca="false">Base_Founder40!B199</f>
        <v>not in Y1</v>
      </c>
    </row>
    <row r="53" customFormat="false" ht="15" hidden="false" customHeight="false" outlineLevel="0" collapsed="false">
      <c r="A53" s="0" t="s">
        <v>91</v>
      </c>
      <c r="B53" s="0" t="str">
        <f aca="false">Outlook_Conservative!B200</f>
        <v>not in Y1</v>
      </c>
      <c r="C53" s="10" t="n">
        <f aca="false">Outlook_Base!B200</f>
        <v>8</v>
      </c>
      <c r="D53" s="10" t="n">
        <f aca="false">Outlook_Aggressive!B200</f>
        <v>8</v>
      </c>
      <c r="E53" s="10" t="n">
        <f aca="false">Plan10L_BaseRates!B200</f>
        <v>10</v>
      </c>
      <c r="F53" s="10" t="n">
        <f aca="false">Plan50L_BaseRates!B200</f>
        <v>8</v>
      </c>
      <c r="G53" s="11" t="n">
        <f aca="false">Staged_G1M9!B200</f>
        <v>8</v>
      </c>
      <c r="H53" s="10" t="n">
        <f aca="false">Staged_G1M6!B200</f>
        <v>8</v>
      </c>
      <c r="I53" s="10" t="n">
        <f aca="false">Staged_Cons!B200</f>
        <v>10</v>
      </c>
      <c r="J53" s="0" t="str">
        <f aca="false">Staged_Cons_CutM5!B200</f>
        <v>not in Y1</v>
      </c>
      <c r="K53" s="0" t="str">
        <f aca="false">Staged_Cons_CutM5_Deep!B200</f>
        <v>not in Y1</v>
      </c>
      <c r="L53" s="10" t="n">
        <f aca="false">Staged_Cons_CutM10!B200</f>
        <v>10</v>
      </c>
      <c r="M53" s="10" t="n">
        <f aca="false">Staged_FalsePos!B200</f>
        <v>8</v>
      </c>
      <c r="N53" s="10" t="n">
        <f aca="false">Staged_FalsePos_M6!B200</f>
        <v>8</v>
      </c>
      <c r="O53" s="10" t="n">
        <f aca="false">Base_TwoStep!B200</f>
        <v>8</v>
      </c>
      <c r="P53" s="0" t="str">
        <f aca="false">Conservative_TwoStep!B200</f>
        <v>not in Y1</v>
      </c>
      <c r="Q53" s="10" t="n">
        <f aca="false">Base_Founder40!B200</f>
        <v>8</v>
      </c>
    </row>
    <row r="54" customFormat="false" ht="15" hidden="false" customHeight="false" outlineLevel="0" collapsed="false">
      <c r="A54" s="0" t="s">
        <v>92</v>
      </c>
      <c r="B54" s="10" t="n">
        <f aca="false">Outlook_Conservative!B201</f>
        <v>0</v>
      </c>
      <c r="C54" s="10" t="n">
        <f aca="false">Outlook_Base!B201</f>
        <v>1</v>
      </c>
      <c r="D54" s="10" t="n">
        <f aca="false">Outlook_Aggressive!B201</f>
        <v>1</v>
      </c>
      <c r="E54" s="10" t="n">
        <f aca="false">Plan10L_BaseRates!B201</f>
        <v>0</v>
      </c>
      <c r="F54" s="10" t="n">
        <f aca="false">Plan50L_BaseRates!B201</f>
        <v>2</v>
      </c>
      <c r="G54" s="11" t="n">
        <f aca="false">Staged_G1M9!B201</f>
        <v>3</v>
      </c>
      <c r="H54" s="10" t="n">
        <f aca="false">Staged_G1M6!B201</f>
        <v>2</v>
      </c>
      <c r="I54" s="10" t="n">
        <f aca="false">Staged_Cons!B201</f>
        <v>0</v>
      </c>
      <c r="J54" s="10" t="n">
        <f aca="false">Staged_Cons_CutM5!B201</f>
        <v>0</v>
      </c>
      <c r="K54" s="10" t="n">
        <f aca="false">Staged_Cons_CutM5_Deep!B201</f>
        <v>0</v>
      </c>
      <c r="L54" s="10" t="n">
        <f aca="false">Staged_Cons_CutM10!B201</f>
        <v>0</v>
      </c>
      <c r="M54" s="10" t="n">
        <f aca="false">Staged_FalsePos!B201</f>
        <v>3</v>
      </c>
      <c r="N54" s="10" t="n">
        <f aca="false">Staged_FalsePos_M6!B201</f>
        <v>2</v>
      </c>
      <c r="O54" s="10" t="n">
        <f aca="false">Base_TwoStep!B201</f>
        <v>1</v>
      </c>
      <c r="P54" s="10" t="n">
        <f aca="false">Conservative_TwoStep!B201</f>
        <v>0</v>
      </c>
      <c r="Q54" s="10" t="n">
        <f aca="false">Base_Founder40!B201</f>
        <v>1</v>
      </c>
    </row>
    <row r="55" customFormat="false" ht="15" hidden="false" customHeight="false" outlineLevel="0" collapsed="false">
      <c r="A55" s="0" t="s">
        <v>93</v>
      </c>
      <c r="B55" s="10" t="n">
        <f aca="false">Outlook_Conservative!B202</f>
        <v>0</v>
      </c>
      <c r="C55" s="10" t="n">
        <f aca="false">Outlook_Base!B202</f>
        <v>4</v>
      </c>
      <c r="D55" s="10" t="n">
        <f aca="false">Outlook_Aggressive!B202</f>
        <v>4</v>
      </c>
      <c r="E55" s="10" t="n">
        <f aca="false">Plan10L_BaseRates!B202</f>
        <v>3</v>
      </c>
      <c r="F55" s="10" t="n">
        <f aca="false">Plan50L_BaseRates!B202</f>
        <v>4</v>
      </c>
      <c r="G55" s="11" t="n">
        <f aca="false">Staged_G1M9!B202</f>
        <v>4</v>
      </c>
      <c r="H55" s="10" t="n">
        <f aca="false">Staged_G1M6!B202</f>
        <v>4</v>
      </c>
      <c r="I55" s="10" t="n">
        <f aca="false">Staged_Cons!B202</f>
        <v>3</v>
      </c>
      <c r="J55" s="10" t="n">
        <f aca="false">Staged_Cons_CutM5!B202</f>
        <v>0</v>
      </c>
      <c r="K55" s="10" t="n">
        <f aca="false">Staged_Cons_CutM5_Deep!B202</f>
        <v>0</v>
      </c>
      <c r="L55" s="10" t="n">
        <f aca="false">Staged_Cons_CutM10!B202</f>
        <v>2</v>
      </c>
      <c r="M55" s="10" t="n">
        <f aca="false">Staged_FalsePos!B202</f>
        <v>3</v>
      </c>
      <c r="N55" s="10" t="n">
        <f aca="false">Staged_FalsePos_M6!B202</f>
        <v>3</v>
      </c>
      <c r="O55" s="10" t="n">
        <f aca="false">Base_TwoStep!B202</f>
        <v>4</v>
      </c>
      <c r="P55" s="10" t="n">
        <f aca="false">Conservative_TwoStep!B202</f>
        <v>0</v>
      </c>
      <c r="Q55" s="10" t="n">
        <f aca="false">Base_Founder40!B202</f>
        <v>4</v>
      </c>
    </row>
    <row r="56" customFormat="false" ht="15" hidden="false" customHeight="false" outlineLevel="0" collapsed="false">
      <c r="A56" s="0" t="s">
        <v>94</v>
      </c>
      <c r="B56" s="0" t="str">
        <f aca="false">Outlook_Conservative!B203</f>
        <v>not in Y1</v>
      </c>
      <c r="C56" s="10" t="n">
        <f aca="false">Outlook_Base!B203</f>
        <v>10</v>
      </c>
      <c r="D56" s="10" t="n">
        <f aca="false">Outlook_Aggressive!B203</f>
        <v>6</v>
      </c>
      <c r="E56" s="0" t="str">
        <f aca="false">Plan10L_BaseRates!B203</f>
        <v>not in Y1</v>
      </c>
      <c r="F56" s="10" t="n">
        <f aca="false">Plan50L_BaseRates!B203</f>
        <v>8</v>
      </c>
      <c r="G56" s="11" t="n">
        <f aca="false">Staged_G1M9!B203</f>
        <v>10</v>
      </c>
      <c r="H56" s="10" t="n">
        <f aca="false">Staged_G1M6!B203</f>
        <v>10</v>
      </c>
      <c r="I56" s="0" t="str">
        <f aca="false">Staged_Cons!B203</f>
        <v>not in Y1</v>
      </c>
      <c r="J56" s="0" t="str">
        <f aca="false">Staged_Cons_CutM5!B203</f>
        <v>not in Y1</v>
      </c>
      <c r="K56" s="0" t="str">
        <f aca="false">Staged_Cons_CutM5_Deep!B203</f>
        <v>not in Y1</v>
      </c>
      <c r="L56" s="0" t="str">
        <f aca="false">Staged_Cons_CutM10!B203</f>
        <v>not in Y1</v>
      </c>
      <c r="M56" s="0" t="str">
        <f aca="false">Staged_FalsePos!B203</f>
        <v>not in Y1</v>
      </c>
      <c r="N56" s="0" t="str">
        <f aca="false">Staged_FalsePos_M6!B203</f>
        <v>not in Y1</v>
      </c>
      <c r="O56" s="10" t="n">
        <f aca="false">Base_TwoStep!B203</f>
        <v>10</v>
      </c>
      <c r="P56" s="0" t="str">
        <f aca="false">Conservative_TwoStep!B203</f>
        <v>not in Y1</v>
      </c>
      <c r="Q56" s="10" t="n">
        <f aca="false">Base_Founder40!B203</f>
        <v>10</v>
      </c>
    </row>
    <row r="57" customFormat="false" ht="15" hidden="false" customHeight="false" outlineLevel="0" collapsed="false">
      <c r="A57" s="0" t="s">
        <v>95</v>
      </c>
      <c r="B57" s="8" t="n">
        <f aca="false">Outlook_Conservative!B204</f>
        <v>0.327108798960831</v>
      </c>
      <c r="C57" s="8" t="n">
        <f aca="false">Outlook_Base!B204</f>
        <v>0.962541821669398</v>
      </c>
      <c r="D57" s="8" t="n">
        <f aca="false">Outlook_Aggressive!B204</f>
        <v>1.32564876107297</v>
      </c>
      <c r="E57" s="8" t="n">
        <f aca="false">Plan10L_BaseRates!B204</f>
        <v>0.571556899112802</v>
      </c>
      <c r="F57" s="8" t="n">
        <f aca="false">Plan50L_BaseRates!B204</f>
        <v>1.24022729152624</v>
      </c>
      <c r="G57" s="9" t="n">
        <f aca="false">Staged_G1M9!B204</f>
        <v>0.755627744423904</v>
      </c>
      <c r="H57" s="8" t="n">
        <f aca="false">Staged_G1M6!B204</f>
        <v>0.979970293379689</v>
      </c>
      <c r="I57" s="8" t="n">
        <f aca="false">Staged_Cons!B204</f>
        <v>0.523047737476685</v>
      </c>
      <c r="J57" s="8" t="n">
        <f aca="false">Staged_Cons_CutM5!B204</f>
        <v>0.330054342525979</v>
      </c>
      <c r="K57" s="8" t="n">
        <f aca="false">Staged_Cons_CutM5_Deep!B204</f>
        <v>0.256608293365308</v>
      </c>
      <c r="L57" s="8" t="n">
        <f aca="false">Staged_Cons_CutM10!B204</f>
        <v>0.508768313016254</v>
      </c>
      <c r="M57" s="8" t="n">
        <f aca="false">Staged_FalsePos!B204</f>
        <v>0.732395744423904</v>
      </c>
      <c r="N57" s="8" t="n">
        <f aca="false">Staged_FalsePos_M6!B204</f>
        <v>0.681850666666667</v>
      </c>
      <c r="O57" s="8" t="n">
        <f aca="false">Base_TwoStep!B204</f>
        <v>0.962541821669398</v>
      </c>
      <c r="P57" s="8" t="n">
        <f aca="false">Conservative_TwoStep!B204</f>
        <v>0.327108798960831</v>
      </c>
      <c r="Q57" s="8" t="n">
        <f aca="false">Base_Founder40!B204</f>
        <v>0.962541821669398</v>
      </c>
    </row>
    <row r="58" customFormat="false" ht="15" hidden="false" customHeight="false" outlineLevel="0" collapsed="false">
      <c r="A58" s="0" t="s">
        <v>96</v>
      </c>
      <c r="B58" s="6" t="n">
        <f aca="false">Outlook_Conservative!B205</f>
        <v>4.89543884892087</v>
      </c>
      <c r="C58" s="6" t="n">
        <f aca="false">Outlook_Base!B205</f>
        <v>37.8007519189758</v>
      </c>
      <c r="D58" s="6" t="n">
        <f aca="false">Outlook_Aggressive!B205</f>
        <v>49.4797938628336</v>
      </c>
      <c r="E58" s="6" t="n">
        <f aca="false">Plan10L_BaseRates!B205</f>
        <v>16.2591503356709</v>
      </c>
      <c r="F58" s="6" t="n">
        <f aca="false">Plan50L_BaseRates!B205</f>
        <v>53.422410663513</v>
      </c>
      <c r="G58" s="7" t="n">
        <f aca="false">Staged_G1M9!B205</f>
        <v>27.5714938408643</v>
      </c>
      <c r="H58" s="6" t="n">
        <f aca="false">Staged_G1M6!B205</f>
        <v>36.443238629665</v>
      </c>
      <c r="I58" s="6" t="n">
        <f aca="false">Staged_Cons!B205</f>
        <v>7.3431582733813</v>
      </c>
      <c r="J58" s="6" t="n">
        <f aca="false">Staged_Cons_CutM5!B205</f>
        <v>4.89543884892087</v>
      </c>
      <c r="K58" s="6" t="n">
        <f aca="false">Staged_Cons_CutM5_Deep!B205</f>
        <v>0</v>
      </c>
      <c r="L58" s="6" t="n">
        <f aca="false">Staged_Cons_CutM10!B205</f>
        <v>6.2494964028777</v>
      </c>
      <c r="M58" s="6" t="n">
        <f aca="false">Staged_FalsePos!B205</f>
        <v>18.7588784394963</v>
      </c>
      <c r="N58" s="6" t="n">
        <f aca="false">Staged_FalsePos_M6!B205</f>
        <v>14.94</v>
      </c>
      <c r="O58" s="6" t="n">
        <f aca="false">Base_TwoStep!B205</f>
        <v>37.8007519189758</v>
      </c>
      <c r="P58" s="6" t="n">
        <f aca="false">Conservative_TwoStep!B205</f>
        <v>4.89543884892087</v>
      </c>
      <c r="Q58" s="6" t="n">
        <f aca="false">Base_Founder40!B205</f>
        <v>37.8007519189758</v>
      </c>
    </row>
    <row r="59" customFormat="false" ht="15" hidden="false" customHeight="false" outlineLevel="0" collapsed="false">
      <c r="A59" s="0" t="s">
        <v>97</v>
      </c>
      <c r="B59" s="14" t="n">
        <f aca="false">Outlook_Conservative!B206</f>
        <v>40323.2490675508</v>
      </c>
      <c r="C59" s="14" t="n">
        <f aca="false">Outlook_Base!B206</f>
        <v>11666.6666666667</v>
      </c>
      <c r="D59" s="14" t="n">
        <f aca="false">Outlook_Aggressive!B206</f>
        <v>3437.62950683796</v>
      </c>
      <c r="E59" s="14" t="n">
        <f aca="false">Plan10L_BaseRates!B206</f>
        <v>11666.6666666667</v>
      </c>
      <c r="F59" s="14" t="n">
        <f aca="false">Plan50L_BaseRates!B206</f>
        <v>11666.6666666667</v>
      </c>
      <c r="G59" s="15" t="n">
        <f aca="false">Staged_G1M9!B206</f>
        <v>11666.6666666667</v>
      </c>
      <c r="H59" s="14" t="n">
        <f aca="false">Staged_G1M6!B206</f>
        <v>11666.6666666667</v>
      </c>
      <c r="I59" s="14" t="n">
        <f aca="false">Staged_Cons!B206</f>
        <v>40323.2490675508</v>
      </c>
      <c r="J59" s="14" t="n">
        <f aca="false">Staged_Cons_CutM5!B206</f>
        <v>40323.2490675508</v>
      </c>
      <c r="K59" s="14" t="n">
        <f aca="false">Staged_Cons_CutM5_Deep!B206</f>
        <v>40323.2490675508</v>
      </c>
      <c r="L59" s="14" t="n">
        <f aca="false">Staged_Cons_CutM10!B206</f>
        <v>40323.2490675508</v>
      </c>
      <c r="M59" s="14" t="n">
        <f aca="false">Staged_FalsePos!B206</f>
        <v>11666.6666666667</v>
      </c>
      <c r="N59" s="14" t="n">
        <f aca="false">Staged_FalsePos_M6!B206</f>
        <v>11666.6666666667</v>
      </c>
      <c r="O59" s="14" t="n">
        <f aca="false">Base_TwoStep!B206</f>
        <v>11666.6666666667</v>
      </c>
      <c r="P59" s="14" t="n">
        <f aca="false">Conservative_TwoStep!B206</f>
        <v>40323.2490675508</v>
      </c>
      <c r="Q59" s="14" t="n">
        <f aca="false">Base_Founder40!B206</f>
        <v>11666.6666666667</v>
      </c>
    </row>
    <row r="60" customFormat="false" ht="15" hidden="false" customHeight="false" outlineLevel="0" collapsed="false">
      <c r="A60" s="0" t="s">
        <v>98</v>
      </c>
      <c r="B60" s="16" t="n">
        <f aca="false">Outlook_Conservative!B207</f>
        <v>2.41746097527283</v>
      </c>
      <c r="C60" s="16" t="n">
        <f aca="false">Outlook_Base!B207</f>
        <v>2.41746097527283</v>
      </c>
      <c r="D60" s="16" t="n">
        <f aca="false">Outlook_Aggressive!B207</f>
        <v>2.41746097527283</v>
      </c>
      <c r="E60" s="16" t="n">
        <f aca="false">Plan10L_BaseRates!B207</f>
        <v>2.41746097527283</v>
      </c>
      <c r="F60" s="16" t="n">
        <f aca="false">Plan50L_BaseRates!B207</f>
        <v>2.41746097527283</v>
      </c>
      <c r="G60" s="17" t="n">
        <f aca="false">Staged_G1M9!B207</f>
        <v>2.41746097527283</v>
      </c>
      <c r="H60" s="16" t="n">
        <f aca="false">Staged_G1M6!B207</f>
        <v>2.41746097527283</v>
      </c>
      <c r="I60" s="16" t="n">
        <f aca="false">Staged_Cons!B207</f>
        <v>2.41746097527283</v>
      </c>
      <c r="J60" s="16" t="n">
        <f aca="false">Staged_Cons_CutM5!B207</f>
        <v>2.41746097527283</v>
      </c>
      <c r="K60" s="16" t="n">
        <f aca="false">Staged_Cons_CutM5_Deep!B207</f>
        <v>2.41746097527283</v>
      </c>
      <c r="L60" s="16" t="n">
        <f aca="false">Staged_Cons_CutM10!B207</f>
        <v>2.41746097527283</v>
      </c>
      <c r="M60" s="16" t="n">
        <f aca="false">Staged_FalsePos!B207</f>
        <v>2.41746097527283</v>
      </c>
      <c r="N60" s="16" t="n">
        <f aca="false">Staged_FalsePos_M6!B207</f>
        <v>2.41746097527283</v>
      </c>
      <c r="O60" s="16" t="n">
        <f aca="false">Base_TwoStep!B207</f>
        <v>2.41746097527283</v>
      </c>
      <c r="P60" s="16" t="n">
        <f aca="false">Conservative_TwoStep!B207</f>
        <v>2.41746097527283</v>
      </c>
      <c r="Q60" s="16" t="n">
        <f aca="false">Base_Founder40!B207</f>
        <v>2.41746097527283</v>
      </c>
    </row>
    <row r="61" customFormat="false" ht="15" hidden="false" customHeight="false" outlineLevel="0" collapsed="false">
      <c r="A61" s="0" t="s">
        <v>99</v>
      </c>
      <c r="B61" s="6" t="n">
        <f aca="false">Outlook_Conservative!B208</f>
        <v>0</v>
      </c>
      <c r="C61" s="6" t="n">
        <f aca="false">Outlook_Base!B208</f>
        <v>4.54367302147044</v>
      </c>
      <c r="D61" s="6" t="n">
        <f aca="false">Outlook_Aggressive!B208</f>
        <v>16.1395176791756</v>
      </c>
      <c r="E61" s="6" t="n">
        <f aca="false">Plan10L_BaseRates!B208</f>
        <v>0</v>
      </c>
      <c r="F61" s="6" t="n">
        <f aca="false">Plan50L_BaseRates!B208</f>
        <v>10.4306026658783</v>
      </c>
      <c r="G61" s="7" t="n">
        <f aca="false">Staged_G1M9!B208</f>
        <v>7.31934066731814</v>
      </c>
      <c r="H61" s="6" t="n">
        <f aca="false">Staged_G1M6!B208</f>
        <v>6.64149666495145</v>
      </c>
      <c r="I61" s="6" t="n">
        <f aca="false">Staged_Cons!B208</f>
        <v>0</v>
      </c>
      <c r="J61" s="6" t="n">
        <f aca="false">Staged_Cons_CutM5!B208</f>
        <v>0</v>
      </c>
      <c r="K61" s="6" t="n">
        <f aca="false">Staged_Cons_CutM5_Deep!B208</f>
        <v>0</v>
      </c>
      <c r="L61" s="6" t="n">
        <f aca="false">Staged_Cons_CutM10!B208</f>
        <v>0</v>
      </c>
      <c r="M61" s="6" t="n">
        <f aca="false">Staged_FalsePos!B208</f>
        <v>3.6</v>
      </c>
      <c r="N61" s="6" t="n">
        <f aca="false">Staged_FalsePos_M6!B208</f>
        <v>0</v>
      </c>
      <c r="O61" s="6" t="n">
        <f aca="false">Base_TwoStep!B208</f>
        <v>4.54367302147044</v>
      </c>
      <c r="P61" s="6" t="n">
        <f aca="false">Conservative_TwoStep!B208</f>
        <v>0</v>
      </c>
      <c r="Q61" s="6" t="n">
        <f aca="false">Base_Founder40!B208</f>
        <v>4.54367302147044</v>
      </c>
    </row>
    <row r="62" customFormat="false" ht="15" hidden="false" customHeight="false" outlineLevel="0" collapsed="false">
      <c r="A62" s="0" t="s">
        <v>100</v>
      </c>
      <c r="B62" s="10" t="n">
        <f aca="false">Outlook_Conservative!B209</f>
        <v>0</v>
      </c>
      <c r="C62" s="10" t="n">
        <f aca="false">Outlook_Base!B209</f>
        <v>0</v>
      </c>
      <c r="D62" s="10" t="n">
        <f aca="false">Outlook_Aggressive!B209</f>
        <v>1</v>
      </c>
      <c r="E62" s="10" t="n">
        <f aca="false">Plan10L_BaseRates!B209</f>
        <v>0</v>
      </c>
      <c r="F62" s="10" t="n">
        <f aca="false">Plan50L_BaseRates!B209</f>
        <v>1</v>
      </c>
      <c r="G62" s="11" t="n">
        <f aca="false">Staged_G1M9!B209</f>
        <v>1</v>
      </c>
      <c r="H62" s="10" t="n">
        <f aca="false">Staged_G1M6!B209</f>
        <v>1</v>
      </c>
      <c r="I62" s="10" t="n">
        <f aca="false">Staged_Cons!B209</f>
        <v>0</v>
      </c>
      <c r="J62" s="10" t="n">
        <f aca="false">Staged_Cons_CutM5!B209</f>
        <v>0</v>
      </c>
      <c r="K62" s="10" t="n">
        <f aca="false">Staged_Cons_CutM5_Deep!B209</f>
        <v>0</v>
      </c>
      <c r="L62" s="10" t="n">
        <f aca="false">Staged_Cons_CutM10!B209</f>
        <v>0</v>
      </c>
      <c r="M62" s="10" t="n">
        <f aca="false">Staged_FalsePos!B209</f>
        <v>0</v>
      </c>
      <c r="N62" s="10" t="n">
        <f aca="false">Staged_FalsePos_M6!B209</f>
        <v>0</v>
      </c>
      <c r="O62" s="10" t="n">
        <f aca="false">Base_TwoStep!B209</f>
        <v>0</v>
      </c>
      <c r="P62" s="10" t="n">
        <f aca="false">Conservative_TwoStep!B209</f>
        <v>0</v>
      </c>
      <c r="Q62" s="10" t="n">
        <f aca="false">Base_Founder40!B209</f>
        <v>0</v>
      </c>
    </row>
    <row r="63" customFormat="false" ht="15" hidden="false" customHeight="false" outlineLevel="0" collapsed="false">
      <c r="A63" s="0" t="s">
        <v>101</v>
      </c>
      <c r="B63" s="6" t="n">
        <f aca="false">Outlook_Conservative!B210/100000</f>
        <v>4.97057228165961</v>
      </c>
      <c r="C63" s="6" t="n">
        <f aca="false">Outlook_Base!B210/100000</f>
        <v>21.7885633659782</v>
      </c>
      <c r="D63" s="6" t="n">
        <f aca="false">Outlook_Aggressive!B210/100000</f>
        <v>43.4785898106906</v>
      </c>
      <c r="E63" s="6" t="n">
        <f aca="false">Plan10L_BaseRates!B210/100000</f>
        <v>11.3594952593343</v>
      </c>
      <c r="F63" s="6" t="n">
        <f aca="false">Plan50L_BaseRates!B210/100000</f>
        <v>31.164919173096</v>
      </c>
      <c r="G63" s="7" t="n">
        <f aca="false">Staged_G1M9!B210/100000</f>
        <v>20.3214128334389</v>
      </c>
      <c r="H63" s="6" t="n">
        <f aca="false">Staged_G1M6!B210/100000</f>
        <v>19.6089139086655</v>
      </c>
      <c r="I63" s="6" t="n">
        <f aca="false">Staged_Cons!B210/100000</f>
        <v>5.08710717517518</v>
      </c>
      <c r="J63" s="6" t="n">
        <f aca="false">Staged_Cons_CutM5!B210/100000</f>
        <v>2.99121205969374</v>
      </c>
      <c r="K63" s="6" t="n">
        <f aca="false">Staged_Cons_CutM5_Deep!B210/100000</f>
        <v>2.64607078902102</v>
      </c>
      <c r="L63" s="6" t="n">
        <f aca="false">Staged_Cons_CutM10!B210/100000</f>
        <v>2.993903375044</v>
      </c>
      <c r="M63" s="6" t="n">
        <f aca="false">Staged_FalsePos!B210/100000</f>
        <v>9.4839237410367</v>
      </c>
      <c r="N63" s="6" t="n">
        <f aca="false">Staged_FalsePos_M6!B210/100000</f>
        <v>6.11654457295936</v>
      </c>
      <c r="O63" s="6" t="n">
        <f aca="false">Base_TwoStep!B210/100000</f>
        <v>19.4612138395882</v>
      </c>
      <c r="P63" s="6" t="n">
        <f aca="false">Conservative_TwoStep!B210/100000</f>
        <v>4.97057228165961</v>
      </c>
      <c r="Q63" s="6" t="n">
        <f aca="false">Base_Founder40!B210/100000</f>
        <v>21.7885633659782</v>
      </c>
    </row>
    <row r="65" customFormat="false" ht="15" hidden="false" customHeight="false" outlineLevel="0" collapsed="false">
      <c r="A65" s="18" t="s">
        <v>102</v>
      </c>
      <c r="B65" s="19"/>
      <c r="C65" s="19"/>
      <c r="D65" s="19"/>
      <c r="E65" s="19"/>
      <c r="F65" s="19"/>
      <c r="G65" s="19"/>
    </row>
    <row r="66" customFormat="false" ht="41.75" hidden="false" customHeight="false" outlineLevel="0" collapsed="false">
      <c r="A66" s="20" t="s">
        <v>103</v>
      </c>
      <c r="B66" s="20" t="s">
        <v>104</v>
      </c>
      <c r="C66" s="20" t="s">
        <v>105</v>
      </c>
      <c r="D66" s="20" t="s">
        <v>106</v>
      </c>
      <c r="E66" s="20" t="s">
        <v>107</v>
      </c>
      <c r="F66" s="20" t="s">
        <v>108</v>
      </c>
      <c r="G66" s="20" t="s">
        <v>109</v>
      </c>
      <c r="H66" s="20" t="s">
        <v>110</v>
      </c>
      <c r="I66" s="20" t="s">
        <v>111</v>
      </c>
      <c r="J66" s="20" t="s">
        <v>112</v>
      </c>
      <c r="K66" s="20" t="s">
        <v>113</v>
      </c>
      <c r="L66" s="20" t="s">
        <v>114</v>
      </c>
      <c r="M66" s="20" t="s">
        <v>115</v>
      </c>
      <c r="N66" s="20" t="s">
        <v>116</v>
      </c>
      <c r="O66" s="20" t="s">
        <v>117</v>
      </c>
      <c r="P66" s="20" t="s">
        <v>118</v>
      </c>
      <c r="Q66" s="20" t="s">
        <v>119</v>
      </c>
      <c r="R66" s="20" t="s">
        <v>120</v>
      </c>
      <c r="S66" s="20" t="s">
        <v>121</v>
      </c>
      <c r="T66" s="20" t="s">
        <v>122</v>
      </c>
      <c r="U66" s="20" t="s">
        <v>123</v>
      </c>
      <c r="V66" s="20" t="s">
        <v>124</v>
      </c>
      <c r="W66" s="20" t="s">
        <v>125</v>
      </c>
      <c r="X66" s="20" t="s">
        <v>126</v>
      </c>
      <c r="Y66" s="20" t="s">
        <v>127</v>
      </c>
      <c r="Z66" s="20" t="s">
        <v>128</v>
      </c>
      <c r="AA66" s="20" t="s">
        <v>129</v>
      </c>
      <c r="AB66" s="20" t="s">
        <v>130</v>
      </c>
    </row>
    <row r="67" customFormat="false" ht="15" hidden="false" customHeight="false" outlineLevel="0" collapsed="false">
      <c r="A67" s="0" t="s">
        <v>131</v>
      </c>
      <c r="B67" s="6" t="n">
        <f aca="false">3yr_Scenarios!B40</f>
        <v>17.5990848798782</v>
      </c>
      <c r="C67" s="6" t="n">
        <f aca="false">3yr_Scenarios!C40</f>
        <v>26.6417000075987</v>
      </c>
      <c r="D67" s="6" t="n">
        <f aca="false">3yr_Scenarios!D40</f>
        <v>36.6572985432959</v>
      </c>
      <c r="E67" s="6" t="n">
        <f aca="false">3yr_Scenarios!E40</f>
        <v>70.9661072610592</v>
      </c>
      <c r="F67" s="6" t="n">
        <f aca="false">3yr_Scenarios!F40</f>
        <v>118.814657243018</v>
      </c>
      <c r="G67" s="6" t="n">
        <f aca="false">3yr_Scenarios!G40</f>
        <v>165.507954880354</v>
      </c>
      <c r="H67" s="6" t="n">
        <f aca="false">3yr_Scenarios!H40</f>
        <v>134.783683632995</v>
      </c>
      <c r="I67" s="6" t="n">
        <f aca="false">3yr_Scenarios!I40</f>
        <v>235.670458972991</v>
      </c>
      <c r="J67" s="6" t="n">
        <f aca="false">3yr_Scenarios!J40</f>
        <v>334.642000607154</v>
      </c>
      <c r="K67" s="6" t="n">
        <f aca="false">3yr_Scenarios!K40</f>
        <v>66.7444434981563</v>
      </c>
      <c r="L67" s="6" t="n">
        <f aca="false">3yr_Scenarios!L40</f>
        <v>116.10194227879</v>
      </c>
      <c r="M67" s="6" t="n">
        <f aca="false">3yr_Scenarios!M40</f>
        <v>165.666125937005</v>
      </c>
      <c r="N67" s="6" t="n">
        <f aca="false">3yr_Scenarios!N40</f>
        <v>60.5534125214664</v>
      </c>
      <c r="O67" s="6" t="n">
        <f aca="false">3yr_Scenarios!O40</f>
        <v>113.720137903584</v>
      </c>
      <c r="P67" s="6" t="n">
        <f aca="false">3yr_Scenarios!P40</f>
        <v>162.903398580199</v>
      </c>
      <c r="Q67" s="6" t="n">
        <f aca="false">3yr_Scenarios!Q40</f>
        <v>60.5534125214664</v>
      </c>
      <c r="R67" s="6" t="n">
        <f aca="false">3yr_Scenarios!R40</f>
        <v>105.35723789798</v>
      </c>
      <c r="S67" s="6" t="n">
        <f aca="false">3yr_Scenarios!S40</f>
        <v>147.68605749578</v>
      </c>
      <c r="T67" s="6" t="n">
        <f aca="false">3yr_Scenarios!T40</f>
        <v>60.5534125214664</v>
      </c>
      <c r="U67" s="6" t="n">
        <f aca="false">3yr_Scenarios!U40</f>
        <v>108.705045891612</v>
      </c>
      <c r="V67" s="6" t="n">
        <f aca="false">3yr_Scenarios!V40</f>
        <v>154.721171384605</v>
      </c>
      <c r="W67" s="6" t="n">
        <f aca="false">3yr_Scenarios!W40</f>
        <v>60.5534125214664</v>
      </c>
      <c r="X67" s="6" t="n">
        <f aca="false">3yr_Scenarios!X40</f>
        <v>103.68995387964</v>
      </c>
      <c r="Y67" s="6" t="n">
        <f aca="false">3yr_Scenarios!Y40</f>
        <v>146.538944189011</v>
      </c>
      <c r="Z67" s="6" t="n">
        <f aca="false">3yr_Scenarios!Z40</f>
        <v>60.5534125214664</v>
      </c>
      <c r="AA67" s="6" t="n">
        <f aca="false">3yr_Scenarios!AA40</f>
        <v>89.808966578129</v>
      </c>
      <c r="AB67" s="6" t="n">
        <f aca="false">3yr_Scenarios!AB40</f>
        <v>108.77649011739</v>
      </c>
    </row>
    <row r="68" customFormat="false" ht="15" hidden="false" customHeight="false" outlineLevel="0" collapsed="false">
      <c r="A68" s="0" t="s">
        <v>132</v>
      </c>
      <c r="B68" s="6" t="n">
        <f aca="false">3yr_Scenarios!B51</f>
        <v>-13.0190962801152</v>
      </c>
      <c r="C68" s="6" t="n">
        <f aca="false">3yr_Scenarios!C51</f>
        <v>-7.20635929127031</v>
      </c>
      <c r="D68" s="6" t="n">
        <f aca="false">3yr_Scenarios!D51</f>
        <v>-9.64064183343418</v>
      </c>
      <c r="E68" s="6" t="n">
        <f aca="false">3yr_Scenarios!E51</f>
        <v>6.75605349504379</v>
      </c>
      <c r="F68" s="6" t="n">
        <f aca="false">3yr_Scenarios!F51</f>
        <v>16.5198449708367</v>
      </c>
      <c r="G68" s="6" t="n">
        <f aca="false">3yr_Scenarios!G51</f>
        <v>43.6086116411041</v>
      </c>
      <c r="H68" s="6" t="n">
        <f aca="false">3yr_Scenarios!H51</f>
        <v>37.1931011947186</v>
      </c>
      <c r="I68" s="6" t="n">
        <f aca="false">3yr_Scenarios!I51</f>
        <v>96.3766792193441</v>
      </c>
      <c r="J68" s="6" t="n">
        <f aca="false">3yr_Scenarios!J51</f>
        <v>162.74302052359</v>
      </c>
      <c r="K68" s="6" t="n">
        <f aca="false">3yr_Scenarios!K51</f>
        <v>-0.753743585203637</v>
      </c>
      <c r="L68" s="6" t="n">
        <f aca="false">3yr_Scenarios!L51</f>
        <v>11.965879453679</v>
      </c>
      <c r="M68" s="6" t="n">
        <f aca="false">3yr_Scenarios!M51</f>
        <v>41.6455998613381</v>
      </c>
      <c r="N68" s="6" t="n">
        <f aca="false">3yr_Scenarios!N51</f>
        <v>-2.81881419978914</v>
      </c>
      <c r="O68" s="6" t="n">
        <f aca="false">3yr_Scenarios!O51</f>
        <v>16.2912845304904</v>
      </c>
      <c r="P68" s="6" t="n">
        <f aca="false">3yr_Scenarios!P51</f>
        <v>39.2612509010652</v>
      </c>
      <c r="Q68" s="6" t="n">
        <f aca="false">3yr_Scenarios!Q51</f>
        <v>-2.81881419978914</v>
      </c>
      <c r="R68" s="6" t="n">
        <f aca="false">3yr_Scenarios!R51</f>
        <v>8.29844285013424</v>
      </c>
      <c r="S68" s="6" t="n">
        <f aca="false">3yr_Scenarios!S51</f>
        <v>24.7172771596319</v>
      </c>
      <c r="T68" s="6" t="n">
        <f aca="false">3yr_Scenarios!T51</f>
        <v>-2.81881419978914</v>
      </c>
      <c r="U68" s="6" t="n">
        <f aca="false">3yr_Scenarios!U51</f>
        <v>11.9944028923002</v>
      </c>
      <c r="V68" s="6" t="n">
        <f aca="false">3yr_Scenarios!V51</f>
        <v>32.194754758014</v>
      </c>
      <c r="W68" s="6" t="n">
        <f aca="false">3yr_Scenarios!W51</f>
        <v>-2.81881419978914</v>
      </c>
      <c r="X68" s="6" t="n">
        <f aca="false">3yr_Scenarios!X51</f>
        <v>7.69752125410999</v>
      </c>
      <c r="Y68" s="6" t="n">
        <f aca="false">3yr_Scenarios!Y51</f>
        <v>25.1282586149628</v>
      </c>
      <c r="Z68" s="6" t="n">
        <f aca="false">3yr_Scenarios!Z51</f>
        <v>-2.81881419978914</v>
      </c>
      <c r="AA68" s="6" t="n">
        <f aca="false">3yr_Scenarios!AA51</f>
        <v>-0.503007910636143</v>
      </c>
      <c r="AB68" s="6" t="n">
        <f aca="false">3yr_Scenarios!AB51</f>
        <v>-0.426547027498032</v>
      </c>
    </row>
    <row r="69" customFormat="false" ht="15" hidden="false" customHeight="false" outlineLevel="0" collapsed="false">
      <c r="A69" s="0" t="s">
        <v>133</v>
      </c>
      <c r="B69" s="8" t="n">
        <f aca="false">3yr_Scenarios!B52</f>
        <v>-0.739759843706448</v>
      </c>
      <c r="C69" s="8" t="n">
        <f aca="false">3yr_Scenarios!C52</f>
        <v>-0.270491721219552</v>
      </c>
      <c r="D69" s="8" t="n">
        <f aca="false">3yr_Scenarios!D52</f>
        <v>-0.262993788864382</v>
      </c>
      <c r="E69" s="8" t="n">
        <f aca="false">3yr_Scenarios!E52</f>
        <v>0.0952011284794114</v>
      </c>
      <c r="F69" s="8" t="n">
        <f aca="false">3yr_Scenarios!F52</f>
        <v>0.139038779845552</v>
      </c>
      <c r="G69" s="8" t="n">
        <f aca="false">3yr_Scenarios!G52</f>
        <v>0.263483478317575</v>
      </c>
      <c r="H69" s="8" t="n">
        <f aca="false">3yr_Scenarios!H52</f>
        <v>0.275946614547147</v>
      </c>
      <c r="I69" s="8" t="n">
        <f aca="false">3yr_Scenarios!I52</f>
        <v>0.408946796468833</v>
      </c>
      <c r="J69" s="8" t="n">
        <f aca="false">3yr_Scenarios!J52</f>
        <v>0.486319769270799</v>
      </c>
      <c r="K69" s="8" t="n">
        <f aca="false">3yr_Scenarios!K52</f>
        <v>-0.0112929787964216</v>
      </c>
      <c r="L69" s="8" t="n">
        <f aca="false">3yr_Scenarios!L52</f>
        <v>0.103063559651275</v>
      </c>
      <c r="M69" s="8" t="n">
        <f aca="false">3yr_Scenarios!M52</f>
        <v>0.251382711014646</v>
      </c>
      <c r="N69" s="8" t="n">
        <f aca="false">3yr_Scenarios!N52</f>
        <v>-0.0465508727322322</v>
      </c>
      <c r="O69" s="8" t="n">
        <f aca="false">3yr_Scenarios!O52</f>
        <v>0.143257692356148</v>
      </c>
      <c r="P69" s="8" t="n">
        <f aca="false">3yr_Scenarios!P52</f>
        <v>0.241009403384156</v>
      </c>
      <c r="Q69" s="8" t="n">
        <f aca="false">3yr_Scenarios!Q52</f>
        <v>-0.0465508727322322</v>
      </c>
      <c r="R69" s="8" t="n">
        <f aca="false">3yr_Scenarios!R52</f>
        <v>0.078764810237051</v>
      </c>
      <c r="S69" s="8" t="n">
        <f aca="false">3yr_Scenarios!S52</f>
        <v>0.167363646770367</v>
      </c>
      <c r="T69" s="8" t="n">
        <f aca="false">3yr_Scenarios!T52</f>
        <v>-0.0465508727322322</v>
      </c>
      <c r="U69" s="8" t="n">
        <f aca="false">3yr_Scenarios!U52</f>
        <v>0.110338970872241</v>
      </c>
      <c r="V69" s="8" t="n">
        <f aca="false">3yr_Scenarios!V52</f>
        <v>0.208082413479048</v>
      </c>
      <c r="W69" s="8" t="n">
        <f aca="false">3yr_Scenarios!W52</f>
        <v>-0.0465508727322322</v>
      </c>
      <c r="X69" s="8" t="n">
        <f aca="false">3yr_Scenarios!X52</f>
        <v>0.0742359405718803</v>
      </c>
      <c r="Y69" s="8" t="n">
        <f aca="false">3yr_Scenarios!Y52</f>
        <v>0.17147836538628</v>
      </c>
      <c r="Z69" s="8" t="n">
        <f aca="false">3yr_Scenarios!Z52</f>
        <v>-0.0465508727322322</v>
      </c>
      <c r="AA69" s="8" t="n">
        <f aca="false">3yr_Scenarios!AA52</f>
        <v>-0.00560086514522526</v>
      </c>
      <c r="AB69" s="8" t="n">
        <f aca="false">3yr_Scenarios!AB52</f>
        <v>-0.00392131633441846</v>
      </c>
    </row>
    <row r="70" customFormat="false" ht="15" hidden="false" customHeight="false" outlineLevel="0" collapsed="false">
      <c r="A70" s="0" t="s">
        <v>134</v>
      </c>
      <c r="B70" s="6" t="n">
        <f aca="false">3yr_Scenarios!B53</f>
        <v>-22.0190962801152</v>
      </c>
      <c r="C70" s="6" t="n">
        <f aca="false">3yr_Scenarios!C53</f>
        <v>-17.1063592912703</v>
      </c>
      <c r="D70" s="6" t="n">
        <f aca="false">3yr_Scenarios!D53</f>
        <v>-20.5306418334342</v>
      </c>
      <c r="E70" s="6" t="n">
        <f aca="false">3yr_Scenarios!E53</f>
        <v>-2.24394650495622</v>
      </c>
      <c r="F70" s="6" t="n">
        <f aca="false">3yr_Scenarios!F53</f>
        <v>6.79984497083667</v>
      </c>
      <c r="G70" s="6" t="n">
        <f aca="false">3yr_Scenarios!G53</f>
        <v>33.1110116411041</v>
      </c>
      <c r="H70" s="6" t="n">
        <f aca="false">3yr_Scenarios!H53</f>
        <v>28.1931011947186</v>
      </c>
      <c r="I70" s="6" t="n">
        <f aca="false">3yr_Scenarios!I53</f>
        <v>86.6566792193441</v>
      </c>
      <c r="J70" s="6" t="n">
        <f aca="false">3yr_Scenarios!J53</f>
        <v>152.24542052359</v>
      </c>
      <c r="K70" s="6" t="n">
        <f aca="false">3yr_Scenarios!K53</f>
        <v>-9.75374358520364</v>
      </c>
      <c r="L70" s="6" t="n">
        <f aca="false">3yr_Scenarios!L53</f>
        <v>2.24587945367901</v>
      </c>
      <c r="M70" s="6" t="n">
        <f aca="false">3yr_Scenarios!M53</f>
        <v>31.1479998613381</v>
      </c>
      <c r="N70" s="6" t="n">
        <f aca="false">3yr_Scenarios!N53</f>
        <v>-11.8188141997891</v>
      </c>
      <c r="O70" s="6" t="n">
        <f aca="false">3yr_Scenarios!O53</f>
        <v>6.57128453049042</v>
      </c>
      <c r="P70" s="6" t="n">
        <f aca="false">3yr_Scenarios!P53</f>
        <v>28.7636509010652</v>
      </c>
      <c r="Q70" s="6" t="n">
        <f aca="false">3yr_Scenarios!Q53</f>
        <v>-11.8188141997891</v>
      </c>
      <c r="R70" s="6" t="n">
        <f aca="false">3yr_Scenarios!R53</f>
        <v>-1.42155714986576</v>
      </c>
      <c r="S70" s="6" t="n">
        <f aca="false">3yr_Scenarios!S53</f>
        <v>14.2196771596319</v>
      </c>
      <c r="T70" s="6" t="n">
        <f aca="false">3yr_Scenarios!T53</f>
        <v>-11.8188141997891</v>
      </c>
      <c r="U70" s="6" t="n">
        <f aca="false">3yr_Scenarios!U53</f>
        <v>2.2744028923002</v>
      </c>
      <c r="V70" s="6" t="n">
        <f aca="false">3yr_Scenarios!V53</f>
        <v>21.697154758014</v>
      </c>
      <c r="W70" s="6" t="n">
        <f aca="false">3yr_Scenarios!W53</f>
        <v>-11.8188141997891</v>
      </c>
      <c r="X70" s="6" t="n">
        <f aca="false">3yr_Scenarios!X53</f>
        <v>-2.02247874589001</v>
      </c>
      <c r="Y70" s="6" t="n">
        <f aca="false">3yr_Scenarios!Y53</f>
        <v>14.6306586149628</v>
      </c>
      <c r="Z70" s="6" t="n">
        <f aca="false">3yr_Scenarios!Z53</f>
        <v>-11.8188141997891</v>
      </c>
      <c r="AA70" s="6" t="n">
        <f aca="false">3yr_Scenarios!AA53</f>
        <v>-10.2230079106361</v>
      </c>
      <c r="AB70" s="6" t="n">
        <f aca="false">3yr_Scenarios!AB53</f>
        <v>-10.924147027498</v>
      </c>
    </row>
    <row r="71" customFormat="false" ht="15" hidden="false" customHeight="false" outlineLevel="0" collapsed="false">
      <c r="A71" s="0" t="s">
        <v>135</v>
      </c>
      <c r="B71" s="10" t="n">
        <f aca="false">3yr_Scenarios!B19</f>
        <v>33.1370242805755</v>
      </c>
      <c r="C71" s="10" t="n">
        <f aca="false">3yr_Scenarios!C19</f>
        <v>38.9892949640288</v>
      </c>
      <c r="D71" s="10" t="n">
        <f aca="false">3yr_Scenarios!D19</f>
        <v>40.9387597122302</v>
      </c>
      <c r="E71" s="10" t="n">
        <f aca="false">3yr_Scenarios!E19</f>
        <v>89.3117228168619</v>
      </c>
      <c r="F71" s="10" t="n">
        <f aca="false">3yr_Scenarios!F19</f>
        <v>119.907027264889</v>
      </c>
      <c r="G71" s="10" t="n">
        <f aca="false">3yr_Scenarios!G19</f>
        <v>131.897729991378</v>
      </c>
      <c r="H71" s="10" t="n">
        <f aca="false">3yr_Scenarios!H19</f>
        <v>123.616323104723</v>
      </c>
      <c r="I71" s="10" t="n">
        <f aca="false">3yr_Scenarios!I19</f>
        <v>160.763301368008</v>
      </c>
      <c r="J71" s="10" t="n">
        <f aca="false">3yr_Scenarios!J19</f>
        <v>162.466079710404</v>
      </c>
      <c r="K71" s="10" t="n">
        <f aca="false">3yr_Scenarios!K19</f>
        <v>90.85354334035</v>
      </c>
      <c r="L71" s="10" t="n">
        <f aca="false">3yr_Scenarios!L19</f>
        <v>120.130613062783</v>
      </c>
      <c r="M71" s="10" t="n">
        <f aca="false">3yr_Scenarios!M19</f>
        <v>132.143674369061</v>
      </c>
      <c r="N71" s="10" t="n">
        <f aca="false">3yr_Scenarios!N19</f>
        <v>81.0218308581928</v>
      </c>
      <c r="O71" s="10" t="n">
        <f aca="false">3yr_Scenarios!O19</f>
        <v>116.225305647402</v>
      </c>
      <c r="P71" s="10" t="n">
        <f aca="false">3yr_Scenarios!P19</f>
        <v>127.847836212142</v>
      </c>
      <c r="Q71" s="10" t="n">
        <f aca="false">3yr_Scenarios!Q19</f>
        <v>81.0218308581928</v>
      </c>
      <c r="R71" s="10" t="n">
        <f aca="false">3yr_Scenarios!R19</f>
        <v>116.225305647402</v>
      </c>
      <c r="S71" s="10" t="n">
        <f aca="false">3yr_Scenarios!S19</f>
        <v>127.847836212142</v>
      </c>
      <c r="T71" s="10" t="n">
        <f aca="false">3yr_Scenarios!T19</f>
        <v>81.0218308581928</v>
      </c>
      <c r="U71" s="10" t="n">
        <f aca="false">3yr_Scenarios!U19</f>
        <v>107.508407723847</v>
      </c>
      <c r="V71" s="10" t="n">
        <f aca="false">3yr_Scenarios!V19</f>
        <v>115.063052590928</v>
      </c>
      <c r="W71" s="10" t="n">
        <f aca="false">3yr_Scenarios!W19</f>
        <v>81.0218308581928</v>
      </c>
      <c r="X71" s="10" t="n">
        <f aca="false">3yr_Scenarios!X19</f>
        <v>98.7915098002916</v>
      </c>
      <c r="Y71" s="10" t="n">
        <f aca="false">3yr_Scenarios!Y19</f>
        <v>102.278268969714</v>
      </c>
      <c r="Z71" s="10" t="n">
        <f aca="false">3yr_Scenarios!Z19</f>
        <v>81.0218308581928</v>
      </c>
      <c r="AA71" s="10" t="n">
        <f aca="false">3yr_Scenarios!AA19</f>
        <v>116.225305647402</v>
      </c>
      <c r="AB71" s="10" t="n">
        <f aca="false">3yr_Scenarios!AB19</f>
        <v>127.847836212142</v>
      </c>
    </row>
    <row r="72" customFormat="false" ht="15" hidden="false" customHeight="false" outlineLevel="0" collapsed="false">
      <c r="A72" s="0" t="s">
        <v>136</v>
      </c>
      <c r="B72" s="6" t="n">
        <f aca="false">3yr_Scenarios!B58</f>
        <v>14.90785608583</v>
      </c>
      <c r="C72" s="6" t="n">
        <f aca="false">3yr_Scenarios!C58</f>
        <v>25.1142153771003</v>
      </c>
      <c r="D72" s="6" t="n">
        <f aca="false">3yr_Scenarios!D58</f>
        <v>37.4548572105345</v>
      </c>
      <c r="E72" s="6" t="n">
        <f aca="false">3yr_Scenarios!E58</f>
        <v>24.5827086430661</v>
      </c>
      <c r="F72" s="6" t="n">
        <f aca="false">3yr_Scenarios!F58</f>
        <v>24.5827086430661</v>
      </c>
      <c r="G72" s="6" t="n">
        <f aca="false">3yr_Scenarios!G58</f>
        <v>24.5827086430661</v>
      </c>
      <c r="H72" s="6" t="n">
        <f aca="false">3yr_Scenarios!H58</f>
        <v>28.1045136588427</v>
      </c>
      <c r="I72" s="6" t="n">
        <f aca="false">3yr_Scenarios!I58</f>
        <v>28.1045136588427</v>
      </c>
      <c r="J72" s="6" t="n">
        <f aca="false">3yr_Scenarios!J58</f>
        <v>28.1045136588427</v>
      </c>
      <c r="K72" s="6" t="n">
        <f aca="false">3yr_Scenarios!K58</f>
        <v>26.5241981279978</v>
      </c>
      <c r="L72" s="6" t="n">
        <f aca="false">3yr_Scenarios!L58</f>
        <v>26.5241981279978</v>
      </c>
      <c r="M72" s="6" t="n">
        <f aca="false">3yr_Scenarios!M58</f>
        <v>26.5241981279978</v>
      </c>
      <c r="N72" s="6" t="n">
        <f aca="false">3yr_Scenarios!N58</f>
        <v>25.1833224604047</v>
      </c>
      <c r="O72" s="6" t="n">
        <f aca="false">3yr_Scenarios!O58</f>
        <v>25.1833224604047</v>
      </c>
      <c r="P72" s="6" t="n">
        <f aca="false">3yr_Scenarios!P58</f>
        <v>25.1833224604047</v>
      </c>
      <c r="Q72" s="6" t="n">
        <f aca="false">3yr_Scenarios!Q58</f>
        <v>25.1833224604047</v>
      </c>
      <c r="R72" s="6" t="n">
        <f aca="false">3yr_Scenarios!R58</f>
        <v>25.1833224604047</v>
      </c>
      <c r="S72" s="6" t="n">
        <f aca="false">3yr_Scenarios!S58</f>
        <v>25.1833224604047</v>
      </c>
      <c r="T72" s="6" t="n">
        <f aca="false">3yr_Scenarios!T58</f>
        <v>25.1833224604047</v>
      </c>
      <c r="U72" s="6" t="n">
        <f aca="false">3yr_Scenarios!U58</f>
        <v>25.1833224604047</v>
      </c>
      <c r="V72" s="6" t="n">
        <f aca="false">3yr_Scenarios!V58</f>
        <v>25.1833224604047</v>
      </c>
      <c r="W72" s="6" t="n">
        <f aca="false">3yr_Scenarios!W58</f>
        <v>25.1833224604047</v>
      </c>
      <c r="X72" s="6" t="n">
        <f aca="false">3yr_Scenarios!X58</f>
        <v>25.1833224604047</v>
      </c>
      <c r="Y72" s="6" t="n">
        <f aca="false">3yr_Scenarios!Y58</f>
        <v>25.1833224604047</v>
      </c>
      <c r="Z72" s="6" t="n">
        <f aca="false">3yr_Scenarios!Z58</f>
        <v>25.1833224604047</v>
      </c>
      <c r="AA72" s="6" t="n">
        <f aca="false">3yr_Scenarios!AA58</f>
        <v>26.0473095162812</v>
      </c>
      <c r="AB72" s="6" t="n">
        <f aca="false">3yr_Scenarios!AB58</f>
        <v>30.0738565437792</v>
      </c>
    </row>
    <row r="73" customFormat="false" ht="15" hidden="false" customHeight="false" outlineLevel="0" collapsed="false">
      <c r="A73" s="0" t="s">
        <v>137</v>
      </c>
      <c r="B73" s="6" t="n">
        <f aca="false">3yr_Scenarios!B57</f>
        <v>-14.90785608583</v>
      </c>
      <c r="C73" s="6" t="n">
        <f aca="false">3yr_Scenarios!C57</f>
        <v>-25.1142153771003</v>
      </c>
      <c r="D73" s="6" t="n">
        <f aca="false">3yr_Scenarios!D57</f>
        <v>-37.4548572105345</v>
      </c>
      <c r="E73" s="6" t="n">
        <f aca="false">3yr_Scenarios!E57</f>
        <v>-15.8882092168206</v>
      </c>
      <c r="F73" s="6" t="n">
        <f aca="false">3yr_Scenarios!F57</f>
        <v>-2.36836424598395</v>
      </c>
      <c r="G73" s="6" t="n">
        <f aca="false">3yr_Scenarios!G57</f>
        <v>37.6402473951201</v>
      </c>
      <c r="H73" s="6" t="n">
        <f aca="false">3yr_Scenarios!H57</f>
        <v>10.1531011947186</v>
      </c>
      <c r="I73" s="6" t="n">
        <f aca="false">3yr_Scenarios!I57</f>
        <v>101.529780414063</v>
      </c>
      <c r="J73" s="6" t="n">
        <f aca="false">3yr_Scenarios!J57</f>
        <v>256.172800937652</v>
      </c>
      <c r="K73" s="6" t="n">
        <f aca="false">3yr_Scenarios!K57</f>
        <v>-20.4750014743678</v>
      </c>
      <c r="L73" s="6" t="n">
        <f aca="false">3yr_Scenarios!L57</f>
        <v>-15.0091220206888</v>
      </c>
      <c r="M73" s="6" t="n">
        <f aca="false">3yr_Scenarios!M57</f>
        <v>23.0364778406493</v>
      </c>
      <c r="N73" s="6" t="n">
        <f aca="false">3yr_Scenarios!N57</f>
        <v>-22.544301605645</v>
      </c>
      <c r="O73" s="6" t="n">
        <f aca="false">3yr_Scenarios!O57</f>
        <v>-12.7530170751546</v>
      </c>
      <c r="P73" s="6" t="n">
        <f aca="false">3yr_Scenarios!P57</f>
        <v>22.9082338259106</v>
      </c>
      <c r="Q73" s="6" t="n">
        <f aca="false">3yr_Scenarios!Q57</f>
        <v>-22.544301605645</v>
      </c>
      <c r="R73" s="6" t="n">
        <f aca="false">3yr_Scenarios!R57</f>
        <v>-20.7458587555108</v>
      </c>
      <c r="S73" s="6" t="n">
        <f aca="false">3yr_Scenarios!S57</f>
        <v>0.371418404121084</v>
      </c>
      <c r="T73" s="6" t="n">
        <f aca="false">3yr_Scenarios!T57</f>
        <v>-22.544301605645</v>
      </c>
      <c r="U73" s="6" t="n">
        <f aca="false">3yr_Scenarios!U57</f>
        <v>-17.0498987133448</v>
      </c>
      <c r="V73" s="6" t="n">
        <f aca="false">3yr_Scenarios!V57</f>
        <v>11.5448560446692</v>
      </c>
      <c r="W73" s="6" t="n">
        <f aca="false">3yr_Scenarios!W57</f>
        <v>-22.544301605645</v>
      </c>
      <c r="X73" s="6" t="n">
        <f aca="false">3yr_Scenarios!X57</f>
        <v>-21.346780351535</v>
      </c>
      <c r="Y73" s="6" t="n">
        <f aca="false">3yr_Scenarios!Y57</f>
        <v>0.181478263427803</v>
      </c>
      <c r="Z73" s="6" t="n">
        <f aca="false">3yr_Scenarios!Z57</f>
        <v>-22.544301605645</v>
      </c>
      <c r="AA73" s="6" t="n">
        <f aca="false">3yr_Scenarios!AA57</f>
        <v>-26.0473095162812</v>
      </c>
      <c r="AB73" s="6" t="n">
        <f aca="false">3yr_Scenarios!AB57</f>
        <v>-30.0738565437792</v>
      </c>
    </row>
    <row r="75" customFormat="false" ht="15" hidden="false" customHeight="false" outlineLevel="0" collapsed="false">
      <c r="A75" s="18" t="s">
        <v>138</v>
      </c>
      <c r="B75" s="19"/>
      <c r="C75" s="19"/>
      <c r="D75" s="19"/>
      <c r="E75" s="19"/>
      <c r="F75" s="19"/>
      <c r="G75" s="19"/>
    </row>
    <row r="76" customFormat="false" ht="15" hidden="false" customHeight="false" outlineLevel="0" collapsed="false">
      <c r="A76" s="5" t="s">
        <v>139</v>
      </c>
      <c r="B76" s="5" t="s">
        <v>140</v>
      </c>
      <c r="C76" s="5" t="s">
        <v>141</v>
      </c>
    </row>
    <row r="77" customFormat="false" ht="15" hidden="false" customHeight="false" outlineLevel="0" collapsed="false">
      <c r="A77" s="3" t="s">
        <v>142</v>
      </c>
      <c r="B77" s="6" t="n">
        <f aca="false">3yr_Scenarios!P40</f>
        <v>162.903398580199</v>
      </c>
      <c r="C77" s="6" t="n">
        <f aca="false">3yr_Scenarios!P51</f>
        <v>39.2612509010652</v>
      </c>
    </row>
    <row r="78" customFormat="false" ht="15" hidden="false" customHeight="false" outlineLevel="0" collapsed="false">
      <c r="A78" s="21" t="s">
        <v>143</v>
      </c>
      <c r="B78" s="6" t="n">
        <f aca="false">-(3yr_Scenarios!P40-3yr_Scenarios!S40)</f>
        <v>-15.2173410844188</v>
      </c>
      <c r="C78" s="6" t="n">
        <f aca="false">-(3yr_Scenarios!P51-3yr_Scenarios!S51)</f>
        <v>-14.5439737414333</v>
      </c>
    </row>
    <row r="79" customFormat="false" ht="15" hidden="false" customHeight="false" outlineLevel="0" collapsed="false">
      <c r="A79" s="21" t="s">
        <v>144</v>
      </c>
      <c r="B79" s="6" t="n">
        <f aca="false">-3yr_Scenarios!S34</f>
        <v>-20.9604519774011</v>
      </c>
    </row>
    <row r="80" customFormat="false" ht="15" hidden="false" customHeight="false" outlineLevel="0" collapsed="false">
      <c r="A80" s="21" t="s">
        <v>145</v>
      </c>
      <c r="B80" s="6" t="n">
        <f aca="false">-3yr_Scenarios!S37</f>
        <v>-11.4330508474576</v>
      </c>
    </row>
    <row r="81" customFormat="false" ht="15" hidden="false" customHeight="false" outlineLevel="0" collapsed="false">
      <c r="A81" s="21" t="s">
        <v>146</v>
      </c>
      <c r="B81" s="6" t="n">
        <f aca="false">-3yr_Scenarios!S38</f>
        <v>-6.51606455353109</v>
      </c>
    </row>
    <row r="82" customFormat="false" ht="15" hidden="false" customHeight="false" outlineLevel="0" collapsed="false">
      <c r="A82" s="21" t="s">
        <v>147</v>
      </c>
      <c r="B82" s="6" t="n">
        <f aca="false">3yr_Scenarios!AB40-3yr_Scenarios!S40+3yr_Scenarios!S34+3yr_Scenarios!S37+3yr_Scenarios!S38</f>
        <v>0</v>
      </c>
    </row>
    <row r="83" customFormat="false" ht="15" hidden="false" customHeight="false" outlineLevel="0" collapsed="false">
      <c r="A83" s="3" t="s">
        <v>148</v>
      </c>
      <c r="B83" s="6" t="n">
        <f aca="false">3yr_Scenarios!AB40</f>
        <v>108.77649011739</v>
      </c>
      <c r="C83" s="6" t="n">
        <f aca="false">3yr_Scenarios!AB51</f>
        <v>-0.426547027498032</v>
      </c>
      <c r="D83" s="13" t="s">
        <v>149</v>
      </c>
      <c r="E83" s="6" t="n">
        <f aca="false">3yr_Scenarios!AB53</f>
        <v>-10.924147027498</v>
      </c>
    </row>
    <row r="84" customFormat="false" ht="15" hidden="false" customHeight="false" outlineLevel="0" collapsed="false">
      <c r="A84" s="21" t="s">
        <v>150</v>
      </c>
      <c r="B84" s="8" t="n">
        <f aca="false">1-3yr_Scenarios!AB40/3yr_Scenarios!P40</f>
        <v>0.332263838167633</v>
      </c>
    </row>
    <row r="86" customFormat="false" ht="15" hidden="false" customHeight="false" outlineLevel="0" collapsed="false">
      <c r="A86" s="18" t="s">
        <v>151</v>
      </c>
      <c r="B86" s="19"/>
      <c r="C86" s="19"/>
      <c r="D86" s="19"/>
      <c r="E86" s="19"/>
      <c r="F86" s="19"/>
      <c r="G86" s="19"/>
    </row>
    <row r="87" customFormat="false" ht="28.35" hidden="false" customHeight="false" outlineLevel="0" collapsed="false">
      <c r="A87" s="5" t="s">
        <v>103</v>
      </c>
      <c r="B87" s="5" t="s">
        <v>152</v>
      </c>
      <c r="C87" s="5" t="s">
        <v>153</v>
      </c>
      <c r="D87" s="5" t="s">
        <v>154</v>
      </c>
      <c r="E87" s="5" t="s">
        <v>155</v>
      </c>
      <c r="F87" s="5" t="s">
        <v>156</v>
      </c>
      <c r="G87" s="5" t="s">
        <v>157</v>
      </c>
    </row>
    <row r="88" customFormat="false" ht="15" hidden="false" customHeight="false" outlineLevel="0" collapsed="false">
      <c r="A88" s="0" t="s">
        <v>158</v>
      </c>
      <c r="B88" s="6" t="n">
        <f aca="false">Payback_IRR!B6/100000</f>
        <v>25.1833224604047</v>
      </c>
      <c r="C88" s="6" t="n">
        <f aca="false">Payback_IRR!C6/100000</f>
        <v>32.5631956973429</v>
      </c>
      <c r="D88" s="6" t="n">
        <f aca="false">Payback_IRR!D6/100000</f>
        <v>26.5241981279978</v>
      </c>
      <c r="E88" s="6" t="n">
        <f aca="false">Payback_IRR!E6/100000</f>
        <v>33.7291220206888</v>
      </c>
      <c r="F88" s="6" t="n">
        <f aca="false">Payback_IRR!F6/100000</f>
        <v>38.1269505987753</v>
      </c>
      <c r="G88" s="6" t="n">
        <f aca="false">Payback_IRR!G6/100000</f>
        <v>90.9263592387753</v>
      </c>
    </row>
    <row r="89" customFormat="false" ht="15" hidden="false" customHeight="false" outlineLevel="0" collapsed="false">
      <c r="A89" s="0" t="s">
        <v>159</v>
      </c>
      <c r="B89" s="0" t="n">
        <f aca="false">Payback_IRR!B7</f>
        <v>9</v>
      </c>
      <c r="C89" s="0" t="n">
        <f aca="false">Payback_IRR!C7</f>
        <v>10</v>
      </c>
      <c r="D89" s="0" t="n">
        <f aca="false">Payback_IRR!D7</f>
        <v>6</v>
      </c>
      <c r="E89" s="0" t="n">
        <f aca="false">Payback_IRR!E7</f>
        <v>24</v>
      </c>
      <c r="F89" s="0" t="n">
        <f aca="false">Payback_IRR!F7</f>
        <v>60</v>
      </c>
      <c r="G89" s="0" t="n">
        <f aca="false">Payback_IRR!G7</f>
        <v>60</v>
      </c>
    </row>
    <row r="90" customFormat="false" ht="15" hidden="false" customHeight="false" outlineLevel="0" collapsed="false">
      <c r="A90" s="0" t="s">
        <v>160</v>
      </c>
      <c r="B90" s="0" t="n">
        <f aca="false">Payback_IRR!B8</f>
        <v>29</v>
      </c>
      <c r="C90" s="0" t="n">
        <f aca="false">Payback_IRR!C8</f>
        <v>40</v>
      </c>
      <c r="D90" s="0" t="n">
        <f aca="false">Payback_IRR!D8</f>
        <v>29</v>
      </c>
      <c r="E90" s="0" t="n">
        <f aca="false">Payback_IRR!E8</f>
        <v>39</v>
      </c>
      <c r="F90" s="0" t="str">
        <f aca="false">Payback_IRR!F8</f>
        <v>beyond M60</v>
      </c>
      <c r="G90" s="0" t="str">
        <f aca="false">Payback_IRR!G8</f>
        <v>beyond M60</v>
      </c>
    </row>
    <row r="91" customFormat="false" ht="15" hidden="false" customHeight="false" outlineLevel="0" collapsed="false">
      <c r="A91" s="0" t="s">
        <v>161</v>
      </c>
      <c r="B91" s="6" t="n">
        <f aca="false">Payback_IRR!B9/100000</f>
        <v>22.9082338259106</v>
      </c>
      <c r="C91" s="6" t="n">
        <f aca="false">Payback_IRR!C9/100000</f>
        <v>-6.30936617408943</v>
      </c>
      <c r="D91" s="6" t="n">
        <f aca="false">Payback_IRR!D9/100000</f>
        <v>23.0364778406493</v>
      </c>
      <c r="E91" s="6" t="n">
        <f aca="false">Payback_IRR!E9/100000</f>
        <v>-6.18112215935075</v>
      </c>
      <c r="F91" s="6" t="n">
        <f aca="false">Payback_IRR!F9/100000</f>
        <v>-30.0738565437792</v>
      </c>
      <c r="G91" s="6" t="n">
        <f aca="false">Payback_IRR!G9/100000</f>
        <v>-59.2914565437792</v>
      </c>
    </row>
    <row r="92" customFormat="false" ht="15" hidden="false" customHeight="false" outlineLevel="0" collapsed="false">
      <c r="A92" s="0" t="s">
        <v>162</v>
      </c>
      <c r="B92" s="6" t="n">
        <f aca="false">Payback_IRR!B10/100000</f>
        <v>94.2307356280409</v>
      </c>
      <c r="C92" s="6" t="n">
        <f aca="false">Payback_IRR!C10/100000</f>
        <v>41.431326988041</v>
      </c>
      <c r="D92" s="6" t="n">
        <f aca="false">Payback_IRR!D10/100000</f>
        <v>99.1276775633254</v>
      </c>
      <c r="E92" s="6" t="n">
        <f aca="false">Payback_IRR!E10/100000</f>
        <v>46.3282689233254</v>
      </c>
      <c r="F92" s="6" t="n">
        <f aca="false">Payback_IRR!F10/100000</f>
        <v>-38.1269505987753</v>
      </c>
      <c r="G92" s="6" t="n">
        <f aca="false">Payback_IRR!G10/100000</f>
        <v>-90.9263592387753</v>
      </c>
    </row>
    <row r="93" customFormat="false" ht="15" hidden="false" customHeight="false" outlineLevel="0" collapsed="false">
      <c r="A93" s="0" t="s">
        <v>163</v>
      </c>
      <c r="B93" s="8" t="n">
        <f aca="false">Payback_IRR!B11</f>
        <v>0.462322433593038</v>
      </c>
      <c r="C93" s="8" t="n">
        <f aca="false">Payback_IRR!C11</f>
        <v>-0.10228643865538</v>
      </c>
      <c r="D93" s="8" t="n">
        <f aca="false">Payback_IRR!D11</f>
        <v>0.424017436356245</v>
      </c>
      <c r="E93" s="8" t="n">
        <f aca="false">Payback_IRR!E11</f>
        <v>-0.0940025654745872</v>
      </c>
      <c r="F93" s="8" t="str">
        <f aca="false">Payback_IRR!F11</f>
        <v>n/m</v>
      </c>
      <c r="G93" s="8" t="str">
        <f aca="false">Payback_IRR!G11</f>
        <v>n/m</v>
      </c>
    </row>
    <row r="94" customFormat="false" ht="15" hidden="false" customHeight="false" outlineLevel="0" collapsed="false">
      <c r="A94" s="0" t="s">
        <v>164</v>
      </c>
      <c r="B94" s="8" t="n">
        <f aca="false">Payback_IRR!B12</f>
        <v>0.866932888250671</v>
      </c>
      <c r="C94" s="8" t="n">
        <f aca="false">Payback_IRR!C12</f>
        <v>0.329040367579717</v>
      </c>
      <c r="D94" s="8" t="n">
        <f aca="false">Payback_IRR!D12</f>
        <v>0.827296464155021</v>
      </c>
      <c r="E94" s="8" t="n">
        <f aca="false">Payback_IRR!E12</f>
        <v>0.340381912086921</v>
      </c>
      <c r="F94" s="8" t="str">
        <f aca="false">Payback_IRR!F12</f>
        <v>n/m</v>
      </c>
      <c r="G94" s="8" t="str">
        <f aca="false">Payback_IRR!G12</f>
        <v>n/m</v>
      </c>
    </row>
    <row r="95" customFormat="false" ht="15" hidden="false" customHeight="false" outlineLevel="0" collapsed="false">
      <c r="A95" s="0" t="s">
        <v>165</v>
      </c>
      <c r="B95" s="6" t="n">
        <f aca="false">Payback_IRR!B13/100000</f>
        <v>4.81667753959533</v>
      </c>
      <c r="C95" s="6" t="n">
        <f aca="false">Payback_IRR!C13/100000</f>
        <v>-2.56319569734285</v>
      </c>
      <c r="D95" s="6" t="n">
        <f aca="false">Payback_IRR!D13/100000</f>
        <v>3.47580187200224</v>
      </c>
      <c r="E95" s="6" t="n">
        <f aca="false">Payback_IRR!E13/100000</f>
        <v>-3.7291220206888</v>
      </c>
      <c r="F95" s="6" t="n">
        <f aca="false">Payback_IRR!F13/100000</f>
        <v>-8.12695059877526</v>
      </c>
      <c r="G95" s="6" t="n">
        <f aca="false">Payback_IRR!G13/100000</f>
        <v>-60.9263592387753</v>
      </c>
    </row>
    <row r="96" customFormat="false" ht="15" hidden="false" customHeight="false" outlineLevel="0" collapsed="false">
      <c r="A96" s="0" t="s">
        <v>166</v>
      </c>
      <c r="B96" s="6" t="n">
        <f aca="false">Payback_IRR!B14/100000</f>
        <v>9.81667753959533</v>
      </c>
      <c r="C96" s="6" t="n">
        <f aca="false">Payback_IRR!C14/100000</f>
        <v>2.43680430265715</v>
      </c>
      <c r="D96" s="6" t="n">
        <f aca="false">Payback_IRR!D14/100000</f>
        <v>8.47580187200224</v>
      </c>
      <c r="E96" s="6" t="n">
        <f aca="false">Payback_IRR!E14/100000</f>
        <v>1.2708779793112</v>
      </c>
      <c r="F96" s="6" t="n">
        <f aca="false">Payback_IRR!F14/100000</f>
        <v>-3.12695059877526</v>
      </c>
      <c r="G96" s="6" t="n">
        <f aca="false">Payback_IRR!G14/100000</f>
        <v>-55.9263592387753</v>
      </c>
    </row>
    <row r="98" customFormat="false" ht="15" hidden="false" customHeight="false" outlineLevel="0" collapsed="false">
      <c r="A98" s="18" t="s">
        <v>167</v>
      </c>
      <c r="B98" s="19"/>
      <c r="C98" s="19"/>
      <c r="D98" s="19"/>
      <c r="E98" s="19"/>
      <c r="F98" s="19"/>
      <c r="G98" s="19"/>
    </row>
    <row r="99" customFormat="false" ht="15" hidden="false" customHeight="false" outlineLevel="0" collapsed="false">
      <c r="A99" s="0" t="str">
        <f aca="false">Sensitivity!A6</f>
        <v>Conversion (all routes; low = founder step-back ÷1.25)</v>
      </c>
      <c r="B99" s="6" t="n">
        <f aca="false">Sensitivity!F6/100000</f>
        <v>12.5769497766861</v>
      </c>
      <c r="C99" s="13" t="n">
        <f aca="false">Sensitivity!G6</f>
        <v>2</v>
      </c>
      <c r="D99" s="0" t="str">
        <f aca="false">Sensitivity!L6</f>
        <v>███████████████████</v>
      </c>
    </row>
    <row r="100" customFormat="false" ht="15" hidden="false" customHeight="false" outlineLevel="0" collapsed="false">
      <c r="A100" s="0" t="str">
        <f aca="false">Sensitivity!A7</f>
        <v>Fees (all products)</v>
      </c>
      <c r="B100" s="6" t="n">
        <f aca="false">Sensitivity!F7/100000</f>
        <v>19.695861079745</v>
      </c>
      <c r="C100" s="13" t="n">
        <f aca="false">Sensitivity!G7</f>
        <v>1</v>
      </c>
      <c r="D100" s="0" t="str">
        <f aca="false">Sensitivity!L7</f>
        <v>██████████████████████████████</v>
      </c>
    </row>
    <row r="101" customFormat="false" ht="15" hidden="false" customHeight="false" outlineLevel="0" collapsed="false">
      <c r="A101" s="0" t="str">
        <f aca="false">Sensitivity!A8</f>
        <v>Cohort fill (students per batch 8 vs 12)</v>
      </c>
      <c r="B101" s="6" t="n">
        <f aca="false">Sensitivity!F8/100000</f>
        <v>0.72</v>
      </c>
      <c r="C101" s="13" t="n">
        <f aca="false">Sensitivity!G8</f>
        <v>8</v>
      </c>
      <c r="D101" s="0" t="str">
        <f aca="false">Sensitivity!L8</f>
        <v>█</v>
      </c>
    </row>
    <row r="102" customFormat="false" ht="15" hidden="false" customHeight="false" outlineLevel="0" collapsed="false">
      <c r="A102" s="0" t="str">
        <f aca="false">Sensitivity!A9</f>
        <v>CPL / CAC (paid routes)</v>
      </c>
      <c r="B102" s="6" t="n">
        <f aca="false">Sensitivity!F9/100000</f>
        <v>2.48296478143673</v>
      </c>
      <c r="C102" s="13" t="n">
        <f aca="false">Sensitivity!G9</f>
        <v>6</v>
      </c>
      <c r="D102" s="0" t="str">
        <f aca="false">Sensitivity!L9</f>
        <v>████</v>
      </c>
    </row>
    <row r="103" customFormat="false" ht="15" hidden="false" customHeight="false" outlineLevel="0" collapsed="false">
      <c r="A103" s="0" t="str">
        <f aca="false">Sensitivity!A10</f>
        <v>Variable delivery cost (kit, consumables)</v>
      </c>
      <c r="B103" s="6" t="n">
        <f aca="false">Sensitivity!F10/100000</f>
        <v>5.09174706326985</v>
      </c>
      <c r="C103" s="13" t="n">
        <f aca="false">Sensitivity!G10</f>
        <v>5</v>
      </c>
      <c r="D103" s="0" t="str">
        <f aca="false">Sensitivity!L10</f>
        <v>████████</v>
      </c>
    </row>
    <row r="104" customFormat="false" ht="15" hidden="false" customHeight="false" outlineLevel="0" collapsed="false">
      <c r="A104" s="0" t="str">
        <f aca="false">Sensitivity!A11</f>
        <v>Rent (₹130 vs ₹47 per sq ft vs ₹80)</v>
      </c>
      <c r="B104" s="6" t="n">
        <f aca="false">Sensitivity!F11/100000</f>
        <v>6.505125</v>
      </c>
      <c r="C104" s="13" t="n">
        <f aca="false">Sensitivity!G11</f>
        <v>4</v>
      </c>
      <c r="D104" s="0" t="str">
        <f aca="false">Sensitivity!L11</f>
        <v>██████████</v>
      </c>
    </row>
    <row r="105" customFormat="false" ht="15" hidden="false" customHeight="false" outlineLevel="0" collapsed="false">
      <c r="A105" s="0" t="str">
        <f aca="false">Sensitivity!A12</f>
        <v>Paid-media budget ±30% (target held: extra budget cannot exceed target/capacity)</v>
      </c>
      <c r="B105" s="6" t="n">
        <f aca="false">Sensitivity!F12/100000</f>
        <v>1.06995641011</v>
      </c>
      <c r="C105" s="13" t="n">
        <f aca="false">Sensitivity!G12</f>
        <v>7</v>
      </c>
      <c r="D105" s="0" t="str">
        <f aca="false">Sensitivity!L12</f>
        <v>██</v>
      </c>
    </row>
    <row r="106" customFormat="false" ht="15" hidden="false" customHeight="false" outlineLevel="0" collapsed="false">
      <c r="A106" s="0" t="str">
        <f aca="false">Sensitivity!A13</f>
        <v>GST charged on top of list fees (vs absorbed in quoted fee)</v>
      </c>
      <c r="B106" s="6" t="n">
        <f aca="false">Sensitivity!F13/100000</f>
        <v>10.8647026297553</v>
      </c>
      <c r="C106" s="13" t="n">
        <f aca="false">Sensitivity!G13</f>
        <v>3</v>
      </c>
      <c r="D106" s="0" t="str">
        <f aca="false">Sensitivity!L13</f>
        <v>█████████████████</v>
      </c>
    </row>
    <row r="108" customFormat="false" ht="15" hidden="false" customHeight="false" outlineLevel="0" collapsed="false">
      <c r="A108" s="3" t="s">
        <v>168</v>
      </c>
    </row>
    <row r="109" customFormat="false" ht="15" hidden="false" customHeight="false" outlineLevel="0" collapsed="false">
      <c r="A109" s="0" t="s">
        <v>169</v>
      </c>
      <c r="B109" s="6" t="n">
        <f aca="false">Sensitivity!E20/100000</f>
        <v>-0.824338674192435</v>
      </c>
    </row>
    <row r="110" customFormat="false" ht="15" hidden="false" customHeight="false" outlineLevel="0" collapsed="false">
      <c r="A110" s="0" t="s">
        <v>170</v>
      </c>
      <c r="B110" s="6" t="n">
        <f aca="false">Sensitivity!E21/100000</f>
        <v>-1.96699901584214</v>
      </c>
    </row>
    <row r="111" customFormat="false" ht="15" hidden="false" customHeight="false" outlineLevel="0" collapsed="false">
      <c r="A111" s="0" t="s">
        <v>171</v>
      </c>
      <c r="B111" s="6" t="n">
        <f aca="false">Sensitivity!E22/100000</f>
        <v>-2.5167991366618</v>
      </c>
    </row>
    <row r="112" customFormat="false" ht="15" hidden="false" customHeight="false" outlineLevel="0" collapsed="false">
      <c r="A112" s="0" t="s">
        <v>172</v>
      </c>
      <c r="B112" s="6" t="n">
        <f aca="false">Sensitivity!E23/100000</f>
        <v>-5.90101009642373</v>
      </c>
    </row>
    <row r="113" customFormat="false" ht="15" hidden="false" customHeight="false" outlineLevel="0" collapsed="false">
      <c r="A113" s="0" t="s">
        <v>173</v>
      </c>
      <c r="B113" s="6" t="n">
        <f aca="false">Sensitivity!E24/100000</f>
        <v>-1.65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174</v>
      </c>
    </row>
    <row r="2" customFormat="false" ht="15" hidden="false" customHeight="false" outlineLevel="0" collapsed="false">
      <c r="A2" s="2" t="s">
        <v>175</v>
      </c>
    </row>
    <row r="3" customFormat="false" ht="15" hidden="false" customHeight="false" outlineLevel="0" collapsed="false">
      <c r="A3" s="3" t="s">
        <v>176</v>
      </c>
      <c r="C3" s="22" t="s">
        <v>28</v>
      </c>
      <c r="D3" s="2" t="s">
        <v>177</v>
      </c>
    </row>
    <row r="4" customFormat="false" ht="15" hidden="false" customHeight="false" outlineLevel="0" collapsed="false">
      <c r="A4" s="0" t="s">
        <v>178</v>
      </c>
      <c r="C4" s="3" t="n">
        <f aca="false">MATCH($C$3,$K$4:$M$4,0)</f>
        <v>2</v>
      </c>
      <c r="K4" s="2" t="s">
        <v>27</v>
      </c>
      <c r="L4" s="2" t="s">
        <v>28</v>
      </c>
      <c r="M4" s="2" t="s">
        <v>29</v>
      </c>
    </row>
    <row r="5" customFormat="false" ht="15" hidden="false" customHeight="false" outlineLevel="0" collapsed="false">
      <c r="A5" s="3" t="s">
        <v>179</v>
      </c>
      <c r="C5" s="2" t="s">
        <v>180</v>
      </c>
      <c r="D5" s="22" t="n">
        <v>0</v>
      </c>
      <c r="E5" s="2" t="s">
        <v>181</v>
      </c>
      <c r="F5" s="22" t="n">
        <v>9</v>
      </c>
      <c r="G5" s="2" t="s">
        <v>182</v>
      </c>
      <c r="H5" s="22" t="n">
        <v>1</v>
      </c>
      <c r="I5" s="2" t="s">
        <v>183</v>
      </c>
      <c r="J5" s="22" t="n">
        <v>1</v>
      </c>
      <c r="K5" s="2" t="s">
        <v>184</v>
      </c>
      <c r="L5" s="22" t="n">
        <v>0</v>
      </c>
      <c r="M5" s="2" t="s">
        <v>185</v>
      </c>
      <c r="N5" s="22" t="n">
        <v>99</v>
      </c>
      <c r="O5" s="2" t="s">
        <v>186</v>
      </c>
      <c r="P5" s="22" t="n">
        <v>0</v>
      </c>
    </row>
    <row r="6" customFormat="false" ht="15" hidden="false" customHeight="false" outlineLevel="0" collapsed="false">
      <c r="A6" s="5" t="s">
        <v>187</v>
      </c>
      <c r="B6" s="5" t="s">
        <v>188</v>
      </c>
      <c r="C6" s="5" t="s">
        <v>27</v>
      </c>
      <c r="D6" s="5" t="s">
        <v>28</v>
      </c>
      <c r="E6" s="5" t="s">
        <v>29</v>
      </c>
      <c r="F6" s="5" t="s">
        <v>189</v>
      </c>
      <c r="G6" s="5" t="s">
        <v>190</v>
      </c>
      <c r="H6" s="5" t="s">
        <v>191</v>
      </c>
      <c r="I6" s="5" t="s">
        <v>192</v>
      </c>
      <c r="J6" s="23" t="s">
        <v>193</v>
      </c>
    </row>
    <row r="8" customFormat="false" ht="15" hidden="false" customHeight="false" outlineLevel="0" collapsed="false">
      <c r="A8" s="18" t="s">
        <v>194</v>
      </c>
      <c r="B8" s="19"/>
      <c r="C8" s="19"/>
      <c r="D8" s="19"/>
      <c r="E8" s="19"/>
      <c r="F8" s="19"/>
      <c r="G8" s="19"/>
      <c r="H8" s="19"/>
      <c r="I8" s="19"/>
    </row>
    <row r="9" customFormat="false" ht="15" hidden="false" customHeight="false" outlineLevel="0" collapsed="false">
      <c r="A9" s="3" t="s">
        <v>195</v>
      </c>
      <c r="B9" s="4" t="s">
        <v>196</v>
      </c>
      <c r="C9" s="24" t="n">
        <v>30</v>
      </c>
      <c r="D9" s="24" t="n">
        <v>50</v>
      </c>
      <c r="E9" s="24" t="n">
        <v>60</v>
      </c>
      <c r="F9" s="13" t="s">
        <v>197</v>
      </c>
      <c r="G9" s="4" t="s">
        <v>198</v>
      </c>
      <c r="H9" s="13" t="s">
        <v>199</v>
      </c>
      <c r="I9" s="25" t="n">
        <f aca="false">INDEX(C9:E9,$C$4)</f>
        <v>50</v>
      </c>
      <c r="J9" s="13" t="s">
        <v>200</v>
      </c>
    </row>
    <row r="10" customFormat="false" ht="15" hidden="false" customHeight="false" outlineLevel="0" collapsed="false">
      <c r="A10" s="3" t="s">
        <v>201</v>
      </c>
      <c r="B10" s="4" t="s">
        <v>202</v>
      </c>
      <c r="C10" s="26" t="n">
        <v>40000</v>
      </c>
      <c r="D10" s="26" t="n">
        <v>60000</v>
      </c>
      <c r="E10" s="26" t="n">
        <v>75000</v>
      </c>
      <c r="F10" s="13" t="s">
        <v>203</v>
      </c>
      <c r="G10" s="4" t="s">
        <v>204</v>
      </c>
      <c r="H10" s="13" t="s">
        <v>205</v>
      </c>
      <c r="I10" s="27" t="n">
        <f aca="false">INDEX(C10:E10,$C$4)</f>
        <v>60000</v>
      </c>
      <c r="J10" s="13" t="s">
        <v>200</v>
      </c>
    </row>
    <row r="11" customFormat="false" ht="15" hidden="false" customHeight="false" outlineLevel="0" collapsed="false">
      <c r="A11" s="3" t="s">
        <v>206</v>
      </c>
      <c r="B11" s="4" t="s">
        <v>207</v>
      </c>
      <c r="C11" s="26" t="n">
        <v>1000000</v>
      </c>
      <c r="D11" s="26" t="n">
        <v>3000000</v>
      </c>
      <c r="E11" s="26" t="n">
        <v>5000000</v>
      </c>
      <c r="F11" s="13" t="s">
        <v>203</v>
      </c>
      <c r="G11" s="4" t="s">
        <v>208</v>
      </c>
      <c r="H11" s="13" t="s">
        <v>199</v>
      </c>
      <c r="I11" s="27" t="n">
        <f aca="false">INDEX(C11:E11,$C$4)</f>
        <v>3000000</v>
      </c>
      <c r="J11" s="13" t="s">
        <v>209</v>
      </c>
    </row>
    <row r="12" customFormat="false" ht="15" hidden="false" customHeight="false" outlineLevel="0" collapsed="false">
      <c r="A12" s="3" t="s">
        <v>210</v>
      </c>
      <c r="B12" s="4" t="s">
        <v>211</v>
      </c>
      <c r="C12" s="28" t="n">
        <v>0.6</v>
      </c>
      <c r="D12" s="28" t="n">
        <v>0.6</v>
      </c>
      <c r="E12" s="28" t="n">
        <v>0.6</v>
      </c>
      <c r="F12" s="13" t="s">
        <v>212</v>
      </c>
      <c r="G12" s="4" t="s">
        <v>213</v>
      </c>
      <c r="H12" s="13" t="s">
        <v>205</v>
      </c>
      <c r="I12" s="29" t="n">
        <f aca="false">INDEX(C12:E12,$C$4)</f>
        <v>0.6</v>
      </c>
      <c r="J12" s="13" t="s">
        <v>200</v>
      </c>
    </row>
    <row r="13" customFormat="false" ht="15" hidden="false" customHeight="false" outlineLevel="0" collapsed="false">
      <c r="A13" s="3" t="s">
        <v>214</v>
      </c>
      <c r="B13" s="4" t="s">
        <v>215</v>
      </c>
      <c r="C13" s="26" t="n">
        <v>6000</v>
      </c>
      <c r="D13" s="26" t="n">
        <v>8000</v>
      </c>
      <c r="E13" s="26" t="n">
        <v>10000</v>
      </c>
      <c r="F13" s="13" t="s">
        <v>203</v>
      </c>
      <c r="G13" s="4" t="s">
        <v>216</v>
      </c>
      <c r="H13" s="13" t="s">
        <v>205</v>
      </c>
      <c r="I13" s="27" t="n">
        <f aca="false">INDEX(C13:E13,$C$4)</f>
        <v>8000</v>
      </c>
      <c r="J13" s="13" t="s">
        <v>200</v>
      </c>
    </row>
    <row r="14" customFormat="false" ht="28.35" hidden="false" customHeight="false" outlineLevel="0" collapsed="false">
      <c r="A14" s="3" t="s">
        <v>217</v>
      </c>
      <c r="B14" s="4" t="s">
        <v>218</v>
      </c>
      <c r="C14" s="26" t="n">
        <v>15000</v>
      </c>
      <c r="D14" s="26" t="n">
        <v>12000</v>
      </c>
      <c r="E14" s="26" t="n">
        <v>10000</v>
      </c>
      <c r="F14" s="13" t="s">
        <v>219</v>
      </c>
      <c r="G14" s="4" t="s">
        <v>220</v>
      </c>
      <c r="H14" s="13" t="s">
        <v>205</v>
      </c>
      <c r="I14" s="27" t="n">
        <f aca="false">INDEX(C14:E14,$C$4)</f>
        <v>12000</v>
      </c>
      <c r="J14" s="13" t="s">
        <v>200</v>
      </c>
    </row>
    <row r="15" customFormat="false" ht="55.2" hidden="false" customHeight="false" outlineLevel="0" collapsed="false">
      <c r="A15" s="3" t="s">
        <v>221</v>
      </c>
      <c r="B15" s="4" t="s">
        <v>222</v>
      </c>
      <c r="C15" s="28" t="n">
        <v>0.18</v>
      </c>
      <c r="D15" s="28" t="n">
        <v>0.18</v>
      </c>
      <c r="E15" s="28" t="n">
        <v>0.18</v>
      </c>
      <c r="F15" s="13" t="s">
        <v>212</v>
      </c>
      <c r="G15" s="4" t="s">
        <v>223</v>
      </c>
      <c r="H15" s="13" t="s">
        <v>224</v>
      </c>
      <c r="I15" s="29" t="n">
        <f aca="false">INDEX(C15:E15,$C$4)</f>
        <v>0.18</v>
      </c>
      <c r="J15" s="13" t="s">
        <v>200</v>
      </c>
    </row>
    <row r="16" customFormat="false" ht="28.35" hidden="false" customHeight="false" outlineLevel="0" collapsed="false">
      <c r="A16" s="3" t="s">
        <v>225</v>
      </c>
      <c r="B16" s="4" t="s">
        <v>226</v>
      </c>
      <c r="C16" s="30" t="n">
        <v>1</v>
      </c>
      <c r="D16" s="30" t="n">
        <v>1</v>
      </c>
      <c r="E16" s="30" t="n">
        <v>1</v>
      </c>
      <c r="F16" s="13" t="s">
        <v>227</v>
      </c>
      <c r="G16" s="4" t="s">
        <v>228</v>
      </c>
      <c r="H16" s="13" t="s">
        <v>205</v>
      </c>
      <c r="I16" s="31" t="n">
        <f aca="false">INDEX(C16:E16,$C$4)</f>
        <v>1</v>
      </c>
      <c r="J16" s="13" t="s">
        <v>200</v>
      </c>
    </row>
    <row r="17" customFormat="false" ht="15" hidden="false" customHeight="false" outlineLevel="0" collapsed="false">
      <c r="A17" s="3" t="s">
        <v>229</v>
      </c>
      <c r="B17" s="4" t="s">
        <v>230</v>
      </c>
      <c r="C17" s="26" t="n">
        <v>999</v>
      </c>
      <c r="D17" s="26" t="n">
        <v>999</v>
      </c>
      <c r="E17" s="26" t="n">
        <v>999</v>
      </c>
      <c r="F17" s="13" t="s">
        <v>203</v>
      </c>
      <c r="G17" s="4" t="s">
        <v>231</v>
      </c>
      <c r="H17" s="13" t="s">
        <v>205</v>
      </c>
      <c r="I17" s="27" t="n">
        <f aca="false">INDEX(C17:E17,$C$4)</f>
        <v>999</v>
      </c>
      <c r="J17" s="13" t="s">
        <v>200</v>
      </c>
    </row>
    <row r="18" customFormat="false" ht="15" hidden="false" customHeight="false" outlineLevel="0" collapsed="false">
      <c r="A18" s="3" t="s">
        <v>232</v>
      </c>
      <c r="B18" s="4" t="s">
        <v>233</v>
      </c>
      <c r="C18" s="26" t="n">
        <v>30000</v>
      </c>
      <c r="D18" s="26" t="n">
        <v>39900</v>
      </c>
      <c r="E18" s="26" t="n">
        <v>45000</v>
      </c>
      <c r="F18" s="13" t="s">
        <v>203</v>
      </c>
      <c r="G18" s="4" t="s">
        <v>234</v>
      </c>
      <c r="H18" s="13" t="s">
        <v>205</v>
      </c>
      <c r="I18" s="27" t="n">
        <f aca="false">INDEX(C18:E18,$C$4)</f>
        <v>39900</v>
      </c>
      <c r="J18" s="13" t="s">
        <v>200</v>
      </c>
    </row>
    <row r="19" customFormat="false" ht="28.35" hidden="false" customHeight="false" outlineLevel="0" collapsed="false">
      <c r="A19" s="3" t="s">
        <v>235</v>
      </c>
      <c r="B19" s="4" t="s">
        <v>236</v>
      </c>
      <c r="C19" s="26" t="n">
        <v>75000</v>
      </c>
      <c r="D19" s="26" t="n">
        <v>90000</v>
      </c>
      <c r="E19" s="26" t="n">
        <v>120000</v>
      </c>
      <c r="F19" s="13" t="s">
        <v>203</v>
      </c>
      <c r="G19" s="4" t="s">
        <v>235</v>
      </c>
      <c r="H19" s="13" t="s">
        <v>205</v>
      </c>
      <c r="I19" s="27" t="n">
        <f aca="false">INDEX(C19:E19,$C$4)</f>
        <v>90000</v>
      </c>
      <c r="J19" s="13" t="s">
        <v>200</v>
      </c>
    </row>
    <row r="20" customFormat="false" ht="15" hidden="false" customHeight="false" outlineLevel="0" collapsed="false">
      <c r="A20" s="3" t="s">
        <v>237</v>
      </c>
      <c r="B20" s="4" t="s">
        <v>238</v>
      </c>
      <c r="C20" s="26" t="n">
        <v>65000</v>
      </c>
      <c r="D20" s="26" t="n">
        <v>80000</v>
      </c>
      <c r="E20" s="26" t="n">
        <v>100000</v>
      </c>
      <c r="F20" s="13" t="s">
        <v>203</v>
      </c>
      <c r="G20" s="4" t="s">
        <v>239</v>
      </c>
      <c r="H20" s="13" t="s">
        <v>205</v>
      </c>
      <c r="I20" s="27" t="n">
        <f aca="false">INDEX(C20:E20,$C$4)</f>
        <v>80000</v>
      </c>
      <c r="J20" s="13" t="s">
        <v>200</v>
      </c>
    </row>
    <row r="21" customFormat="false" ht="15" hidden="false" customHeight="false" outlineLevel="0" collapsed="false">
      <c r="A21" s="3" t="s">
        <v>240</v>
      </c>
      <c r="B21" s="4" t="s">
        <v>241</v>
      </c>
      <c r="C21" s="26" t="n">
        <v>5000</v>
      </c>
      <c r="D21" s="26" t="n">
        <v>10000</v>
      </c>
      <c r="E21" s="26" t="n">
        <v>14000</v>
      </c>
      <c r="F21" s="13" t="s">
        <v>203</v>
      </c>
      <c r="G21" s="4" t="s">
        <v>242</v>
      </c>
      <c r="H21" s="13" t="s">
        <v>205</v>
      </c>
      <c r="I21" s="27" t="n">
        <f aca="false">INDEX(C21:E21,$C$4)</f>
        <v>10000</v>
      </c>
      <c r="J21" s="13" t="s">
        <v>200</v>
      </c>
    </row>
    <row r="22" customFormat="false" ht="15" hidden="false" customHeight="false" outlineLevel="0" collapsed="false">
      <c r="A22" s="3" t="s">
        <v>243</v>
      </c>
      <c r="B22" s="4" t="s">
        <v>244</v>
      </c>
      <c r="C22" s="26" t="n">
        <v>3000</v>
      </c>
      <c r="D22" s="26" t="n">
        <v>4999</v>
      </c>
      <c r="E22" s="26" t="n">
        <v>6500</v>
      </c>
      <c r="F22" s="13" t="s">
        <v>203</v>
      </c>
      <c r="G22" s="4" t="s">
        <v>245</v>
      </c>
      <c r="H22" s="13" t="s">
        <v>205</v>
      </c>
      <c r="I22" s="27" t="n">
        <f aca="false">INDEX(C22:E22,$C$4)</f>
        <v>4999</v>
      </c>
      <c r="J22" s="13" t="s">
        <v>200</v>
      </c>
    </row>
    <row r="23" customFormat="false" ht="15" hidden="false" customHeight="false" outlineLevel="0" collapsed="false">
      <c r="A23" s="3" t="s">
        <v>246</v>
      </c>
      <c r="B23" s="4" t="s">
        <v>247</v>
      </c>
      <c r="C23" s="26" t="n">
        <v>4999</v>
      </c>
      <c r="D23" s="26" t="n">
        <v>9999</v>
      </c>
      <c r="E23" s="26" t="n">
        <v>12499</v>
      </c>
      <c r="F23" s="13" t="s">
        <v>248</v>
      </c>
      <c r="G23" s="4" t="s">
        <v>249</v>
      </c>
      <c r="H23" s="13" t="s">
        <v>205</v>
      </c>
      <c r="I23" s="27" t="n">
        <f aca="false">INDEX(C23:E23,$C$4)</f>
        <v>9999</v>
      </c>
      <c r="J23" s="13" t="s">
        <v>200</v>
      </c>
    </row>
    <row r="24" customFormat="false" ht="28.35" hidden="false" customHeight="false" outlineLevel="0" collapsed="false">
      <c r="A24" s="3" t="s">
        <v>250</v>
      </c>
      <c r="B24" s="4" t="s">
        <v>251</v>
      </c>
      <c r="C24" s="26" t="n">
        <v>65000</v>
      </c>
      <c r="D24" s="26" t="n">
        <v>80000</v>
      </c>
      <c r="E24" s="26" t="n">
        <v>100000</v>
      </c>
      <c r="F24" s="13" t="s">
        <v>203</v>
      </c>
      <c r="G24" s="4" t="s">
        <v>252</v>
      </c>
      <c r="H24" s="13" t="s">
        <v>205</v>
      </c>
      <c r="I24" s="27" t="n">
        <f aca="false">INDEX(C24:E24,$C$4)</f>
        <v>80000</v>
      </c>
      <c r="J24" s="13" t="s">
        <v>200</v>
      </c>
    </row>
    <row r="25" customFormat="false" ht="28.35" hidden="false" customHeight="false" outlineLevel="0" collapsed="false">
      <c r="A25" s="3" t="s">
        <v>253</v>
      </c>
      <c r="B25" s="4" t="s">
        <v>254</v>
      </c>
      <c r="C25" s="32" t="n">
        <v>6</v>
      </c>
      <c r="D25" s="32" t="n">
        <v>10</v>
      </c>
      <c r="E25" s="32" t="n">
        <v>15</v>
      </c>
      <c r="F25" s="13" t="s">
        <v>255</v>
      </c>
      <c r="G25" s="4" t="s">
        <v>253</v>
      </c>
      <c r="H25" s="13" t="s">
        <v>205</v>
      </c>
      <c r="I25" s="33" t="n">
        <f aca="false">INDEX(C25:E25,$C$4)</f>
        <v>10</v>
      </c>
      <c r="J25" s="13" t="s">
        <v>209</v>
      </c>
    </row>
    <row r="26" customFormat="false" ht="15" hidden="false" customHeight="false" outlineLevel="0" collapsed="false">
      <c r="A26" s="3" t="s">
        <v>256</v>
      </c>
      <c r="B26" s="4" t="s">
        <v>257</v>
      </c>
      <c r="C26" s="28" t="n">
        <v>0.5</v>
      </c>
      <c r="D26" s="28" t="n">
        <v>0.6</v>
      </c>
      <c r="E26" s="28" t="n">
        <v>0.7</v>
      </c>
      <c r="F26" s="13" t="s">
        <v>212</v>
      </c>
      <c r="G26" s="4" t="s">
        <v>256</v>
      </c>
      <c r="H26" s="13" t="s">
        <v>205</v>
      </c>
      <c r="I26" s="29" t="n">
        <f aca="false">INDEX(C26:E26,$C$4)</f>
        <v>0.6</v>
      </c>
      <c r="J26" s="13" t="s">
        <v>200</v>
      </c>
    </row>
    <row r="27" customFormat="false" ht="15" hidden="false" customHeight="false" outlineLevel="0" collapsed="false">
      <c r="A27" s="3" t="s">
        <v>258</v>
      </c>
      <c r="B27" s="4" t="s">
        <v>259</v>
      </c>
      <c r="C27" s="28" t="n">
        <v>0.3</v>
      </c>
      <c r="D27" s="28" t="n">
        <v>0.3</v>
      </c>
      <c r="E27" s="28" t="n">
        <v>0.3</v>
      </c>
      <c r="F27" s="13" t="s">
        <v>212</v>
      </c>
      <c r="G27" s="4" t="s">
        <v>260</v>
      </c>
      <c r="H27" s="13" t="s">
        <v>205</v>
      </c>
      <c r="I27" s="29" t="n">
        <f aca="false">INDEX(C27:E27,$C$4)</f>
        <v>0.3</v>
      </c>
      <c r="J27" s="13" t="s">
        <v>200</v>
      </c>
    </row>
    <row r="28" customFormat="false" ht="15" hidden="false" customHeight="false" outlineLevel="0" collapsed="false">
      <c r="A28" s="3" t="s">
        <v>261</v>
      </c>
      <c r="B28" s="4" t="s">
        <v>262</v>
      </c>
      <c r="C28" s="28" t="n">
        <v>0.2</v>
      </c>
      <c r="D28" s="28" t="n">
        <v>0.2</v>
      </c>
      <c r="E28" s="28" t="n">
        <v>0.2</v>
      </c>
      <c r="F28" s="13" t="s">
        <v>212</v>
      </c>
      <c r="G28" s="4" t="s">
        <v>260</v>
      </c>
      <c r="H28" s="13" t="s">
        <v>205</v>
      </c>
      <c r="I28" s="29" t="n">
        <f aca="false">INDEX(C28:E28,$C$4)</f>
        <v>0.2</v>
      </c>
      <c r="J28" s="13" t="s">
        <v>200</v>
      </c>
    </row>
    <row r="29" customFormat="false" ht="15" hidden="false" customHeight="false" outlineLevel="0" collapsed="false">
      <c r="A29" s="3" t="s">
        <v>263</v>
      </c>
      <c r="B29" s="4" t="s">
        <v>264</v>
      </c>
      <c r="C29" s="28" t="n">
        <v>0.2</v>
      </c>
      <c r="D29" s="28" t="n">
        <v>0.2</v>
      </c>
      <c r="E29" s="28" t="n">
        <v>0.2</v>
      </c>
      <c r="F29" s="13" t="s">
        <v>212</v>
      </c>
      <c r="G29" s="4" t="s">
        <v>260</v>
      </c>
      <c r="H29" s="13" t="s">
        <v>205</v>
      </c>
      <c r="I29" s="29" t="n">
        <f aca="false">INDEX(C29:E29,$C$4)</f>
        <v>0.2</v>
      </c>
      <c r="J29" s="13" t="s">
        <v>200</v>
      </c>
    </row>
    <row r="30" customFormat="false" ht="15" hidden="false" customHeight="false" outlineLevel="0" collapsed="false">
      <c r="A30" s="3" t="s">
        <v>265</v>
      </c>
      <c r="B30" s="4" t="s">
        <v>266</v>
      </c>
      <c r="C30" s="28" t="n">
        <v>0.2</v>
      </c>
      <c r="D30" s="28" t="n">
        <v>0.2</v>
      </c>
      <c r="E30" s="28" t="n">
        <v>0.2</v>
      </c>
      <c r="F30" s="13" t="s">
        <v>212</v>
      </c>
      <c r="G30" s="4" t="s">
        <v>260</v>
      </c>
      <c r="H30" s="13" t="s">
        <v>205</v>
      </c>
      <c r="I30" s="29" t="n">
        <f aca="false">INDEX(C30:E30,$C$4)</f>
        <v>0.2</v>
      </c>
      <c r="J30" s="13" t="s">
        <v>200</v>
      </c>
    </row>
    <row r="31" customFormat="false" ht="15" hidden="false" customHeight="false" outlineLevel="0" collapsed="false">
      <c r="A31" s="3" t="s">
        <v>267</v>
      </c>
      <c r="B31" s="4" t="s">
        <v>268</v>
      </c>
      <c r="C31" s="28" t="n">
        <v>0.1</v>
      </c>
      <c r="D31" s="28" t="n">
        <v>0.1</v>
      </c>
      <c r="E31" s="28" t="n">
        <v>0.1</v>
      </c>
      <c r="F31" s="13" t="s">
        <v>212</v>
      </c>
      <c r="G31" s="4" t="s">
        <v>260</v>
      </c>
      <c r="H31" s="13" t="s">
        <v>205</v>
      </c>
      <c r="I31" s="29" t="n">
        <f aca="false">INDEX(C31:E31,$C$4)</f>
        <v>0.1</v>
      </c>
      <c r="J31" s="13" t="s">
        <v>200</v>
      </c>
    </row>
    <row r="32" customFormat="false" ht="15" hidden="false" customHeight="false" outlineLevel="0" collapsed="false">
      <c r="A32" s="3" t="s">
        <v>269</v>
      </c>
      <c r="B32" s="4" t="s">
        <v>270</v>
      </c>
      <c r="C32" s="26" t="n">
        <v>600</v>
      </c>
      <c r="D32" s="26" t="n">
        <v>300</v>
      </c>
      <c r="E32" s="26" t="n">
        <v>150</v>
      </c>
      <c r="F32" s="13" t="s">
        <v>271</v>
      </c>
      <c r="G32" s="4" t="s">
        <v>272</v>
      </c>
      <c r="H32" s="13" t="s">
        <v>205</v>
      </c>
      <c r="I32" s="27" t="n">
        <f aca="false">INDEX(C32:E32,$C$4)</f>
        <v>300</v>
      </c>
      <c r="J32" s="13" t="s">
        <v>200</v>
      </c>
    </row>
    <row r="33" customFormat="false" ht="15" hidden="false" customHeight="false" outlineLevel="0" collapsed="false">
      <c r="A33" s="3" t="s">
        <v>273</v>
      </c>
      <c r="B33" s="4" t="s">
        <v>274</v>
      </c>
      <c r="C33" s="26" t="n">
        <v>500</v>
      </c>
      <c r="D33" s="26" t="n">
        <v>250</v>
      </c>
      <c r="E33" s="26" t="n">
        <v>120</v>
      </c>
      <c r="F33" s="13" t="s">
        <v>271</v>
      </c>
      <c r="G33" s="4" t="s">
        <v>273</v>
      </c>
      <c r="H33" s="13" t="s">
        <v>205</v>
      </c>
      <c r="I33" s="27" t="n">
        <f aca="false">INDEX(C33:E33,$C$4)</f>
        <v>250</v>
      </c>
      <c r="J33" s="13" t="s">
        <v>200</v>
      </c>
    </row>
    <row r="34" customFormat="false" ht="15" hidden="false" customHeight="false" outlineLevel="0" collapsed="false">
      <c r="A34" s="3" t="s">
        <v>275</v>
      </c>
      <c r="B34" s="4" t="s">
        <v>276</v>
      </c>
      <c r="C34" s="26" t="n">
        <v>800</v>
      </c>
      <c r="D34" s="26" t="n">
        <v>500</v>
      </c>
      <c r="E34" s="26" t="n">
        <v>300</v>
      </c>
      <c r="F34" s="13" t="s">
        <v>271</v>
      </c>
      <c r="G34" s="4" t="s">
        <v>275</v>
      </c>
      <c r="H34" s="13" t="s">
        <v>205</v>
      </c>
      <c r="I34" s="27" t="n">
        <f aca="false">INDEX(C34:E34,$C$4)</f>
        <v>500</v>
      </c>
      <c r="J34" s="13" t="s">
        <v>200</v>
      </c>
    </row>
    <row r="35" customFormat="false" ht="15" hidden="false" customHeight="false" outlineLevel="0" collapsed="false">
      <c r="A35" s="3" t="s">
        <v>277</v>
      </c>
      <c r="B35" s="4" t="s">
        <v>278</v>
      </c>
      <c r="C35" s="26" t="n">
        <v>700</v>
      </c>
      <c r="D35" s="26" t="n">
        <v>400</v>
      </c>
      <c r="E35" s="26" t="n">
        <v>200</v>
      </c>
      <c r="F35" s="13" t="s">
        <v>279</v>
      </c>
      <c r="G35" s="4" t="s">
        <v>277</v>
      </c>
      <c r="H35" s="13" t="s">
        <v>205</v>
      </c>
      <c r="I35" s="27" t="n">
        <f aca="false">INDEX(C35:E35,$C$4)</f>
        <v>400</v>
      </c>
      <c r="J35" s="13" t="s">
        <v>200</v>
      </c>
    </row>
    <row r="36" customFormat="false" ht="15" hidden="false" customHeight="false" outlineLevel="0" collapsed="false">
      <c r="A36" s="3" t="s">
        <v>280</v>
      </c>
      <c r="B36" s="4" t="s">
        <v>281</v>
      </c>
      <c r="C36" s="26" t="n">
        <v>300</v>
      </c>
      <c r="D36" s="26" t="n">
        <v>150</v>
      </c>
      <c r="E36" s="26" t="n">
        <v>50</v>
      </c>
      <c r="F36" s="13" t="s">
        <v>271</v>
      </c>
      <c r="G36" s="4" t="s">
        <v>280</v>
      </c>
      <c r="H36" s="13" t="s">
        <v>205</v>
      </c>
      <c r="I36" s="27" t="n">
        <f aca="false">INDEX(C36:E36,$C$4)</f>
        <v>150</v>
      </c>
      <c r="J36" s="13" t="s">
        <v>200</v>
      </c>
    </row>
    <row r="37" customFormat="false" ht="15" hidden="false" customHeight="false" outlineLevel="0" collapsed="false">
      <c r="A37" s="3" t="s">
        <v>282</v>
      </c>
      <c r="B37" s="4" t="s">
        <v>283</v>
      </c>
      <c r="C37" s="26" t="n">
        <v>400</v>
      </c>
      <c r="D37" s="26" t="n">
        <v>200</v>
      </c>
      <c r="E37" s="26" t="n">
        <v>100</v>
      </c>
      <c r="F37" s="13" t="s">
        <v>271</v>
      </c>
      <c r="G37" s="4" t="s">
        <v>282</v>
      </c>
      <c r="H37" s="13" t="s">
        <v>205</v>
      </c>
      <c r="I37" s="27" t="n">
        <f aca="false">INDEX(C37:E37,$C$4)</f>
        <v>200</v>
      </c>
      <c r="J37" s="13" t="s">
        <v>200</v>
      </c>
    </row>
    <row r="38" customFormat="false" ht="15" hidden="false" customHeight="false" outlineLevel="0" collapsed="false">
      <c r="A38" s="3" t="s">
        <v>284</v>
      </c>
      <c r="B38" s="4" t="s">
        <v>285</v>
      </c>
      <c r="C38" s="28" t="n">
        <v>0.7</v>
      </c>
      <c r="D38" s="28" t="n">
        <v>0.5</v>
      </c>
      <c r="E38" s="28" t="n">
        <v>0.3</v>
      </c>
      <c r="F38" s="13" t="s">
        <v>212</v>
      </c>
      <c r="G38" s="4" t="s">
        <v>286</v>
      </c>
      <c r="H38" s="13" t="s">
        <v>205</v>
      </c>
      <c r="I38" s="29" t="n">
        <f aca="false">INDEX(C38:E38,$C$4)</f>
        <v>0.5</v>
      </c>
      <c r="J38" s="13" t="s">
        <v>200</v>
      </c>
    </row>
    <row r="39" customFormat="false" ht="15" hidden="false" customHeight="false" outlineLevel="0" collapsed="false">
      <c r="A39" s="3" t="s">
        <v>287</v>
      </c>
      <c r="B39" s="4" t="s">
        <v>288</v>
      </c>
      <c r="C39" s="28" t="n">
        <v>0.8</v>
      </c>
      <c r="D39" s="28" t="n">
        <v>0.6</v>
      </c>
      <c r="E39" s="28" t="n">
        <v>0.4</v>
      </c>
      <c r="F39" s="13" t="s">
        <v>212</v>
      </c>
      <c r="G39" s="4" t="s">
        <v>289</v>
      </c>
      <c r="H39" s="13" t="s">
        <v>205</v>
      </c>
      <c r="I39" s="29" t="n">
        <f aca="false">INDEX(C39:E39,$C$4)</f>
        <v>0.6</v>
      </c>
      <c r="J39" s="13" t="s">
        <v>200</v>
      </c>
    </row>
    <row r="40" customFormat="false" ht="15" hidden="false" customHeight="false" outlineLevel="0" collapsed="false">
      <c r="A40" s="3" t="s">
        <v>290</v>
      </c>
      <c r="B40" s="4" t="s">
        <v>291</v>
      </c>
      <c r="C40" s="28" t="n">
        <v>0.35</v>
      </c>
      <c r="D40" s="28" t="n">
        <v>0.4</v>
      </c>
      <c r="E40" s="28" t="n">
        <v>0.45</v>
      </c>
      <c r="F40" s="13" t="s">
        <v>212</v>
      </c>
      <c r="G40" s="4" t="s">
        <v>292</v>
      </c>
      <c r="H40" s="13" t="s">
        <v>205</v>
      </c>
      <c r="I40" s="29" t="n">
        <f aca="false">INDEX(C40:E40,$C$4)</f>
        <v>0.4</v>
      </c>
      <c r="J40" s="13" t="s">
        <v>200</v>
      </c>
    </row>
    <row r="41" customFormat="false" ht="15" hidden="false" customHeight="false" outlineLevel="0" collapsed="false">
      <c r="A41" s="3" t="s">
        <v>289</v>
      </c>
      <c r="B41" s="4" t="s">
        <v>293</v>
      </c>
      <c r="C41" s="28" t="n">
        <v>0.45</v>
      </c>
      <c r="D41" s="28" t="n">
        <v>0.55</v>
      </c>
      <c r="E41" s="28" t="n">
        <v>0.65</v>
      </c>
      <c r="F41" s="13" t="s">
        <v>212</v>
      </c>
      <c r="G41" s="4" t="s">
        <v>292</v>
      </c>
      <c r="H41" s="13" t="s">
        <v>205</v>
      </c>
      <c r="I41" s="29" t="n">
        <f aca="false">INDEX(C41:E41,$C$4)</f>
        <v>0.55</v>
      </c>
      <c r="J41" s="13" t="s">
        <v>200</v>
      </c>
    </row>
    <row r="42" customFormat="false" ht="15" hidden="false" customHeight="false" outlineLevel="0" collapsed="false">
      <c r="A42" s="3" t="s">
        <v>294</v>
      </c>
      <c r="B42" s="4" t="s">
        <v>295</v>
      </c>
      <c r="C42" s="28" t="n">
        <v>0.25</v>
      </c>
      <c r="D42" s="28" t="n">
        <v>0.3</v>
      </c>
      <c r="E42" s="28" t="n">
        <v>0.35</v>
      </c>
      <c r="F42" s="13" t="s">
        <v>212</v>
      </c>
      <c r="G42" s="4" t="s">
        <v>292</v>
      </c>
      <c r="H42" s="13" t="s">
        <v>205</v>
      </c>
      <c r="I42" s="29" t="n">
        <f aca="false">INDEX(C42:E42,$C$4)</f>
        <v>0.3</v>
      </c>
      <c r="J42" s="13" t="s">
        <v>200</v>
      </c>
    </row>
    <row r="43" customFormat="false" ht="15" hidden="false" customHeight="false" outlineLevel="0" collapsed="false">
      <c r="A43" s="3" t="s">
        <v>296</v>
      </c>
      <c r="B43" s="4" t="s">
        <v>297</v>
      </c>
      <c r="C43" s="28" t="n">
        <v>0.75</v>
      </c>
      <c r="D43" s="28" t="n">
        <v>0.8</v>
      </c>
      <c r="E43" s="28" t="n">
        <v>0.85</v>
      </c>
      <c r="F43" s="13" t="s">
        <v>212</v>
      </c>
      <c r="G43" s="4" t="s">
        <v>292</v>
      </c>
      <c r="H43" s="13" t="s">
        <v>205</v>
      </c>
      <c r="I43" s="29" t="n">
        <f aca="false">INDEX(C43:E43,$C$4)</f>
        <v>0.8</v>
      </c>
      <c r="J43" s="13" t="s">
        <v>200</v>
      </c>
    </row>
    <row r="44" customFormat="false" ht="15" hidden="false" customHeight="false" outlineLevel="0" collapsed="false">
      <c r="A44" s="3" t="s">
        <v>298</v>
      </c>
      <c r="B44" s="4" t="s">
        <v>299</v>
      </c>
      <c r="C44" s="28" t="n">
        <v>0.4</v>
      </c>
      <c r="D44" s="28" t="n">
        <v>0.45</v>
      </c>
      <c r="E44" s="28" t="n">
        <v>0.5</v>
      </c>
      <c r="F44" s="13" t="s">
        <v>212</v>
      </c>
      <c r="G44" s="4" t="s">
        <v>300</v>
      </c>
      <c r="H44" s="13" t="s">
        <v>205</v>
      </c>
      <c r="I44" s="29" t="n">
        <f aca="false">INDEX(C44:E44,$C$4)</f>
        <v>0.45</v>
      </c>
      <c r="J44" s="13" t="s">
        <v>200</v>
      </c>
    </row>
    <row r="45" customFormat="false" ht="15" hidden="false" customHeight="false" outlineLevel="0" collapsed="false">
      <c r="A45" s="3" t="s">
        <v>301</v>
      </c>
      <c r="B45" s="4" t="s">
        <v>302</v>
      </c>
      <c r="C45" s="28" t="n">
        <v>0.5</v>
      </c>
      <c r="D45" s="28" t="n">
        <v>0.6</v>
      </c>
      <c r="E45" s="28" t="n">
        <v>0.65</v>
      </c>
      <c r="F45" s="13" t="s">
        <v>212</v>
      </c>
      <c r="G45" s="4" t="s">
        <v>300</v>
      </c>
      <c r="H45" s="13" t="s">
        <v>205</v>
      </c>
      <c r="I45" s="29" t="n">
        <f aca="false">INDEX(C45:E45,$C$4)</f>
        <v>0.6</v>
      </c>
      <c r="J45" s="13" t="s">
        <v>200</v>
      </c>
    </row>
    <row r="46" customFormat="false" ht="15" hidden="false" customHeight="false" outlineLevel="0" collapsed="false">
      <c r="A46" s="3" t="s">
        <v>303</v>
      </c>
      <c r="B46" s="4" t="s">
        <v>304</v>
      </c>
      <c r="C46" s="28" t="n">
        <v>0.28</v>
      </c>
      <c r="D46" s="28" t="n">
        <v>0.32</v>
      </c>
      <c r="E46" s="28" t="n">
        <v>0.35</v>
      </c>
      <c r="F46" s="13" t="s">
        <v>212</v>
      </c>
      <c r="G46" s="4" t="s">
        <v>300</v>
      </c>
      <c r="H46" s="13" t="s">
        <v>205</v>
      </c>
      <c r="I46" s="29" t="n">
        <f aca="false">INDEX(C46:E46,$C$4)</f>
        <v>0.32</v>
      </c>
      <c r="J46" s="13" t="s">
        <v>200</v>
      </c>
    </row>
    <row r="47" customFormat="false" ht="15" hidden="false" customHeight="false" outlineLevel="0" collapsed="false">
      <c r="A47" s="3" t="s">
        <v>305</v>
      </c>
      <c r="B47" s="4" t="s">
        <v>306</v>
      </c>
      <c r="C47" s="28" t="n">
        <v>0.75</v>
      </c>
      <c r="D47" s="28" t="n">
        <v>0.8</v>
      </c>
      <c r="E47" s="28" t="n">
        <v>0.85</v>
      </c>
      <c r="F47" s="13" t="s">
        <v>212</v>
      </c>
      <c r="G47" s="4" t="s">
        <v>300</v>
      </c>
      <c r="H47" s="13" t="s">
        <v>205</v>
      </c>
      <c r="I47" s="29" t="n">
        <f aca="false">INDEX(C47:E47,$C$4)</f>
        <v>0.8</v>
      </c>
      <c r="J47" s="13" t="s">
        <v>200</v>
      </c>
    </row>
    <row r="48" customFormat="false" ht="15" hidden="false" customHeight="false" outlineLevel="0" collapsed="false">
      <c r="A48" s="3" t="s">
        <v>307</v>
      </c>
      <c r="B48" s="4" t="s">
        <v>308</v>
      </c>
      <c r="C48" s="28" t="n">
        <v>0.3</v>
      </c>
      <c r="D48" s="28" t="n">
        <v>0.38</v>
      </c>
      <c r="E48" s="28" t="n">
        <v>0.45</v>
      </c>
      <c r="F48" s="13" t="s">
        <v>212</v>
      </c>
      <c r="G48" s="4" t="s">
        <v>309</v>
      </c>
      <c r="H48" s="13" t="s">
        <v>205</v>
      </c>
      <c r="I48" s="29" t="n">
        <f aca="false">INDEX(C48:E48,$C$4)</f>
        <v>0.38</v>
      </c>
      <c r="J48" s="13" t="s">
        <v>200</v>
      </c>
    </row>
    <row r="49" customFormat="false" ht="15" hidden="false" customHeight="false" outlineLevel="0" collapsed="false">
      <c r="A49" s="3" t="s">
        <v>310</v>
      </c>
      <c r="B49" s="4" t="s">
        <v>311</v>
      </c>
      <c r="C49" s="28" t="n">
        <v>0.45</v>
      </c>
      <c r="D49" s="28" t="n">
        <v>0.55</v>
      </c>
      <c r="E49" s="28" t="n">
        <v>0.65</v>
      </c>
      <c r="F49" s="13" t="s">
        <v>212</v>
      </c>
      <c r="G49" s="4" t="s">
        <v>309</v>
      </c>
      <c r="H49" s="13" t="s">
        <v>205</v>
      </c>
      <c r="I49" s="29" t="n">
        <f aca="false">INDEX(C49:E49,$C$4)</f>
        <v>0.55</v>
      </c>
      <c r="J49" s="13" t="s">
        <v>200</v>
      </c>
    </row>
    <row r="50" customFormat="false" ht="15" hidden="false" customHeight="false" outlineLevel="0" collapsed="false">
      <c r="A50" s="3" t="s">
        <v>312</v>
      </c>
      <c r="B50" s="4" t="s">
        <v>313</v>
      </c>
      <c r="C50" s="28" t="n">
        <v>0.25</v>
      </c>
      <c r="D50" s="28" t="n">
        <v>0.3</v>
      </c>
      <c r="E50" s="28" t="n">
        <v>0.35</v>
      </c>
      <c r="F50" s="13" t="s">
        <v>212</v>
      </c>
      <c r="G50" s="4" t="s">
        <v>309</v>
      </c>
      <c r="H50" s="13" t="s">
        <v>205</v>
      </c>
      <c r="I50" s="29" t="n">
        <f aca="false">INDEX(C50:E50,$C$4)</f>
        <v>0.3</v>
      </c>
      <c r="J50" s="13" t="s">
        <v>200</v>
      </c>
    </row>
    <row r="51" customFormat="false" ht="15" hidden="false" customHeight="false" outlineLevel="0" collapsed="false">
      <c r="A51" s="3" t="s">
        <v>314</v>
      </c>
      <c r="B51" s="4" t="s">
        <v>315</v>
      </c>
      <c r="C51" s="28" t="n">
        <v>0.75</v>
      </c>
      <c r="D51" s="28" t="n">
        <v>0.8</v>
      </c>
      <c r="E51" s="28" t="n">
        <v>0.85</v>
      </c>
      <c r="F51" s="13" t="s">
        <v>212</v>
      </c>
      <c r="G51" s="4" t="s">
        <v>309</v>
      </c>
      <c r="H51" s="13" t="s">
        <v>205</v>
      </c>
      <c r="I51" s="29" t="n">
        <f aca="false">INDEX(C51:E51,$C$4)</f>
        <v>0.8</v>
      </c>
      <c r="J51" s="13" t="s">
        <v>200</v>
      </c>
    </row>
    <row r="52" customFormat="false" ht="15" hidden="false" customHeight="false" outlineLevel="0" collapsed="false">
      <c r="A52" s="3" t="s">
        <v>316</v>
      </c>
      <c r="B52" s="4" t="s">
        <v>317</v>
      </c>
      <c r="C52" s="28" t="n">
        <v>0.6</v>
      </c>
      <c r="D52" s="28" t="n">
        <v>0.7</v>
      </c>
      <c r="E52" s="28" t="n">
        <v>0.8</v>
      </c>
      <c r="F52" s="13" t="s">
        <v>212</v>
      </c>
      <c r="G52" s="4" t="s">
        <v>318</v>
      </c>
      <c r="H52" s="13" t="s">
        <v>205</v>
      </c>
      <c r="I52" s="29" t="n">
        <f aca="false">INDEX(C52:E52,$C$4)</f>
        <v>0.7</v>
      </c>
      <c r="J52" s="13" t="s">
        <v>200</v>
      </c>
    </row>
    <row r="53" customFormat="false" ht="15" hidden="false" customHeight="false" outlineLevel="0" collapsed="false">
      <c r="A53" s="3" t="s">
        <v>319</v>
      </c>
      <c r="B53" s="4" t="s">
        <v>320</v>
      </c>
      <c r="C53" s="28" t="n">
        <v>0.7</v>
      </c>
      <c r="D53" s="28" t="n">
        <v>0.75</v>
      </c>
      <c r="E53" s="28" t="n">
        <v>0.8</v>
      </c>
      <c r="F53" s="13" t="s">
        <v>212</v>
      </c>
      <c r="G53" s="4" t="s">
        <v>318</v>
      </c>
      <c r="H53" s="13" t="s">
        <v>205</v>
      </c>
      <c r="I53" s="29" t="n">
        <f aca="false">INDEX(C53:E53,$C$4)</f>
        <v>0.75</v>
      </c>
      <c r="J53" s="13" t="s">
        <v>200</v>
      </c>
    </row>
    <row r="54" customFormat="false" ht="15" hidden="false" customHeight="false" outlineLevel="0" collapsed="false">
      <c r="A54" s="3" t="s">
        <v>321</v>
      </c>
      <c r="B54" s="4" t="s">
        <v>322</v>
      </c>
      <c r="C54" s="28" t="n">
        <v>0.5</v>
      </c>
      <c r="D54" s="28" t="n">
        <v>0.55</v>
      </c>
      <c r="E54" s="28" t="n">
        <v>0.6</v>
      </c>
      <c r="F54" s="13" t="s">
        <v>212</v>
      </c>
      <c r="G54" s="4" t="s">
        <v>318</v>
      </c>
      <c r="H54" s="13" t="s">
        <v>205</v>
      </c>
      <c r="I54" s="29" t="n">
        <f aca="false">INDEX(C54:E54,$C$4)</f>
        <v>0.55</v>
      </c>
      <c r="J54" s="13" t="s">
        <v>200</v>
      </c>
    </row>
    <row r="55" customFormat="false" ht="15" hidden="false" customHeight="false" outlineLevel="0" collapsed="false">
      <c r="A55" s="3" t="s">
        <v>323</v>
      </c>
      <c r="B55" s="4" t="s">
        <v>324</v>
      </c>
      <c r="C55" s="28" t="n">
        <v>0.8</v>
      </c>
      <c r="D55" s="28" t="n">
        <v>0.87</v>
      </c>
      <c r="E55" s="28" t="n">
        <v>0.92</v>
      </c>
      <c r="F55" s="13" t="s">
        <v>212</v>
      </c>
      <c r="G55" s="4" t="s">
        <v>318</v>
      </c>
      <c r="H55" s="13" t="s">
        <v>205</v>
      </c>
      <c r="I55" s="29" t="n">
        <f aca="false">INDEX(C55:E55,$C$4)</f>
        <v>0.87</v>
      </c>
      <c r="J55" s="13" t="s">
        <v>200</v>
      </c>
    </row>
    <row r="56" customFormat="false" ht="15" hidden="false" customHeight="false" outlineLevel="0" collapsed="false">
      <c r="A56" s="3" t="s">
        <v>325</v>
      </c>
      <c r="B56" s="4" t="s">
        <v>326</v>
      </c>
      <c r="C56" s="28" t="n">
        <v>0.75</v>
      </c>
      <c r="D56" s="28" t="n">
        <v>0.82</v>
      </c>
      <c r="E56" s="28" t="n">
        <v>0.9</v>
      </c>
      <c r="F56" s="13" t="s">
        <v>212</v>
      </c>
      <c r="G56" s="4" t="s">
        <v>327</v>
      </c>
      <c r="H56" s="13" t="s">
        <v>205</v>
      </c>
      <c r="I56" s="29" t="n">
        <f aca="false">INDEX(C56:E56,$C$4)</f>
        <v>0.82</v>
      </c>
      <c r="J56" s="13" t="s">
        <v>200</v>
      </c>
    </row>
    <row r="57" customFormat="false" ht="15" hidden="false" customHeight="false" outlineLevel="0" collapsed="false">
      <c r="A57" s="3" t="s">
        <v>328</v>
      </c>
      <c r="B57" s="4" t="s">
        <v>329</v>
      </c>
      <c r="C57" s="28" t="n">
        <v>0.5</v>
      </c>
      <c r="D57" s="28" t="n">
        <v>0.65</v>
      </c>
      <c r="E57" s="28" t="n">
        <v>0.8</v>
      </c>
      <c r="F57" s="13" t="s">
        <v>212</v>
      </c>
      <c r="G57" s="4" t="s">
        <v>327</v>
      </c>
      <c r="H57" s="13" t="s">
        <v>205</v>
      </c>
      <c r="I57" s="29" t="n">
        <f aca="false">INDEX(C57:E57,$C$4)</f>
        <v>0.65</v>
      </c>
      <c r="J57" s="13" t="s">
        <v>200</v>
      </c>
    </row>
    <row r="58" customFormat="false" ht="15" hidden="false" customHeight="false" outlineLevel="0" collapsed="false">
      <c r="A58" s="3" t="s">
        <v>330</v>
      </c>
      <c r="B58" s="4" t="s">
        <v>331</v>
      </c>
      <c r="C58" s="28" t="n">
        <v>0.16</v>
      </c>
      <c r="D58" s="28" t="n">
        <v>0.2</v>
      </c>
      <c r="E58" s="28" t="n">
        <v>0.25</v>
      </c>
      <c r="F58" s="13" t="s">
        <v>212</v>
      </c>
      <c r="G58" s="4" t="s">
        <v>327</v>
      </c>
      <c r="H58" s="13" t="s">
        <v>205</v>
      </c>
      <c r="I58" s="29" t="n">
        <f aca="false">INDEX(C58:E58,$C$4)</f>
        <v>0.2</v>
      </c>
      <c r="J58" s="13" t="s">
        <v>200</v>
      </c>
    </row>
    <row r="59" customFormat="false" ht="28.35" hidden="false" customHeight="false" outlineLevel="0" collapsed="false">
      <c r="A59" s="3" t="s">
        <v>332</v>
      </c>
      <c r="B59" s="4" t="s">
        <v>333</v>
      </c>
      <c r="C59" s="34" t="n">
        <v>0.5</v>
      </c>
      <c r="D59" s="34" t="n">
        <v>0.67</v>
      </c>
      <c r="E59" s="34" t="n">
        <v>0.77</v>
      </c>
      <c r="F59" s="13" t="s">
        <v>334</v>
      </c>
      <c r="G59" s="4" t="s">
        <v>335</v>
      </c>
      <c r="H59" s="13" t="s">
        <v>205</v>
      </c>
      <c r="I59" s="35" t="n">
        <f aca="false">INDEX(C59:E59,$C$4)</f>
        <v>0.67</v>
      </c>
      <c r="J59" s="13" t="s">
        <v>200</v>
      </c>
    </row>
    <row r="60" customFormat="false" ht="28.35" hidden="false" customHeight="false" outlineLevel="0" collapsed="false">
      <c r="A60" s="3" t="s">
        <v>336</v>
      </c>
      <c r="B60" s="4" t="s">
        <v>337</v>
      </c>
      <c r="C60" s="34" t="n">
        <v>1.5</v>
      </c>
      <c r="D60" s="34" t="n">
        <v>1.25</v>
      </c>
      <c r="E60" s="34" t="n">
        <v>1</v>
      </c>
      <c r="F60" s="13" t="s">
        <v>334</v>
      </c>
      <c r="G60" s="4" t="s">
        <v>338</v>
      </c>
      <c r="H60" s="13" t="s">
        <v>205</v>
      </c>
      <c r="I60" s="35" t="n">
        <f aca="false">INDEX(C60:E60,$C$4)</f>
        <v>1.25</v>
      </c>
      <c r="J60" s="13" t="s">
        <v>200</v>
      </c>
    </row>
    <row r="61" customFormat="false" ht="15" hidden="false" customHeight="false" outlineLevel="0" collapsed="false">
      <c r="A61" s="3" t="s">
        <v>339</v>
      </c>
      <c r="B61" s="4" t="s">
        <v>340</v>
      </c>
      <c r="C61" s="28" t="n">
        <v>0.25</v>
      </c>
      <c r="D61" s="28" t="n">
        <v>0.35</v>
      </c>
      <c r="E61" s="28" t="n">
        <v>0.45</v>
      </c>
      <c r="F61" s="13" t="s">
        <v>212</v>
      </c>
      <c r="G61" s="4" t="s">
        <v>341</v>
      </c>
      <c r="H61" s="13" t="s">
        <v>205</v>
      </c>
      <c r="I61" s="29" t="n">
        <f aca="false">INDEX(C61:E61,$C$4)</f>
        <v>0.35</v>
      </c>
      <c r="J61" s="13" t="s">
        <v>200</v>
      </c>
    </row>
    <row r="62" customFormat="false" ht="15" hidden="false" customHeight="false" outlineLevel="0" collapsed="false">
      <c r="A62" s="3" t="s">
        <v>342</v>
      </c>
      <c r="B62" s="4" t="s">
        <v>343</v>
      </c>
      <c r="C62" s="28" t="n">
        <v>0.2</v>
      </c>
      <c r="D62" s="28" t="n">
        <v>0.3</v>
      </c>
      <c r="E62" s="28" t="n">
        <v>0.4</v>
      </c>
      <c r="F62" s="13" t="s">
        <v>212</v>
      </c>
      <c r="G62" s="4" t="s">
        <v>341</v>
      </c>
      <c r="H62" s="13" t="s">
        <v>205</v>
      </c>
      <c r="I62" s="29" t="n">
        <f aca="false">INDEX(C62:E62,$C$4)</f>
        <v>0.3</v>
      </c>
      <c r="J62" s="13" t="s">
        <v>200</v>
      </c>
    </row>
    <row r="63" customFormat="false" ht="15" hidden="false" customHeight="false" outlineLevel="0" collapsed="false">
      <c r="A63" s="3" t="s">
        <v>344</v>
      </c>
      <c r="B63" s="4" t="s">
        <v>345</v>
      </c>
      <c r="C63" s="28" t="n">
        <v>0.15</v>
      </c>
      <c r="D63" s="28" t="n">
        <v>0.25</v>
      </c>
      <c r="E63" s="28" t="n">
        <v>0.35</v>
      </c>
      <c r="F63" s="13" t="s">
        <v>212</v>
      </c>
      <c r="G63" s="4" t="s">
        <v>344</v>
      </c>
      <c r="H63" s="13" t="s">
        <v>205</v>
      </c>
      <c r="I63" s="29" t="n">
        <f aca="false">INDEX(C63:E63,$C$4)</f>
        <v>0.25</v>
      </c>
      <c r="J63" s="13" t="s">
        <v>200</v>
      </c>
    </row>
    <row r="64" customFormat="false" ht="15" hidden="false" customHeight="false" outlineLevel="0" collapsed="false">
      <c r="A64" s="3" t="s">
        <v>346</v>
      </c>
      <c r="B64" s="4" t="s">
        <v>347</v>
      </c>
      <c r="C64" s="28" t="n">
        <v>0.1</v>
      </c>
      <c r="D64" s="28" t="n">
        <v>0.17</v>
      </c>
      <c r="E64" s="28" t="n">
        <v>0.25</v>
      </c>
      <c r="F64" s="13" t="s">
        <v>212</v>
      </c>
      <c r="G64" s="4" t="s">
        <v>346</v>
      </c>
      <c r="H64" s="13" t="s">
        <v>205</v>
      </c>
      <c r="I64" s="29" t="n">
        <f aca="false">INDEX(C64:E64,$C$4)</f>
        <v>0.17</v>
      </c>
      <c r="J64" s="13" t="s">
        <v>200</v>
      </c>
    </row>
    <row r="65" customFormat="false" ht="15" hidden="false" customHeight="false" outlineLevel="0" collapsed="false">
      <c r="A65" s="3" t="s">
        <v>348</v>
      </c>
      <c r="B65" s="4" t="s">
        <v>349</v>
      </c>
      <c r="C65" s="28" t="n">
        <v>0.25</v>
      </c>
      <c r="D65" s="28" t="n">
        <v>0.3</v>
      </c>
      <c r="E65" s="28" t="n">
        <v>0.4</v>
      </c>
      <c r="F65" s="13" t="s">
        <v>212</v>
      </c>
      <c r="G65" s="4" t="s">
        <v>348</v>
      </c>
      <c r="H65" s="13" t="s">
        <v>205</v>
      </c>
      <c r="I65" s="29" t="n">
        <f aca="false">INDEX(C65:E65,$C$4)</f>
        <v>0.3</v>
      </c>
      <c r="J65" s="13" t="s">
        <v>200</v>
      </c>
    </row>
    <row r="66" customFormat="false" ht="15" hidden="false" customHeight="false" outlineLevel="0" collapsed="false">
      <c r="A66" s="3" t="s">
        <v>350</v>
      </c>
      <c r="B66" s="4" t="s">
        <v>351</v>
      </c>
      <c r="C66" s="28" t="n">
        <v>0.01</v>
      </c>
      <c r="D66" s="28" t="n">
        <v>0.03</v>
      </c>
      <c r="E66" s="28" t="n">
        <v>0.05</v>
      </c>
      <c r="F66" s="13" t="s">
        <v>212</v>
      </c>
      <c r="G66" s="4" t="s">
        <v>350</v>
      </c>
      <c r="H66" s="13" t="s">
        <v>205</v>
      </c>
      <c r="I66" s="29" t="n">
        <f aca="false">INDEX(C66:E66,$C$4)</f>
        <v>0.03</v>
      </c>
      <c r="J66" s="13" t="s">
        <v>200</v>
      </c>
    </row>
    <row r="67" customFormat="false" ht="15" hidden="false" customHeight="false" outlineLevel="0" collapsed="false">
      <c r="A67" s="3" t="s">
        <v>352</v>
      </c>
      <c r="B67" s="4" t="s">
        <v>353</v>
      </c>
      <c r="C67" s="28" t="n">
        <v>0.85</v>
      </c>
      <c r="D67" s="28" t="n">
        <v>0.9</v>
      </c>
      <c r="E67" s="28" t="n">
        <v>0.95</v>
      </c>
      <c r="F67" s="13" t="s">
        <v>212</v>
      </c>
      <c r="G67" s="4" t="s">
        <v>352</v>
      </c>
      <c r="H67" s="13" t="s">
        <v>205</v>
      </c>
      <c r="I67" s="29" t="n">
        <f aca="false">INDEX(C67:E67,$C$4)</f>
        <v>0.9</v>
      </c>
      <c r="J67" s="13" t="s">
        <v>200</v>
      </c>
    </row>
    <row r="68" customFormat="false" ht="15" hidden="false" customHeight="false" outlineLevel="0" collapsed="false">
      <c r="A68" s="3" t="s">
        <v>354</v>
      </c>
      <c r="B68" s="4" t="s">
        <v>355</v>
      </c>
      <c r="C68" s="32" t="n">
        <v>0.2</v>
      </c>
      <c r="D68" s="32" t="n">
        <v>0.4</v>
      </c>
      <c r="E68" s="32" t="n">
        <v>0.6</v>
      </c>
      <c r="F68" s="13" t="s">
        <v>356</v>
      </c>
      <c r="G68" s="4" t="s">
        <v>354</v>
      </c>
      <c r="H68" s="13" t="s">
        <v>205</v>
      </c>
      <c r="I68" s="33" t="n">
        <f aca="false">INDEX(C68:E68,$C$4)</f>
        <v>0.4</v>
      </c>
      <c r="J68" s="13" t="s">
        <v>200</v>
      </c>
    </row>
    <row r="69" customFormat="false" ht="15" hidden="false" customHeight="false" outlineLevel="0" collapsed="false">
      <c r="A69" s="3" t="s">
        <v>357</v>
      </c>
      <c r="B69" s="4" t="s">
        <v>358</v>
      </c>
      <c r="C69" s="26" t="n">
        <v>5000</v>
      </c>
      <c r="D69" s="26" t="n">
        <v>3000</v>
      </c>
      <c r="E69" s="26" t="n">
        <v>2000</v>
      </c>
      <c r="F69" s="13" t="s">
        <v>203</v>
      </c>
      <c r="G69" s="4" t="s">
        <v>359</v>
      </c>
      <c r="H69" s="13" t="s">
        <v>205</v>
      </c>
      <c r="I69" s="27" t="n">
        <f aca="false">INDEX(C69:E69,$C$4)</f>
        <v>3000</v>
      </c>
      <c r="J69" s="13" t="s">
        <v>200</v>
      </c>
    </row>
    <row r="70" customFormat="false" ht="15" hidden="false" customHeight="false" outlineLevel="0" collapsed="false">
      <c r="A70" s="3" t="s">
        <v>360</v>
      </c>
      <c r="B70" s="4" t="s">
        <v>361</v>
      </c>
      <c r="C70" s="28" t="n">
        <v>0.5</v>
      </c>
      <c r="D70" s="28" t="n">
        <v>0.35</v>
      </c>
      <c r="E70" s="28" t="n">
        <v>0.2</v>
      </c>
      <c r="F70" s="13" t="s">
        <v>212</v>
      </c>
      <c r="G70" s="4" t="s">
        <v>362</v>
      </c>
      <c r="H70" s="13" t="s">
        <v>205</v>
      </c>
      <c r="I70" s="29" t="n">
        <f aca="false">INDEX(C70:E70,$C$4)</f>
        <v>0.35</v>
      </c>
      <c r="J70" s="13" t="s">
        <v>200</v>
      </c>
    </row>
    <row r="71" customFormat="false" ht="15" hidden="false" customHeight="false" outlineLevel="0" collapsed="false">
      <c r="A71" s="3" t="s">
        <v>363</v>
      </c>
      <c r="B71" s="4" t="s">
        <v>364</v>
      </c>
      <c r="C71" s="28" t="n">
        <v>0.07</v>
      </c>
      <c r="D71" s="28" t="n">
        <v>0.05</v>
      </c>
      <c r="E71" s="28" t="n">
        <v>0.03</v>
      </c>
      <c r="F71" s="13" t="s">
        <v>212</v>
      </c>
      <c r="G71" s="4" t="s">
        <v>363</v>
      </c>
      <c r="H71" s="13" t="s">
        <v>205</v>
      </c>
      <c r="I71" s="29" t="n">
        <f aca="false">INDEX(C71:E71,$C$4)</f>
        <v>0.05</v>
      </c>
      <c r="J71" s="13" t="s">
        <v>200</v>
      </c>
    </row>
    <row r="72" customFormat="false" ht="15" hidden="false" customHeight="false" outlineLevel="0" collapsed="false">
      <c r="A72" s="3" t="s">
        <v>365</v>
      </c>
      <c r="B72" s="4" t="s">
        <v>366</v>
      </c>
      <c r="C72" s="28" t="n">
        <v>0.2</v>
      </c>
      <c r="D72" s="28" t="n">
        <v>0.3</v>
      </c>
      <c r="E72" s="28" t="n">
        <v>0.45</v>
      </c>
      <c r="F72" s="13" t="s">
        <v>212</v>
      </c>
      <c r="G72" s="4" t="s">
        <v>365</v>
      </c>
      <c r="H72" s="13" t="s">
        <v>205</v>
      </c>
      <c r="I72" s="29" t="n">
        <f aca="false">INDEX(C72:E72,$C$4)</f>
        <v>0.3</v>
      </c>
      <c r="J72" s="13" t="s">
        <v>200</v>
      </c>
    </row>
    <row r="73" customFormat="false" ht="15" hidden="false" customHeight="false" outlineLevel="0" collapsed="false">
      <c r="A73" s="3" t="s">
        <v>367</v>
      </c>
      <c r="B73" s="4" t="s">
        <v>368</v>
      </c>
      <c r="C73" s="28" t="n">
        <v>0.05</v>
      </c>
      <c r="D73" s="28" t="n">
        <v>0.1</v>
      </c>
      <c r="E73" s="28" t="n">
        <v>0.2</v>
      </c>
      <c r="F73" s="13" t="s">
        <v>212</v>
      </c>
      <c r="G73" s="4" t="s">
        <v>365</v>
      </c>
      <c r="H73" s="13" t="s">
        <v>205</v>
      </c>
      <c r="I73" s="29" t="n">
        <f aca="false">INDEX(C73:E73,$C$4)</f>
        <v>0.1</v>
      </c>
      <c r="J73" s="13" t="s">
        <v>200</v>
      </c>
    </row>
    <row r="74" customFormat="false" ht="15" hidden="false" customHeight="false" outlineLevel="0" collapsed="false">
      <c r="A74" s="3" t="s">
        <v>369</v>
      </c>
      <c r="B74" s="4" t="s">
        <v>370</v>
      </c>
      <c r="C74" s="28" t="n">
        <v>0.15</v>
      </c>
      <c r="D74" s="28" t="n">
        <v>0.25</v>
      </c>
      <c r="E74" s="28" t="n">
        <v>0.35</v>
      </c>
      <c r="F74" s="13" t="s">
        <v>212</v>
      </c>
      <c r="G74" s="4" t="s">
        <v>371</v>
      </c>
      <c r="H74" s="13" t="s">
        <v>205</v>
      </c>
      <c r="I74" s="29" t="n">
        <f aca="false">INDEX(C74:E74,$C$4)</f>
        <v>0.25</v>
      </c>
      <c r="J74" s="13" t="s">
        <v>200</v>
      </c>
    </row>
    <row r="75" customFormat="false" ht="15" hidden="false" customHeight="false" outlineLevel="0" collapsed="false">
      <c r="A75" s="3" t="s">
        <v>372</v>
      </c>
      <c r="B75" s="4" t="s">
        <v>373</v>
      </c>
      <c r="C75" s="24" t="n">
        <v>25</v>
      </c>
      <c r="D75" s="24" t="n">
        <v>30</v>
      </c>
      <c r="E75" s="24" t="n">
        <v>40</v>
      </c>
      <c r="F75" s="13" t="s">
        <v>374</v>
      </c>
      <c r="G75" s="4" t="s">
        <v>372</v>
      </c>
      <c r="H75" s="13" t="s">
        <v>205</v>
      </c>
      <c r="I75" s="25" t="n">
        <f aca="false">INDEX(C75:E75,$C$4)</f>
        <v>30</v>
      </c>
      <c r="J75" s="13" t="s">
        <v>200</v>
      </c>
    </row>
    <row r="76" customFormat="false" ht="15" hidden="false" customHeight="false" outlineLevel="0" collapsed="false">
      <c r="A76" s="3" t="s">
        <v>375</v>
      </c>
      <c r="B76" s="4" t="s">
        <v>376</v>
      </c>
      <c r="C76" s="28" t="n">
        <v>0.024</v>
      </c>
      <c r="D76" s="28" t="n">
        <v>0.02</v>
      </c>
      <c r="E76" s="28" t="n">
        <v>0.018</v>
      </c>
      <c r="F76" s="13" t="s">
        <v>212</v>
      </c>
      <c r="G76" s="4" t="s">
        <v>377</v>
      </c>
      <c r="H76" s="13" t="s">
        <v>378</v>
      </c>
      <c r="I76" s="29" t="n">
        <f aca="false">INDEX(C76:E76,$C$4)</f>
        <v>0.02</v>
      </c>
      <c r="J76" s="13" t="s">
        <v>200</v>
      </c>
    </row>
    <row r="77" customFormat="false" ht="28.35" hidden="false" customHeight="false" outlineLevel="0" collapsed="false">
      <c r="A77" s="3" t="s">
        <v>379</v>
      </c>
      <c r="B77" s="4" t="s">
        <v>380</v>
      </c>
      <c r="C77" s="24" t="n">
        <v>25</v>
      </c>
      <c r="D77" s="24" t="n">
        <v>40</v>
      </c>
      <c r="E77" s="24" t="n">
        <v>60</v>
      </c>
      <c r="F77" s="13" t="s">
        <v>381</v>
      </c>
      <c r="G77" s="4" t="s">
        <v>382</v>
      </c>
      <c r="H77" s="13" t="s">
        <v>205</v>
      </c>
      <c r="I77" s="25" t="n">
        <f aca="false">INDEX(C77:E77,$C$4)</f>
        <v>40</v>
      </c>
      <c r="J77" s="13" t="s">
        <v>200</v>
      </c>
    </row>
    <row r="78" customFormat="false" ht="28.35" hidden="false" customHeight="false" outlineLevel="0" collapsed="false">
      <c r="A78" s="3" t="s">
        <v>383</v>
      </c>
      <c r="B78" s="4" t="s">
        <v>384</v>
      </c>
      <c r="C78" s="24" t="n">
        <v>5</v>
      </c>
      <c r="D78" s="24" t="n">
        <v>8</v>
      </c>
      <c r="E78" s="24" t="n">
        <v>12</v>
      </c>
      <c r="F78" s="13" t="s">
        <v>381</v>
      </c>
      <c r="G78" s="4" t="s">
        <v>383</v>
      </c>
      <c r="H78" s="13" t="s">
        <v>205</v>
      </c>
      <c r="I78" s="25" t="n">
        <f aca="false">INDEX(C78:E78,$C$4)</f>
        <v>8</v>
      </c>
      <c r="J78" s="13" t="s">
        <v>200</v>
      </c>
    </row>
    <row r="79" customFormat="false" ht="15" hidden="false" customHeight="false" outlineLevel="0" collapsed="false">
      <c r="A79" s="3" t="s">
        <v>385</v>
      </c>
      <c r="B79" s="4" t="s">
        <v>386</v>
      </c>
      <c r="C79" s="26" t="n">
        <v>150</v>
      </c>
      <c r="D79" s="26" t="n">
        <v>100</v>
      </c>
      <c r="E79" s="26" t="n">
        <v>60</v>
      </c>
      <c r="F79" s="13" t="s">
        <v>387</v>
      </c>
      <c r="G79" s="4" t="s">
        <v>388</v>
      </c>
      <c r="H79" s="13" t="s">
        <v>205</v>
      </c>
      <c r="I79" s="27" t="n">
        <f aca="false">INDEX(C79:E79,$C$4)</f>
        <v>100</v>
      </c>
      <c r="J79" s="13" t="s">
        <v>200</v>
      </c>
    </row>
    <row r="80" customFormat="false" ht="28.35" hidden="false" customHeight="false" outlineLevel="0" collapsed="false">
      <c r="A80" s="3" t="s">
        <v>389</v>
      </c>
      <c r="B80" s="4" t="s">
        <v>390</v>
      </c>
      <c r="C80" s="32" t="n">
        <v>1</v>
      </c>
      <c r="D80" s="32" t="n">
        <v>1</v>
      </c>
      <c r="E80" s="32" t="n">
        <v>1</v>
      </c>
      <c r="F80" s="13" t="s">
        <v>391</v>
      </c>
      <c r="G80" s="4" t="s">
        <v>392</v>
      </c>
      <c r="H80" s="13" t="s">
        <v>205</v>
      </c>
      <c r="I80" s="33" t="n">
        <f aca="false">INDEX(C80:E80,$C$4)</f>
        <v>1</v>
      </c>
      <c r="J80" s="13" t="s">
        <v>200</v>
      </c>
    </row>
    <row r="81" customFormat="false" ht="15" hidden="false" customHeight="false" outlineLevel="0" collapsed="false">
      <c r="A81" s="3" t="s">
        <v>393</v>
      </c>
      <c r="B81" s="4" t="s">
        <v>394</v>
      </c>
      <c r="C81" s="24" t="n">
        <v>30</v>
      </c>
      <c r="D81" s="24" t="n">
        <v>30</v>
      </c>
      <c r="E81" s="24" t="n">
        <v>40</v>
      </c>
      <c r="F81" s="13" t="s">
        <v>395</v>
      </c>
      <c r="G81" s="4" t="s">
        <v>396</v>
      </c>
      <c r="H81" s="13" t="s">
        <v>205</v>
      </c>
      <c r="I81" s="25" t="n">
        <f aca="false">INDEX(C81:E81,$C$4)</f>
        <v>30</v>
      </c>
      <c r="J81" s="13" t="s">
        <v>200</v>
      </c>
    </row>
    <row r="82" customFormat="false" ht="15" hidden="false" customHeight="false" outlineLevel="0" collapsed="false">
      <c r="A82" s="3" t="s">
        <v>397</v>
      </c>
      <c r="B82" s="4" t="s">
        <v>398</v>
      </c>
      <c r="C82" s="24" t="n">
        <v>25</v>
      </c>
      <c r="D82" s="24" t="n">
        <v>32</v>
      </c>
      <c r="E82" s="24" t="n">
        <v>40</v>
      </c>
      <c r="F82" s="13" t="s">
        <v>399</v>
      </c>
      <c r="G82" s="4" t="s">
        <v>400</v>
      </c>
      <c r="H82" s="13" t="s">
        <v>205</v>
      </c>
      <c r="I82" s="25" t="n">
        <f aca="false">INDEX(C82:E82,$C$4)</f>
        <v>32</v>
      </c>
      <c r="J82" s="13" t="s">
        <v>200</v>
      </c>
    </row>
    <row r="83" customFormat="false" ht="15" hidden="false" customHeight="false" outlineLevel="0" collapsed="false">
      <c r="A83" s="3" t="s">
        <v>401</v>
      </c>
      <c r="B83" s="4" t="s">
        <v>402</v>
      </c>
      <c r="C83" s="26" t="n">
        <v>999</v>
      </c>
      <c r="D83" s="26" t="n">
        <v>1499</v>
      </c>
      <c r="E83" s="26" t="n">
        <v>1499</v>
      </c>
      <c r="F83" s="13" t="s">
        <v>203</v>
      </c>
      <c r="G83" s="4" t="s">
        <v>403</v>
      </c>
      <c r="H83" s="13" t="s">
        <v>205</v>
      </c>
      <c r="I83" s="27" t="n">
        <f aca="false">INDEX(C83:E83,$C$4)</f>
        <v>1499</v>
      </c>
      <c r="J83" s="13" t="s">
        <v>200</v>
      </c>
    </row>
    <row r="84" customFormat="false" ht="15" hidden="false" customHeight="false" outlineLevel="0" collapsed="false">
      <c r="A84" s="3" t="s">
        <v>404</v>
      </c>
      <c r="B84" s="4" t="s">
        <v>405</v>
      </c>
      <c r="C84" s="26" t="n">
        <v>60000</v>
      </c>
      <c r="D84" s="26" t="n">
        <v>52000</v>
      </c>
      <c r="E84" s="26" t="n">
        <v>45000</v>
      </c>
      <c r="F84" s="13" t="s">
        <v>406</v>
      </c>
      <c r="G84" s="4" t="s">
        <v>407</v>
      </c>
      <c r="H84" s="13" t="s">
        <v>205</v>
      </c>
      <c r="I84" s="27" t="n">
        <f aca="false">INDEX(C84:E84,$C$4)</f>
        <v>52000</v>
      </c>
      <c r="J84" s="13" t="s">
        <v>200</v>
      </c>
    </row>
    <row r="85" customFormat="false" ht="15" hidden="false" customHeight="false" outlineLevel="0" collapsed="false">
      <c r="A85" s="3" t="s">
        <v>408</v>
      </c>
      <c r="B85" s="4" t="s">
        <v>409</v>
      </c>
      <c r="C85" s="28" t="n">
        <v>0.08</v>
      </c>
      <c r="D85" s="28" t="n">
        <v>0.11</v>
      </c>
      <c r="E85" s="28" t="n">
        <v>0.15</v>
      </c>
      <c r="F85" s="13" t="s">
        <v>212</v>
      </c>
      <c r="G85" s="4" t="s">
        <v>410</v>
      </c>
      <c r="H85" s="13" t="s">
        <v>205</v>
      </c>
      <c r="I85" s="29" t="n">
        <f aca="false">INDEX(C85:E85,$C$4)</f>
        <v>0.11</v>
      </c>
      <c r="J85" s="13" t="s">
        <v>200</v>
      </c>
    </row>
    <row r="86" customFormat="false" ht="28.35" hidden="false" customHeight="false" outlineLevel="0" collapsed="false">
      <c r="A86" s="3" t="s">
        <v>411</v>
      </c>
      <c r="B86" s="4" t="s">
        <v>412</v>
      </c>
      <c r="C86" s="34" t="n">
        <v>0</v>
      </c>
      <c r="D86" s="34" t="n">
        <v>0.5</v>
      </c>
      <c r="E86" s="34" t="n">
        <v>1</v>
      </c>
      <c r="F86" s="13" t="s">
        <v>413</v>
      </c>
      <c r="G86" s="4" t="s">
        <v>414</v>
      </c>
      <c r="H86" s="13" t="s">
        <v>205</v>
      </c>
      <c r="I86" s="35" t="n">
        <f aca="false">INDEX(C86:E86,$C$4)</f>
        <v>0.5</v>
      </c>
      <c r="J86" s="13" t="s">
        <v>209</v>
      </c>
    </row>
    <row r="87" customFormat="false" ht="28.35" hidden="false" customHeight="false" outlineLevel="0" collapsed="false">
      <c r="A87" s="3" t="s">
        <v>415</v>
      </c>
      <c r="B87" s="4" t="s">
        <v>416</v>
      </c>
      <c r="C87" s="24" t="n">
        <v>3</v>
      </c>
      <c r="D87" s="24" t="n">
        <v>2</v>
      </c>
      <c r="E87" s="24" t="n">
        <v>1</v>
      </c>
      <c r="F87" s="13" t="s">
        <v>417</v>
      </c>
      <c r="G87" s="4" t="s">
        <v>418</v>
      </c>
      <c r="H87" s="13" t="s">
        <v>205</v>
      </c>
      <c r="I87" s="25" t="n">
        <f aca="false">INDEX(C87:E87,$C$4)</f>
        <v>2</v>
      </c>
      <c r="J87" s="13" t="s">
        <v>200</v>
      </c>
    </row>
    <row r="88" customFormat="false" ht="15" hidden="false" customHeight="false" outlineLevel="0" collapsed="false">
      <c r="A88" s="3" t="s">
        <v>419</v>
      </c>
      <c r="B88" s="4" t="s">
        <v>420</v>
      </c>
      <c r="C88" s="32" t="n">
        <v>0.3</v>
      </c>
      <c r="D88" s="32" t="n">
        <v>0.5</v>
      </c>
      <c r="E88" s="32" t="n">
        <v>0.8</v>
      </c>
      <c r="F88" s="13" t="s">
        <v>421</v>
      </c>
      <c r="G88" s="4" t="s">
        <v>422</v>
      </c>
      <c r="H88" s="13" t="s">
        <v>205</v>
      </c>
      <c r="I88" s="33" t="n">
        <f aca="false">INDEX(C88:E88,$C$4)</f>
        <v>0.5</v>
      </c>
      <c r="J88" s="13" t="s">
        <v>200</v>
      </c>
    </row>
    <row r="89" customFormat="false" ht="15" hidden="false" customHeight="false" outlineLevel="0" collapsed="false">
      <c r="A89" s="3" t="s">
        <v>423</v>
      </c>
      <c r="B89" s="4" t="s">
        <v>424</v>
      </c>
      <c r="C89" s="28" t="n">
        <v>0.25</v>
      </c>
      <c r="D89" s="28" t="n">
        <v>0.3</v>
      </c>
      <c r="E89" s="28" t="n">
        <v>0.4</v>
      </c>
      <c r="F89" s="13" t="s">
        <v>212</v>
      </c>
      <c r="G89" s="4" t="s">
        <v>425</v>
      </c>
      <c r="H89" s="13" t="s">
        <v>205</v>
      </c>
      <c r="I89" s="29" t="n">
        <f aca="false">INDEX(C89:E89,$C$4)</f>
        <v>0.3</v>
      </c>
      <c r="J89" s="13" t="s">
        <v>200</v>
      </c>
    </row>
    <row r="90" customFormat="false" ht="28.35" hidden="false" customHeight="false" outlineLevel="0" collapsed="false">
      <c r="A90" s="3" t="s">
        <v>426</v>
      </c>
      <c r="B90" s="4" t="s">
        <v>427</v>
      </c>
      <c r="C90" s="26" t="n">
        <v>600</v>
      </c>
      <c r="D90" s="26" t="n">
        <v>960</v>
      </c>
      <c r="E90" s="26" t="n">
        <v>1400</v>
      </c>
      <c r="F90" s="13" t="s">
        <v>428</v>
      </c>
      <c r="G90" s="4" t="s">
        <v>429</v>
      </c>
      <c r="H90" s="13" t="s">
        <v>205</v>
      </c>
      <c r="I90" s="27" t="n">
        <f aca="false">INDEX(C90:E90,$C$4)</f>
        <v>960</v>
      </c>
      <c r="J90" s="13" t="s">
        <v>200</v>
      </c>
    </row>
    <row r="91" customFormat="false" ht="15" hidden="false" customHeight="false" outlineLevel="0" collapsed="false">
      <c r="A91" s="3" t="s">
        <v>430</v>
      </c>
      <c r="B91" s="4" t="s">
        <v>431</v>
      </c>
      <c r="C91" s="26" t="n">
        <v>7000</v>
      </c>
      <c r="D91" s="26" t="n">
        <v>6000</v>
      </c>
      <c r="E91" s="26" t="n">
        <v>5000</v>
      </c>
      <c r="F91" s="13" t="s">
        <v>219</v>
      </c>
      <c r="G91" s="4" t="s">
        <v>432</v>
      </c>
      <c r="H91" s="13" t="s">
        <v>205</v>
      </c>
      <c r="I91" s="27" t="n">
        <f aca="false">INDEX(C91:E91,$C$4)</f>
        <v>6000</v>
      </c>
      <c r="J91" s="13" t="s">
        <v>200</v>
      </c>
    </row>
    <row r="92" customFormat="false" ht="15" hidden="false" customHeight="false" outlineLevel="0" collapsed="false">
      <c r="A92" s="3" t="s">
        <v>433</v>
      </c>
      <c r="B92" s="4" t="s">
        <v>434</v>
      </c>
      <c r="C92" s="26" t="n">
        <v>2500</v>
      </c>
      <c r="D92" s="26" t="n">
        <v>2000</v>
      </c>
      <c r="E92" s="26" t="n">
        <v>1500</v>
      </c>
      <c r="F92" s="13" t="s">
        <v>219</v>
      </c>
      <c r="G92" s="4" t="s">
        <v>435</v>
      </c>
      <c r="H92" s="13" t="s">
        <v>205</v>
      </c>
      <c r="I92" s="27" t="n">
        <f aca="false">INDEX(C92:E92,$C$4)</f>
        <v>2000</v>
      </c>
      <c r="J92" s="13" t="s">
        <v>200</v>
      </c>
    </row>
    <row r="93" customFormat="false" ht="28.35" hidden="false" customHeight="false" outlineLevel="0" collapsed="false">
      <c r="A93" s="3" t="s">
        <v>436</v>
      </c>
      <c r="B93" s="4" t="s">
        <v>437</v>
      </c>
      <c r="C93" s="26" t="n">
        <v>9000</v>
      </c>
      <c r="D93" s="26" t="n">
        <v>7500</v>
      </c>
      <c r="E93" s="26" t="n">
        <v>6000</v>
      </c>
      <c r="F93" s="13" t="s">
        <v>219</v>
      </c>
      <c r="G93" s="4" t="s">
        <v>438</v>
      </c>
      <c r="H93" s="13" t="s">
        <v>205</v>
      </c>
      <c r="I93" s="27" t="n">
        <f aca="false">INDEX(C93:E93,$C$4)</f>
        <v>7500</v>
      </c>
      <c r="J93" s="13" t="s">
        <v>200</v>
      </c>
    </row>
    <row r="94" customFormat="false" ht="15" hidden="false" customHeight="false" outlineLevel="0" collapsed="false">
      <c r="A94" s="3" t="s">
        <v>439</v>
      </c>
      <c r="B94" s="4" t="s">
        <v>440</v>
      </c>
      <c r="C94" s="26" t="n">
        <v>1200</v>
      </c>
      <c r="D94" s="26" t="n">
        <v>1000</v>
      </c>
      <c r="E94" s="26" t="n">
        <v>800</v>
      </c>
      <c r="F94" s="13" t="s">
        <v>441</v>
      </c>
      <c r="G94" s="4" t="s">
        <v>442</v>
      </c>
      <c r="H94" s="13" t="s">
        <v>205</v>
      </c>
      <c r="I94" s="27" t="n">
        <f aca="false">INDEX(C94:E94,$C$4)</f>
        <v>1000</v>
      </c>
      <c r="J94" s="13" t="s">
        <v>200</v>
      </c>
    </row>
    <row r="95" customFormat="false" ht="15" hidden="false" customHeight="false" outlineLevel="0" collapsed="false">
      <c r="A95" s="3" t="s">
        <v>443</v>
      </c>
      <c r="B95" s="4" t="s">
        <v>444</v>
      </c>
      <c r="C95" s="26" t="n">
        <v>500</v>
      </c>
      <c r="D95" s="26" t="n">
        <v>400</v>
      </c>
      <c r="E95" s="26" t="n">
        <v>300</v>
      </c>
      <c r="F95" s="13" t="s">
        <v>441</v>
      </c>
      <c r="G95" s="4" t="s">
        <v>442</v>
      </c>
      <c r="H95" s="13" t="s">
        <v>205</v>
      </c>
      <c r="I95" s="27" t="n">
        <f aca="false">INDEX(C95:E95,$C$4)</f>
        <v>400</v>
      </c>
      <c r="J95" s="13" t="s">
        <v>200</v>
      </c>
    </row>
    <row r="96" customFormat="false" ht="28.35" hidden="false" customHeight="false" outlineLevel="0" collapsed="false">
      <c r="A96" s="3" t="s">
        <v>445</v>
      </c>
      <c r="B96" s="4" t="s">
        <v>446</v>
      </c>
      <c r="C96" s="26" t="n">
        <v>300</v>
      </c>
      <c r="D96" s="26" t="n">
        <v>250</v>
      </c>
      <c r="E96" s="26" t="n">
        <v>200</v>
      </c>
      <c r="F96" s="13" t="s">
        <v>279</v>
      </c>
      <c r="G96" s="4" t="s">
        <v>442</v>
      </c>
      <c r="H96" s="13" t="s">
        <v>205</v>
      </c>
      <c r="I96" s="27" t="n">
        <f aca="false">INDEX(C96:E96,$C$4)</f>
        <v>250</v>
      </c>
      <c r="J96" s="13" t="s">
        <v>200</v>
      </c>
    </row>
    <row r="97" customFormat="false" ht="15" hidden="false" customHeight="false" outlineLevel="0" collapsed="false">
      <c r="A97" s="3" t="s">
        <v>447</v>
      </c>
      <c r="B97" s="4" t="s">
        <v>448</v>
      </c>
      <c r="C97" s="26" t="n">
        <v>2500</v>
      </c>
      <c r="D97" s="26" t="n">
        <v>2000</v>
      </c>
      <c r="E97" s="26" t="n">
        <v>1500</v>
      </c>
      <c r="F97" s="13" t="s">
        <v>449</v>
      </c>
      <c r="G97" s="4" t="s">
        <v>450</v>
      </c>
      <c r="H97" s="13" t="s">
        <v>205</v>
      </c>
      <c r="I97" s="27" t="n">
        <f aca="false">INDEX(C97:E97,$C$4)</f>
        <v>2000</v>
      </c>
      <c r="J97" s="13" t="s">
        <v>200</v>
      </c>
    </row>
    <row r="98" customFormat="false" ht="15" hidden="false" customHeight="false" outlineLevel="0" collapsed="false">
      <c r="A98" s="3" t="s">
        <v>451</v>
      </c>
      <c r="B98" s="4" t="s">
        <v>452</v>
      </c>
      <c r="C98" s="26" t="n">
        <v>75000</v>
      </c>
      <c r="D98" s="26" t="n">
        <v>60000</v>
      </c>
      <c r="E98" s="26" t="n">
        <v>55000</v>
      </c>
      <c r="F98" s="13" t="s">
        <v>453</v>
      </c>
      <c r="G98" s="4" t="s">
        <v>454</v>
      </c>
      <c r="H98" s="13" t="s">
        <v>205</v>
      </c>
      <c r="I98" s="27" t="n">
        <f aca="false">INDEX(C98:E98,$C$4)</f>
        <v>60000</v>
      </c>
      <c r="J98" s="13" t="s">
        <v>200</v>
      </c>
    </row>
    <row r="99" customFormat="false" ht="15" hidden="false" customHeight="false" outlineLevel="0" collapsed="false">
      <c r="A99" s="3" t="s">
        <v>455</v>
      </c>
      <c r="B99" s="4" t="s">
        <v>456</v>
      </c>
      <c r="C99" s="26" t="n">
        <v>45000</v>
      </c>
      <c r="D99" s="26" t="n">
        <v>38000</v>
      </c>
      <c r="E99" s="26" t="n">
        <v>32000</v>
      </c>
      <c r="F99" s="13" t="s">
        <v>453</v>
      </c>
      <c r="G99" s="4" t="s">
        <v>457</v>
      </c>
      <c r="H99" s="13" t="s">
        <v>205</v>
      </c>
      <c r="I99" s="27" t="n">
        <f aca="false">INDEX(C99:E99,$C$4)</f>
        <v>38000</v>
      </c>
      <c r="J99" s="13" t="s">
        <v>200</v>
      </c>
    </row>
    <row r="100" customFormat="false" ht="15" hidden="false" customHeight="false" outlineLevel="0" collapsed="false">
      <c r="A100" s="3" t="s">
        <v>458</v>
      </c>
      <c r="B100" s="4" t="s">
        <v>459</v>
      </c>
      <c r="C100" s="26" t="n">
        <v>20000</v>
      </c>
      <c r="D100" s="26" t="n">
        <v>18000</v>
      </c>
      <c r="E100" s="26" t="n">
        <v>16000</v>
      </c>
      <c r="F100" s="13" t="s">
        <v>453</v>
      </c>
      <c r="G100" s="4" t="s">
        <v>460</v>
      </c>
      <c r="H100" s="13" t="s">
        <v>205</v>
      </c>
      <c r="I100" s="27" t="n">
        <f aca="false">INDEX(C100:E100,$C$4)</f>
        <v>18000</v>
      </c>
      <c r="J100" s="13" t="s">
        <v>200</v>
      </c>
    </row>
    <row r="101" customFormat="false" ht="15" hidden="false" customHeight="false" outlineLevel="0" collapsed="false">
      <c r="A101" s="3" t="s">
        <v>461</v>
      </c>
      <c r="B101" s="4" t="s">
        <v>462</v>
      </c>
      <c r="C101" s="24" t="n">
        <v>2</v>
      </c>
      <c r="D101" s="24" t="n">
        <v>2</v>
      </c>
      <c r="E101" s="24" t="n">
        <v>2</v>
      </c>
      <c r="F101" s="13" t="s">
        <v>463</v>
      </c>
      <c r="G101" s="4" t="s">
        <v>442</v>
      </c>
      <c r="H101" s="13" t="s">
        <v>205</v>
      </c>
      <c r="I101" s="25" t="n">
        <f aca="false">INDEX(C101:E101,$C$4)</f>
        <v>2</v>
      </c>
      <c r="J101" s="13" t="s">
        <v>200</v>
      </c>
    </row>
    <row r="102" customFormat="false" ht="28.35" hidden="false" customHeight="false" outlineLevel="0" collapsed="false">
      <c r="A102" s="3" t="s">
        <v>464</v>
      </c>
      <c r="B102" s="4" t="s">
        <v>465</v>
      </c>
      <c r="C102" s="32" t="n">
        <v>8</v>
      </c>
      <c r="D102" s="32" t="n">
        <v>10</v>
      </c>
      <c r="E102" s="32" t="n">
        <v>11</v>
      </c>
      <c r="F102" s="13" t="s">
        <v>466</v>
      </c>
      <c r="G102" s="4" t="s">
        <v>467</v>
      </c>
      <c r="H102" s="13" t="s">
        <v>205</v>
      </c>
      <c r="I102" s="33" t="n">
        <f aca="false">INDEX(C102:E102,$C$4)</f>
        <v>10</v>
      </c>
      <c r="J102" s="13" t="s">
        <v>200</v>
      </c>
    </row>
    <row r="103" customFormat="false" ht="15" hidden="false" customHeight="false" outlineLevel="0" collapsed="false">
      <c r="A103" s="3" t="s">
        <v>468</v>
      </c>
      <c r="B103" s="4" t="s">
        <v>469</v>
      </c>
      <c r="C103" s="32" t="n">
        <v>3</v>
      </c>
      <c r="D103" s="32" t="n">
        <v>3</v>
      </c>
      <c r="E103" s="32" t="n">
        <v>3</v>
      </c>
      <c r="F103" s="13" t="s">
        <v>470</v>
      </c>
      <c r="G103" s="4" t="s">
        <v>471</v>
      </c>
      <c r="H103" s="13" t="s">
        <v>472</v>
      </c>
      <c r="I103" s="33" t="n">
        <f aca="false">INDEX(C103:E103,$C$4)</f>
        <v>3</v>
      </c>
      <c r="J103" s="13" t="s">
        <v>200</v>
      </c>
    </row>
    <row r="104" customFormat="false" ht="28.35" hidden="false" customHeight="false" outlineLevel="0" collapsed="false">
      <c r="A104" s="3" t="s">
        <v>473</v>
      </c>
      <c r="B104" s="4" t="s">
        <v>474</v>
      </c>
      <c r="C104" s="32" t="n">
        <v>2.5</v>
      </c>
      <c r="D104" s="32" t="n">
        <v>2.5</v>
      </c>
      <c r="E104" s="32" t="n">
        <v>2.5</v>
      </c>
      <c r="F104" s="13" t="s">
        <v>470</v>
      </c>
      <c r="G104" s="4" t="s">
        <v>475</v>
      </c>
      <c r="H104" s="13" t="s">
        <v>472</v>
      </c>
      <c r="I104" s="33" t="n">
        <f aca="false">INDEX(C104:E104,$C$4)</f>
        <v>2.5</v>
      </c>
      <c r="J104" s="13" t="s">
        <v>200</v>
      </c>
    </row>
    <row r="105" customFormat="false" ht="28.35" hidden="false" customHeight="false" outlineLevel="0" collapsed="false">
      <c r="A105" s="3" t="s">
        <v>476</v>
      </c>
      <c r="B105" s="4" t="s">
        <v>477</v>
      </c>
      <c r="C105" s="24" t="n">
        <v>10</v>
      </c>
      <c r="D105" s="24" t="n">
        <v>7</v>
      </c>
      <c r="E105" s="24" t="n">
        <v>5</v>
      </c>
      <c r="F105" s="13" t="s">
        <v>478</v>
      </c>
      <c r="G105" s="4" t="s">
        <v>479</v>
      </c>
      <c r="H105" s="13" t="s">
        <v>205</v>
      </c>
      <c r="I105" s="25" t="n">
        <f aca="false">INDEX(C105:E105,$C$4)</f>
        <v>7</v>
      </c>
      <c r="J105" s="13" t="s">
        <v>200</v>
      </c>
    </row>
    <row r="106" customFormat="false" ht="28.35" hidden="false" customHeight="false" outlineLevel="0" collapsed="false">
      <c r="A106" s="3" t="s">
        <v>480</v>
      </c>
      <c r="B106" s="4" t="s">
        <v>481</v>
      </c>
      <c r="C106" s="24" t="n">
        <v>4</v>
      </c>
      <c r="D106" s="24" t="n">
        <v>3</v>
      </c>
      <c r="E106" s="24" t="n">
        <v>2</v>
      </c>
      <c r="F106" s="13" t="s">
        <v>478</v>
      </c>
      <c r="G106" s="4" t="s">
        <v>482</v>
      </c>
      <c r="H106" s="13" t="s">
        <v>205</v>
      </c>
      <c r="I106" s="25" t="n">
        <f aca="false">INDEX(C106:E106,$C$4)</f>
        <v>3</v>
      </c>
      <c r="J106" s="13" t="s">
        <v>209</v>
      </c>
    </row>
    <row r="107" customFormat="false" ht="15" hidden="false" customHeight="false" outlineLevel="0" collapsed="false">
      <c r="A107" s="3" t="s">
        <v>483</v>
      </c>
      <c r="B107" s="4" t="s">
        <v>484</v>
      </c>
      <c r="C107" s="26" t="n">
        <v>8000</v>
      </c>
      <c r="D107" s="26" t="n">
        <v>18000</v>
      </c>
      <c r="E107" s="26" t="n">
        <v>30000</v>
      </c>
      <c r="F107" s="13" t="s">
        <v>453</v>
      </c>
      <c r="G107" s="4" t="s">
        <v>485</v>
      </c>
      <c r="H107" s="13" t="s">
        <v>472</v>
      </c>
      <c r="I107" s="27" t="n">
        <f aca="false">INDEX(C107:E107,$C$4)</f>
        <v>18000</v>
      </c>
      <c r="J107" s="13" t="s">
        <v>209</v>
      </c>
    </row>
    <row r="108" customFormat="false" ht="15" hidden="false" customHeight="false" outlineLevel="0" collapsed="false">
      <c r="A108" s="3" t="s">
        <v>486</v>
      </c>
      <c r="B108" s="4" t="s">
        <v>487</v>
      </c>
      <c r="C108" s="26" t="n">
        <v>20000</v>
      </c>
      <c r="D108" s="26" t="n">
        <v>25000</v>
      </c>
      <c r="E108" s="26" t="n">
        <v>25000</v>
      </c>
      <c r="F108" s="13" t="s">
        <v>453</v>
      </c>
      <c r="G108" s="4" t="s">
        <v>488</v>
      </c>
      <c r="H108" s="13" t="s">
        <v>472</v>
      </c>
      <c r="I108" s="27" t="n">
        <f aca="false">INDEX(C108:E108,$C$4)</f>
        <v>25000</v>
      </c>
      <c r="J108" s="13" t="s">
        <v>209</v>
      </c>
    </row>
    <row r="109" customFormat="false" ht="28.35" hidden="false" customHeight="false" outlineLevel="0" collapsed="false">
      <c r="A109" s="3" t="s">
        <v>489</v>
      </c>
      <c r="B109" s="4" t="s">
        <v>490</v>
      </c>
      <c r="C109" s="26" t="n">
        <v>0</v>
      </c>
      <c r="D109" s="26" t="n">
        <v>35000</v>
      </c>
      <c r="E109" s="26" t="n">
        <v>75000</v>
      </c>
      <c r="F109" s="13" t="s">
        <v>453</v>
      </c>
      <c r="G109" s="4" t="s">
        <v>491</v>
      </c>
      <c r="H109" s="13" t="s">
        <v>472</v>
      </c>
      <c r="I109" s="27" t="n">
        <f aca="false">INDEX(C109:E109,$C$4)</f>
        <v>35000</v>
      </c>
      <c r="J109" s="13" t="s">
        <v>209</v>
      </c>
    </row>
    <row r="110" customFormat="false" ht="15" hidden="false" customHeight="false" outlineLevel="0" collapsed="false">
      <c r="A110" s="3" t="s">
        <v>492</v>
      </c>
      <c r="B110" s="4" t="s">
        <v>493</v>
      </c>
      <c r="C110" s="26" t="n">
        <v>12000</v>
      </c>
      <c r="D110" s="26" t="n">
        <v>20000</v>
      </c>
      <c r="E110" s="26" t="n">
        <v>25000</v>
      </c>
      <c r="F110" s="13" t="s">
        <v>453</v>
      </c>
      <c r="G110" s="4" t="s">
        <v>491</v>
      </c>
      <c r="H110" s="13" t="s">
        <v>472</v>
      </c>
      <c r="I110" s="27" t="n">
        <f aca="false">INDEX(C110:E110,$C$4)</f>
        <v>20000</v>
      </c>
      <c r="J110" s="13" t="s">
        <v>209</v>
      </c>
    </row>
    <row r="111" customFormat="false" ht="15" hidden="false" customHeight="false" outlineLevel="0" collapsed="false">
      <c r="A111" s="3" t="s">
        <v>494</v>
      </c>
      <c r="B111" s="4" t="s">
        <v>495</v>
      </c>
      <c r="C111" s="26" t="n">
        <v>0</v>
      </c>
      <c r="D111" s="26" t="n">
        <v>20000</v>
      </c>
      <c r="E111" s="26" t="n">
        <v>35000</v>
      </c>
      <c r="F111" s="13" t="s">
        <v>453</v>
      </c>
      <c r="G111" s="4" t="s">
        <v>491</v>
      </c>
      <c r="H111" s="13" t="s">
        <v>472</v>
      </c>
      <c r="I111" s="27" t="n">
        <f aca="false">INDEX(C111:E111,$C$4)</f>
        <v>20000</v>
      </c>
      <c r="J111" s="13" t="s">
        <v>209</v>
      </c>
    </row>
    <row r="112" customFormat="false" ht="15" hidden="false" customHeight="false" outlineLevel="0" collapsed="false">
      <c r="A112" s="3" t="s">
        <v>496</v>
      </c>
      <c r="B112" s="4" t="s">
        <v>497</v>
      </c>
      <c r="C112" s="26" t="n">
        <v>50000</v>
      </c>
      <c r="D112" s="26" t="n">
        <v>120000</v>
      </c>
      <c r="E112" s="26" t="n">
        <v>250000</v>
      </c>
      <c r="F112" s="13" t="s">
        <v>203</v>
      </c>
      <c r="G112" s="4" t="s">
        <v>491</v>
      </c>
      <c r="H112" s="13" t="s">
        <v>472</v>
      </c>
      <c r="I112" s="27" t="n">
        <f aca="false">INDEX(C112:E112,$C$4)</f>
        <v>120000</v>
      </c>
      <c r="J112" s="13" t="s">
        <v>209</v>
      </c>
    </row>
    <row r="113" customFormat="false" ht="15" hidden="false" customHeight="false" outlineLevel="0" collapsed="false">
      <c r="A113" s="3" t="s">
        <v>498</v>
      </c>
      <c r="B113" s="4" t="s">
        <v>499</v>
      </c>
      <c r="C113" s="26" t="n">
        <v>0</v>
      </c>
      <c r="D113" s="26" t="n">
        <v>15000</v>
      </c>
      <c r="E113" s="26" t="n">
        <v>25000</v>
      </c>
      <c r="F113" s="13" t="s">
        <v>453</v>
      </c>
      <c r="G113" s="4" t="s">
        <v>491</v>
      </c>
      <c r="H113" s="13" t="s">
        <v>472</v>
      </c>
      <c r="I113" s="27" t="n">
        <f aca="false">INDEX(C113:E113,$C$4)</f>
        <v>15000</v>
      </c>
      <c r="J113" s="13" t="s">
        <v>209</v>
      </c>
    </row>
    <row r="114" customFormat="false" ht="15" hidden="false" customHeight="false" outlineLevel="0" collapsed="false">
      <c r="A114" s="18" t="s">
        <v>500</v>
      </c>
      <c r="B114" s="19"/>
      <c r="C114" s="19"/>
      <c r="D114" s="19"/>
      <c r="E114" s="19"/>
      <c r="F114" s="19"/>
      <c r="G114" s="19"/>
      <c r="H114" s="19"/>
      <c r="I114" s="19"/>
    </row>
    <row r="115" customFormat="false" ht="28.35" hidden="false" customHeight="false" outlineLevel="0" collapsed="false">
      <c r="A115" s="3" t="s">
        <v>501</v>
      </c>
      <c r="B115" s="4" t="s">
        <v>502</v>
      </c>
      <c r="C115" s="26" t="n">
        <v>16680</v>
      </c>
      <c r="D115" s="26" t="n">
        <v>4826</v>
      </c>
      <c r="E115" s="26" t="n">
        <v>1422</v>
      </c>
      <c r="F115" s="13" t="s">
        <v>503</v>
      </c>
      <c r="G115" s="4" t="s">
        <v>504</v>
      </c>
      <c r="H115" s="13" t="s">
        <v>505</v>
      </c>
      <c r="I115" s="27" t="n">
        <f aca="false">INDEX(C115:E115,$C$4)</f>
        <v>4826</v>
      </c>
      <c r="J115" s="13" t="s">
        <v>200</v>
      </c>
    </row>
    <row r="116" customFormat="false" ht="28.35" hidden="false" customHeight="false" outlineLevel="0" collapsed="false">
      <c r="A116" s="3" t="s">
        <v>506</v>
      </c>
      <c r="B116" s="4" t="s">
        <v>507</v>
      </c>
      <c r="C116" s="26" t="n">
        <v>64548</v>
      </c>
      <c r="D116" s="26" t="n">
        <v>37633</v>
      </c>
      <c r="E116" s="26" t="n">
        <v>9387</v>
      </c>
      <c r="F116" s="13" t="s">
        <v>453</v>
      </c>
      <c r="G116" s="4" t="s">
        <v>508</v>
      </c>
      <c r="H116" s="13" t="s">
        <v>505</v>
      </c>
      <c r="I116" s="27" t="n">
        <f aca="false">INDEX(C116:E116,$C$4)</f>
        <v>37633</v>
      </c>
      <c r="J116" s="13" t="s">
        <v>200</v>
      </c>
    </row>
    <row r="117" customFormat="false" ht="28.35" hidden="false" customHeight="false" outlineLevel="0" collapsed="false">
      <c r="A117" s="3" t="s">
        <v>509</v>
      </c>
      <c r="B117" s="4" t="s">
        <v>510</v>
      </c>
      <c r="C117" s="26" t="n">
        <v>1400</v>
      </c>
      <c r="D117" s="26" t="n">
        <v>300</v>
      </c>
      <c r="E117" s="26" t="n">
        <v>43</v>
      </c>
      <c r="F117" s="13" t="s">
        <v>441</v>
      </c>
      <c r="G117" s="4" t="s">
        <v>511</v>
      </c>
      <c r="H117" s="13" t="s">
        <v>505</v>
      </c>
      <c r="I117" s="27" t="n">
        <f aca="false">INDEX(C117:E117,$C$4)</f>
        <v>300</v>
      </c>
      <c r="J117" s="13" t="s">
        <v>200</v>
      </c>
    </row>
    <row r="118" customFormat="false" ht="28.35" hidden="false" customHeight="false" outlineLevel="0" collapsed="false">
      <c r="A118" s="3" t="s">
        <v>512</v>
      </c>
      <c r="B118" s="4" t="s">
        <v>513</v>
      </c>
      <c r="C118" s="26" t="n">
        <v>3200</v>
      </c>
      <c r="D118" s="26" t="n">
        <v>706</v>
      </c>
      <c r="E118" s="26" t="n">
        <v>160</v>
      </c>
      <c r="F118" s="13" t="s">
        <v>441</v>
      </c>
      <c r="G118" s="4" t="s">
        <v>511</v>
      </c>
      <c r="H118" s="13" t="s">
        <v>505</v>
      </c>
      <c r="I118" s="27" t="n">
        <f aca="false">INDEX(C118:E118,$C$4)</f>
        <v>706</v>
      </c>
      <c r="J118" s="13" t="s">
        <v>200</v>
      </c>
    </row>
    <row r="119" customFormat="false" ht="28.35" hidden="false" customHeight="false" outlineLevel="0" collapsed="false">
      <c r="A119" s="3" t="s">
        <v>514</v>
      </c>
      <c r="B119" s="4" t="s">
        <v>515</v>
      </c>
      <c r="C119" s="28" t="n">
        <v>0.7</v>
      </c>
      <c r="D119" s="28" t="n">
        <v>0.7</v>
      </c>
      <c r="E119" s="28" t="n">
        <v>0.7</v>
      </c>
      <c r="F119" s="13" t="s">
        <v>212</v>
      </c>
      <c r="G119" s="4" t="s">
        <v>516</v>
      </c>
      <c r="H119" s="13" t="s">
        <v>472</v>
      </c>
      <c r="I119" s="29" t="n">
        <f aca="false">INDEX(C119:E119,$C$4)</f>
        <v>0.7</v>
      </c>
      <c r="J119" s="13" t="s">
        <v>200</v>
      </c>
    </row>
    <row r="120" customFormat="false" ht="41.75" hidden="false" customHeight="false" outlineLevel="0" collapsed="false">
      <c r="A120" s="3" t="s">
        <v>517</v>
      </c>
      <c r="B120" s="4" t="s">
        <v>518</v>
      </c>
      <c r="C120" s="16" t="n">
        <f aca="false">Assumptions!$D$119*Assumptions!$D$132/(Assumptions!$D$25*(Assumptions!$D$27+Assumptions!$D$28+Assumptions!$D$31)*Assumptions!$D$115)</f>
        <v>2.41746097527283</v>
      </c>
      <c r="D120" s="16" t="n">
        <f aca="false">Assumptions!$D$119*Assumptions!$D$132/(Assumptions!$D$25*(Assumptions!$D$27+Assumptions!$D$28+Assumptions!$D$31)*Assumptions!$D$115)</f>
        <v>2.41746097527283</v>
      </c>
      <c r="E120" s="16" t="n">
        <f aca="false">Assumptions!$D$119*Assumptions!$D$132/(Assumptions!$D$25*(Assumptions!$D$27+Assumptions!$D$28+Assumptions!$D$31)*Assumptions!$D$115)</f>
        <v>2.41746097527283</v>
      </c>
      <c r="F120" s="13" t="s">
        <v>334</v>
      </c>
      <c r="G120" s="4" t="s">
        <v>519</v>
      </c>
      <c r="H120" s="13" t="s">
        <v>520</v>
      </c>
      <c r="I120" s="35" t="n">
        <f aca="false">INDEX(C120:E120,$C$4)</f>
        <v>2.41746097527283</v>
      </c>
      <c r="J120" s="13" t="s">
        <v>200</v>
      </c>
    </row>
    <row r="121" customFormat="false" ht="28.35" hidden="false" customHeight="false" outlineLevel="0" collapsed="false">
      <c r="A121" s="3" t="s">
        <v>521</v>
      </c>
      <c r="B121" s="4" t="s">
        <v>522</v>
      </c>
      <c r="C121" s="26" t="n">
        <v>10000</v>
      </c>
      <c r="D121" s="26" t="n">
        <v>15000</v>
      </c>
      <c r="E121" s="26" t="n">
        <v>15000</v>
      </c>
      <c r="F121" s="13" t="s">
        <v>203</v>
      </c>
      <c r="G121" s="4" t="s">
        <v>523</v>
      </c>
      <c r="H121" s="13" t="s">
        <v>472</v>
      </c>
      <c r="I121" s="27" t="n">
        <f aca="false">INDEX(C121:E121,$C$4)</f>
        <v>15000</v>
      </c>
      <c r="J121" s="13" t="s">
        <v>209</v>
      </c>
    </row>
    <row r="122" customFormat="false" ht="28.35" hidden="false" customHeight="false" outlineLevel="0" collapsed="false">
      <c r="A122" s="3" t="s">
        <v>524</v>
      </c>
      <c r="B122" s="4" t="s">
        <v>525</v>
      </c>
      <c r="C122" s="26" t="n">
        <v>15000</v>
      </c>
      <c r="D122" s="26" t="n">
        <v>15000</v>
      </c>
      <c r="E122" s="26" t="n">
        <v>15000</v>
      </c>
      <c r="F122" s="13" t="s">
        <v>203</v>
      </c>
      <c r="G122" s="4" t="s">
        <v>523</v>
      </c>
      <c r="H122" s="13" t="s">
        <v>472</v>
      </c>
      <c r="I122" s="27" t="n">
        <f aca="false">INDEX(C122:E122,$C$4)</f>
        <v>15000</v>
      </c>
      <c r="J122" s="13" t="s">
        <v>209</v>
      </c>
    </row>
    <row r="123" customFormat="false" ht="28.35" hidden="false" customHeight="false" outlineLevel="0" collapsed="false">
      <c r="A123" s="3" t="s">
        <v>526</v>
      </c>
      <c r="B123" s="4" t="s">
        <v>527</v>
      </c>
      <c r="C123" s="26" t="n">
        <v>30000</v>
      </c>
      <c r="D123" s="26" t="n">
        <v>40000</v>
      </c>
      <c r="E123" s="26" t="n">
        <v>50000</v>
      </c>
      <c r="F123" s="13" t="s">
        <v>203</v>
      </c>
      <c r="G123" s="4" t="s">
        <v>523</v>
      </c>
      <c r="H123" s="13" t="s">
        <v>472</v>
      </c>
      <c r="I123" s="27" t="n">
        <f aca="false">INDEX(C123:E123,$C$4)</f>
        <v>40000</v>
      </c>
      <c r="J123" s="13" t="s">
        <v>209</v>
      </c>
    </row>
    <row r="124" customFormat="false" ht="28.35" hidden="false" customHeight="false" outlineLevel="0" collapsed="false">
      <c r="A124" s="3" t="s">
        <v>528</v>
      </c>
      <c r="B124" s="4" t="s">
        <v>529</v>
      </c>
      <c r="C124" s="26" t="n">
        <v>35000</v>
      </c>
      <c r="D124" s="26" t="n">
        <v>50000</v>
      </c>
      <c r="E124" s="26" t="n">
        <v>60000</v>
      </c>
      <c r="F124" s="13" t="s">
        <v>203</v>
      </c>
      <c r="G124" s="4" t="s">
        <v>523</v>
      </c>
      <c r="H124" s="13" t="s">
        <v>472</v>
      </c>
      <c r="I124" s="27" t="n">
        <f aca="false">INDEX(C124:E124,$C$4)</f>
        <v>50000</v>
      </c>
      <c r="J124" s="13" t="s">
        <v>209</v>
      </c>
    </row>
    <row r="125" customFormat="false" ht="28.35" hidden="false" customHeight="false" outlineLevel="0" collapsed="false">
      <c r="A125" s="3" t="s">
        <v>530</v>
      </c>
      <c r="B125" s="4" t="s">
        <v>531</v>
      </c>
      <c r="C125" s="26" t="n">
        <v>40000</v>
      </c>
      <c r="D125" s="26" t="n">
        <v>60000</v>
      </c>
      <c r="E125" s="26" t="n">
        <v>60000</v>
      </c>
      <c r="F125" s="13" t="s">
        <v>203</v>
      </c>
      <c r="G125" s="4" t="s">
        <v>523</v>
      </c>
      <c r="H125" s="13" t="s">
        <v>472</v>
      </c>
      <c r="I125" s="27" t="n">
        <f aca="false">INDEX(C125:E125,$C$4)</f>
        <v>60000</v>
      </c>
      <c r="J125" s="13" t="s">
        <v>209</v>
      </c>
    </row>
    <row r="126" customFormat="false" ht="28.35" hidden="false" customHeight="false" outlineLevel="0" collapsed="false">
      <c r="A126" s="3" t="s">
        <v>532</v>
      </c>
      <c r="B126" s="4" t="s">
        <v>533</v>
      </c>
      <c r="C126" s="26" t="n">
        <v>40000</v>
      </c>
      <c r="D126" s="26" t="n">
        <v>60000</v>
      </c>
      <c r="E126" s="26" t="n">
        <v>120000</v>
      </c>
      <c r="F126" s="13" t="s">
        <v>203</v>
      </c>
      <c r="G126" s="4" t="s">
        <v>523</v>
      </c>
      <c r="H126" s="13" t="s">
        <v>472</v>
      </c>
      <c r="I126" s="27" t="n">
        <f aca="false">INDEX(C126:E126,$C$4)</f>
        <v>60000</v>
      </c>
      <c r="J126" s="13" t="s">
        <v>209</v>
      </c>
    </row>
    <row r="127" customFormat="false" ht="28.35" hidden="false" customHeight="false" outlineLevel="0" collapsed="false">
      <c r="A127" s="3" t="s">
        <v>534</v>
      </c>
      <c r="B127" s="4" t="s">
        <v>535</v>
      </c>
      <c r="C127" s="26" t="n">
        <v>40000</v>
      </c>
      <c r="D127" s="26" t="n">
        <v>80000</v>
      </c>
      <c r="E127" s="26" t="n">
        <v>170000</v>
      </c>
      <c r="F127" s="13" t="s">
        <v>203</v>
      </c>
      <c r="G127" s="4" t="s">
        <v>523</v>
      </c>
      <c r="H127" s="13" t="s">
        <v>472</v>
      </c>
      <c r="I127" s="27" t="n">
        <f aca="false">INDEX(C127:E127,$C$4)</f>
        <v>80000</v>
      </c>
      <c r="J127" s="13" t="s">
        <v>209</v>
      </c>
    </row>
    <row r="128" customFormat="false" ht="28.35" hidden="false" customHeight="false" outlineLevel="0" collapsed="false">
      <c r="A128" s="3" t="s">
        <v>536</v>
      </c>
      <c r="B128" s="4" t="s">
        <v>537</v>
      </c>
      <c r="C128" s="26" t="n">
        <v>40000</v>
      </c>
      <c r="D128" s="26" t="n">
        <v>100000</v>
      </c>
      <c r="E128" s="26" t="n">
        <v>200000</v>
      </c>
      <c r="F128" s="13" t="s">
        <v>203</v>
      </c>
      <c r="G128" s="4" t="s">
        <v>523</v>
      </c>
      <c r="H128" s="13" t="s">
        <v>472</v>
      </c>
      <c r="I128" s="27" t="n">
        <f aca="false">INDEX(C128:E128,$C$4)</f>
        <v>100000</v>
      </c>
      <c r="J128" s="13" t="s">
        <v>209</v>
      </c>
    </row>
    <row r="129" customFormat="false" ht="28.35" hidden="false" customHeight="false" outlineLevel="0" collapsed="false">
      <c r="A129" s="3" t="s">
        <v>538</v>
      </c>
      <c r="B129" s="4" t="s">
        <v>539</v>
      </c>
      <c r="C129" s="26" t="n">
        <v>40000</v>
      </c>
      <c r="D129" s="26" t="n">
        <v>100000</v>
      </c>
      <c r="E129" s="26" t="n">
        <v>200000</v>
      </c>
      <c r="F129" s="13" t="s">
        <v>203</v>
      </c>
      <c r="G129" s="4" t="s">
        <v>523</v>
      </c>
      <c r="H129" s="13" t="s">
        <v>472</v>
      </c>
      <c r="I129" s="27" t="n">
        <f aca="false">INDEX(C129:E129,$C$4)</f>
        <v>100000</v>
      </c>
      <c r="J129" s="13" t="s">
        <v>209</v>
      </c>
    </row>
    <row r="130" customFormat="false" ht="28.35" hidden="false" customHeight="false" outlineLevel="0" collapsed="false">
      <c r="A130" s="3" t="s">
        <v>540</v>
      </c>
      <c r="B130" s="4" t="s">
        <v>541</v>
      </c>
      <c r="C130" s="26" t="n">
        <v>40000</v>
      </c>
      <c r="D130" s="26" t="n">
        <v>100000</v>
      </c>
      <c r="E130" s="26" t="n">
        <v>200000</v>
      </c>
      <c r="F130" s="13" t="s">
        <v>203</v>
      </c>
      <c r="G130" s="4" t="s">
        <v>523</v>
      </c>
      <c r="H130" s="13" t="s">
        <v>472</v>
      </c>
      <c r="I130" s="27" t="n">
        <f aca="false">INDEX(C130:E130,$C$4)</f>
        <v>100000</v>
      </c>
      <c r="J130" s="13" t="s">
        <v>209</v>
      </c>
    </row>
    <row r="131" customFormat="false" ht="28.35" hidden="false" customHeight="false" outlineLevel="0" collapsed="false">
      <c r="A131" s="3" t="s">
        <v>542</v>
      </c>
      <c r="B131" s="4" t="s">
        <v>543</v>
      </c>
      <c r="C131" s="26" t="n">
        <v>40000</v>
      </c>
      <c r="D131" s="26" t="n">
        <v>100000</v>
      </c>
      <c r="E131" s="26" t="n">
        <v>200000</v>
      </c>
      <c r="F131" s="13" t="s">
        <v>203</v>
      </c>
      <c r="G131" s="4" t="s">
        <v>523</v>
      </c>
      <c r="H131" s="13" t="s">
        <v>472</v>
      </c>
      <c r="I131" s="27" t="n">
        <f aca="false">INDEX(C131:E131,$C$4)</f>
        <v>100000</v>
      </c>
      <c r="J131" s="13" t="s">
        <v>209</v>
      </c>
    </row>
    <row r="132" customFormat="false" ht="28.35" hidden="false" customHeight="false" outlineLevel="0" collapsed="false">
      <c r="A132" s="3" t="s">
        <v>544</v>
      </c>
      <c r="B132" s="4" t="s">
        <v>545</v>
      </c>
      <c r="C132" s="26" t="n">
        <v>40000</v>
      </c>
      <c r="D132" s="26" t="n">
        <v>100000</v>
      </c>
      <c r="E132" s="26" t="n">
        <v>200000</v>
      </c>
      <c r="F132" s="13" t="s">
        <v>203</v>
      </c>
      <c r="G132" s="4" t="s">
        <v>523</v>
      </c>
      <c r="H132" s="13" t="s">
        <v>472</v>
      </c>
      <c r="I132" s="27" t="n">
        <f aca="false">INDEX(C132:E132,$C$4)</f>
        <v>100000</v>
      </c>
      <c r="J132" s="13" t="s">
        <v>209</v>
      </c>
    </row>
    <row r="133" customFormat="false" ht="15" hidden="false" customHeight="false" outlineLevel="0" collapsed="false">
      <c r="A133" s="3" t="s">
        <v>546</v>
      </c>
      <c r="B133" s="4" t="s">
        <v>547</v>
      </c>
      <c r="C133" s="34" t="n">
        <v>0.7</v>
      </c>
      <c r="D133" s="34" t="n">
        <v>0.7</v>
      </c>
      <c r="E133" s="34" t="n">
        <v>0.7</v>
      </c>
      <c r="F133" s="13" t="s">
        <v>548</v>
      </c>
      <c r="G133" s="4" t="s">
        <v>549</v>
      </c>
      <c r="H133" s="13" t="s">
        <v>205</v>
      </c>
      <c r="I133" s="35" t="n">
        <f aca="false">INDEX(C133:E133,$C$4)</f>
        <v>0.7</v>
      </c>
      <c r="J133" s="13" t="s">
        <v>200</v>
      </c>
    </row>
    <row r="134" customFormat="false" ht="15" hidden="false" customHeight="false" outlineLevel="0" collapsed="false">
      <c r="A134" s="3" t="s">
        <v>550</v>
      </c>
      <c r="B134" s="4" t="s">
        <v>551</v>
      </c>
      <c r="C134" s="34" t="n">
        <v>0.8</v>
      </c>
      <c r="D134" s="34" t="n">
        <v>0.8</v>
      </c>
      <c r="E134" s="34" t="n">
        <v>0.8</v>
      </c>
      <c r="F134" s="13" t="s">
        <v>548</v>
      </c>
      <c r="G134" s="4" t="s">
        <v>549</v>
      </c>
      <c r="H134" s="13" t="s">
        <v>205</v>
      </c>
      <c r="I134" s="35" t="n">
        <f aca="false">INDEX(C134:E134,$C$4)</f>
        <v>0.8</v>
      </c>
      <c r="J134" s="13" t="s">
        <v>200</v>
      </c>
    </row>
    <row r="135" customFormat="false" ht="15" hidden="false" customHeight="false" outlineLevel="0" collapsed="false">
      <c r="A135" s="3" t="s">
        <v>552</v>
      </c>
      <c r="B135" s="4" t="s">
        <v>553</v>
      </c>
      <c r="C135" s="34" t="n">
        <v>0.9</v>
      </c>
      <c r="D135" s="34" t="n">
        <v>0.9</v>
      </c>
      <c r="E135" s="34" t="n">
        <v>0.9</v>
      </c>
      <c r="F135" s="13" t="s">
        <v>548</v>
      </c>
      <c r="G135" s="4" t="s">
        <v>549</v>
      </c>
      <c r="H135" s="13" t="s">
        <v>205</v>
      </c>
      <c r="I135" s="35" t="n">
        <f aca="false">INDEX(C135:E135,$C$4)</f>
        <v>0.9</v>
      </c>
      <c r="J135" s="13" t="s">
        <v>200</v>
      </c>
    </row>
    <row r="136" customFormat="false" ht="15" hidden="false" customHeight="false" outlineLevel="0" collapsed="false">
      <c r="A136" s="3" t="s">
        <v>554</v>
      </c>
      <c r="B136" s="4" t="s">
        <v>555</v>
      </c>
      <c r="C136" s="34" t="n">
        <v>1</v>
      </c>
      <c r="D136" s="34" t="n">
        <v>1</v>
      </c>
      <c r="E136" s="34" t="n">
        <v>1</v>
      </c>
      <c r="F136" s="13" t="s">
        <v>548</v>
      </c>
      <c r="G136" s="4" t="s">
        <v>549</v>
      </c>
      <c r="H136" s="13" t="s">
        <v>205</v>
      </c>
      <c r="I136" s="35" t="n">
        <f aca="false">INDEX(C136:E136,$C$4)</f>
        <v>1</v>
      </c>
      <c r="J136" s="13" t="s">
        <v>200</v>
      </c>
    </row>
    <row r="137" customFormat="false" ht="15" hidden="false" customHeight="false" outlineLevel="0" collapsed="false">
      <c r="A137" s="3" t="s">
        <v>556</v>
      </c>
      <c r="B137" s="4" t="s">
        <v>557</v>
      </c>
      <c r="C137" s="34" t="n">
        <v>1.3</v>
      </c>
      <c r="D137" s="34" t="n">
        <v>1.3</v>
      </c>
      <c r="E137" s="34" t="n">
        <v>1.3</v>
      </c>
      <c r="F137" s="13" t="s">
        <v>548</v>
      </c>
      <c r="G137" s="4" t="s">
        <v>549</v>
      </c>
      <c r="H137" s="13" t="s">
        <v>205</v>
      </c>
      <c r="I137" s="35" t="n">
        <f aca="false">INDEX(C137:E137,$C$4)</f>
        <v>1.3</v>
      </c>
      <c r="J137" s="13" t="s">
        <v>200</v>
      </c>
    </row>
    <row r="138" customFormat="false" ht="15" hidden="false" customHeight="false" outlineLevel="0" collapsed="false">
      <c r="A138" s="3" t="s">
        <v>558</v>
      </c>
      <c r="B138" s="4" t="s">
        <v>559</v>
      </c>
      <c r="C138" s="34" t="n">
        <v>1.35</v>
      </c>
      <c r="D138" s="34" t="n">
        <v>1.35</v>
      </c>
      <c r="E138" s="34" t="n">
        <v>1.35</v>
      </c>
      <c r="F138" s="13" t="s">
        <v>548</v>
      </c>
      <c r="G138" s="4" t="s">
        <v>549</v>
      </c>
      <c r="H138" s="13" t="s">
        <v>205</v>
      </c>
      <c r="I138" s="35" t="n">
        <f aca="false">INDEX(C138:E138,$C$4)</f>
        <v>1.35</v>
      </c>
      <c r="J138" s="13" t="s">
        <v>200</v>
      </c>
    </row>
    <row r="139" customFormat="false" ht="15" hidden="false" customHeight="false" outlineLevel="0" collapsed="false">
      <c r="A139" s="3" t="s">
        <v>560</v>
      </c>
      <c r="B139" s="4" t="s">
        <v>561</v>
      </c>
      <c r="C139" s="34" t="n">
        <v>1.25</v>
      </c>
      <c r="D139" s="34" t="n">
        <v>1.25</v>
      </c>
      <c r="E139" s="34" t="n">
        <v>1.25</v>
      </c>
      <c r="F139" s="13" t="s">
        <v>548</v>
      </c>
      <c r="G139" s="4" t="s">
        <v>549</v>
      </c>
      <c r="H139" s="13" t="s">
        <v>205</v>
      </c>
      <c r="I139" s="35" t="n">
        <f aca="false">INDEX(C139:E139,$C$4)</f>
        <v>1.25</v>
      </c>
      <c r="J139" s="13" t="s">
        <v>200</v>
      </c>
    </row>
    <row r="140" customFormat="false" ht="15" hidden="false" customHeight="false" outlineLevel="0" collapsed="false">
      <c r="A140" s="3" t="s">
        <v>562</v>
      </c>
      <c r="B140" s="4" t="s">
        <v>563</v>
      </c>
      <c r="C140" s="34" t="n">
        <v>1.1</v>
      </c>
      <c r="D140" s="34" t="n">
        <v>1.1</v>
      </c>
      <c r="E140" s="34" t="n">
        <v>1.1</v>
      </c>
      <c r="F140" s="13" t="s">
        <v>548</v>
      </c>
      <c r="G140" s="4" t="s">
        <v>549</v>
      </c>
      <c r="H140" s="13" t="s">
        <v>205</v>
      </c>
      <c r="I140" s="35" t="n">
        <f aca="false">INDEX(C140:E140,$C$4)</f>
        <v>1.1</v>
      </c>
      <c r="J140" s="13" t="s">
        <v>200</v>
      </c>
    </row>
    <row r="141" customFormat="false" ht="15" hidden="false" customHeight="false" outlineLevel="0" collapsed="false">
      <c r="A141" s="3" t="s">
        <v>564</v>
      </c>
      <c r="B141" s="4" t="s">
        <v>565</v>
      </c>
      <c r="C141" s="34" t="n">
        <v>1.05</v>
      </c>
      <c r="D141" s="34" t="n">
        <v>1.05</v>
      </c>
      <c r="E141" s="34" t="n">
        <v>1.05</v>
      </c>
      <c r="F141" s="13" t="s">
        <v>548</v>
      </c>
      <c r="G141" s="4" t="s">
        <v>549</v>
      </c>
      <c r="H141" s="13" t="s">
        <v>205</v>
      </c>
      <c r="I141" s="35" t="n">
        <f aca="false">INDEX(C141:E141,$C$4)</f>
        <v>1.05</v>
      </c>
      <c r="J141" s="13" t="s">
        <v>200</v>
      </c>
    </row>
    <row r="142" customFormat="false" ht="15" hidden="false" customHeight="false" outlineLevel="0" collapsed="false">
      <c r="A142" s="3" t="s">
        <v>566</v>
      </c>
      <c r="B142" s="4" t="s">
        <v>567</v>
      </c>
      <c r="C142" s="34" t="n">
        <v>1</v>
      </c>
      <c r="D142" s="34" t="n">
        <v>1</v>
      </c>
      <c r="E142" s="34" t="n">
        <v>1</v>
      </c>
      <c r="F142" s="13" t="s">
        <v>548</v>
      </c>
      <c r="G142" s="4" t="s">
        <v>549</v>
      </c>
      <c r="H142" s="13" t="s">
        <v>205</v>
      </c>
      <c r="I142" s="35" t="n">
        <f aca="false">INDEX(C142:E142,$C$4)</f>
        <v>1</v>
      </c>
      <c r="J142" s="13" t="s">
        <v>200</v>
      </c>
    </row>
    <row r="143" customFormat="false" ht="15" hidden="false" customHeight="false" outlineLevel="0" collapsed="false">
      <c r="A143" s="3" t="s">
        <v>568</v>
      </c>
      <c r="B143" s="4" t="s">
        <v>569</v>
      </c>
      <c r="C143" s="34" t="n">
        <v>0.8</v>
      </c>
      <c r="D143" s="34" t="n">
        <v>0.8</v>
      </c>
      <c r="E143" s="34" t="n">
        <v>0.8</v>
      </c>
      <c r="F143" s="13" t="s">
        <v>548</v>
      </c>
      <c r="G143" s="4" t="s">
        <v>549</v>
      </c>
      <c r="H143" s="13" t="s">
        <v>205</v>
      </c>
      <c r="I143" s="35" t="n">
        <f aca="false">INDEX(C143:E143,$C$4)</f>
        <v>0.8</v>
      </c>
      <c r="J143" s="13" t="s">
        <v>200</v>
      </c>
    </row>
    <row r="144" customFormat="false" ht="15" hidden="false" customHeight="false" outlineLevel="0" collapsed="false">
      <c r="A144" s="3" t="s">
        <v>570</v>
      </c>
      <c r="B144" s="4" t="s">
        <v>571</v>
      </c>
      <c r="C144" s="34" t="n">
        <v>0.75</v>
      </c>
      <c r="D144" s="34" t="n">
        <v>0.75</v>
      </c>
      <c r="E144" s="34" t="n">
        <v>0.75</v>
      </c>
      <c r="F144" s="13" t="s">
        <v>548</v>
      </c>
      <c r="G144" s="4" t="s">
        <v>549</v>
      </c>
      <c r="H144" s="13" t="s">
        <v>205</v>
      </c>
      <c r="I144" s="35" t="n">
        <f aca="false">INDEX(C144:E144,$C$4)</f>
        <v>0.75</v>
      </c>
      <c r="J144" s="13" t="s">
        <v>200</v>
      </c>
    </row>
    <row r="145" customFormat="false" ht="15" hidden="false" customHeight="false" outlineLevel="0" collapsed="false">
      <c r="A145" s="3" t="s">
        <v>572</v>
      </c>
      <c r="B145" s="4" t="s">
        <v>573</v>
      </c>
      <c r="C145" s="34" t="n">
        <v>1.2</v>
      </c>
      <c r="D145" s="34" t="n">
        <v>1.2</v>
      </c>
      <c r="E145" s="34" t="n">
        <v>1.2</v>
      </c>
      <c r="F145" s="13" t="s">
        <v>548</v>
      </c>
      <c r="G145" s="4" t="s">
        <v>574</v>
      </c>
      <c r="H145" s="13" t="s">
        <v>205</v>
      </c>
      <c r="I145" s="35" t="n">
        <f aca="false">INDEX(C145:E145,$C$4)</f>
        <v>1.2</v>
      </c>
      <c r="J145" s="13" t="s">
        <v>200</v>
      </c>
    </row>
    <row r="146" customFormat="false" ht="15" hidden="false" customHeight="false" outlineLevel="0" collapsed="false">
      <c r="A146" s="3" t="s">
        <v>575</v>
      </c>
      <c r="B146" s="4" t="s">
        <v>576</v>
      </c>
      <c r="C146" s="34" t="n">
        <v>1.3</v>
      </c>
      <c r="D146" s="34" t="n">
        <v>1.3</v>
      </c>
      <c r="E146" s="34" t="n">
        <v>1.3</v>
      </c>
      <c r="F146" s="13" t="s">
        <v>548</v>
      </c>
      <c r="G146" s="4" t="s">
        <v>574</v>
      </c>
      <c r="H146" s="13" t="s">
        <v>205</v>
      </c>
      <c r="I146" s="35" t="n">
        <f aca="false">INDEX(C146:E146,$C$4)</f>
        <v>1.3</v>
      </c>
      <c r="J146" s="13" t="s">
        <v>200</v>
      </c>
    </row>
    <row r="147" customFormat="false" ht="15" hidden="false" customHeight="false" outlineLevel="0" collapsed="false">
      <c r="A147" s="3" t="s">
        <v>577</v>
      </c>
      <c r="B147" s="4" t="s">
        <v>578</v>
      </c>
      <c r="C147" s="34" t="n">
        <v>0.9</v>
      </c>
      <c r="D147" s="34" t="n">
        <v>0.9</v>
      </c>
      <c r="E147" s="34" t="n">
        <v>0.9</v>
      </c>
      <c r="F147" s="13" t="s">
        <v>548</v>
      </c>
      <c r="G147" s="4" t="s">
        <v>574</v>
      </c>
      <c r="H147" s="13" t="s">
        <v>205</v>
      </c>
      <c r="I147" s="35" t="n">
        <f aca="false">INDEX(C147:E147,$C$4)</f>
        <v>0.9</v>
      </c>
      <c r="J147" s="13" t="s">
        <v>200</v>
      </c>
    </row>
    <row r="148" customFormat="false" ht="15" hidden="false" customHeight="false" outlineLevel="0" collapsed="false">
      <c r="A148" s="3" t="s">
        <v>579</v>
      </c>
      <c r="B148" s="4" t="s">
        <v>580</v>
      </c>
      <c r="C148" s="34" t="n">
        <v>0.8</v>
      </c>
      <c r="D148" s="34" t="n">
        <v>0.8</v>
      </c>
      <c r="E148" s="34" t="n">
        <v>0.8</v>
      </c>
      <c r="F148" s="13" t="s">
        <v>548</v>
      </c>
      <c r="G148" s="4" t="s">
        <v>574</v>
      </c>
      <c r="H148" s="13" t="s">
        <v>205</v>
      </c>
      <c r="I148" s="35" t="n">
        <f aca="false">INDEX(C148:E148,$C$4)</f>
        <v>0.8</v>
      </c>
      <c r="J148" s="13" t="s">
        <v>200</v>
      </c>
    </row>
    <row r="149" customFormat="false" ht="15" hidden="false" customHeight="false" outlineLevel="0" collapsed="false">
      <c r="A149" s="3" t="s">
        <v>581</v>
      </c>
      <c r="B149" s="4" t="s">
        <v>582</v>
      </c>
      <c r="C149" s="34" t="n">
        <v>0.7</v>
      </c>
      <c r="D149" s="34" t="n">
        <v>0.7</v>
      </c>
      <c r="E149" s="34" t="n">
        <v>0.7</v>
      </c>
      <c r="F149" s="13" t="s">
        <v>548</v>
      </c>
      <c r="G149" s="4" t="s">
        <v>574</v>
      </c>
      <c r="H149" s="13" t="s">
        <v>205</v>
      </c>
      <c r="I149" s="35" t="n">
        <f aca="false">INDEX(C149:E149,$C$4)</f>
        <v>0.7</v>
      </c>
      <c r="J149" s="13" t="s">
        <v>200</v>
      </c>
    </row>
    <row r="150" customFormat="false" ht="15" hidden="false" customHeight="false" outlineLevel="0" collapsed="false">
      <c r="A150" s="3" t="s">
        <v>583</v>
      </c>
      <c r="B150" s="4" t="s">
        <v>584</v>
      </c>
      <c r="C150" s="34" t="n">
        <v>0.6</v>
      </c>
      <c r="D150" s="34" t="n">
        <v>0.6</v>
      </c>
      <c r="E150" s="34" t="n">
        <v>0.6</v>
      </c>
      <c r="F150" s="13" t="s">
        <v>548</v>
      </c>
      <c r="G150" s="4" t="s">
        <v>574</v>
      </c>
      <c r="H150" s="13" t="s">
        <v>205</v>
      </c>
      <c r="I150" s="35" t="n">
        <f aca="false">INDEX(C150:E150,$C$4)</f>
        <v>0.6</v>
      </c>
      <c r="J150" s="13" t="s">
        <v>200</v>
      </c>
    </row>
    <row r="151" customFormat="false" ht="15" hidden="false" customHeight="false" outlineLevel="0" collapsed="false">
      <c r="A151" s="3" t="s">
        <v>585</v>
      </c>
      <c r="B151" s="4" t="s">
        <v>586</v>
      </c>
      <c r="C151" s="34" t="n">
        <v>0.6</v>
      </c>
      <c r="D151" s="34" t="n">
        <v>0.6</v>
      </c>
      <c r="E151" s="34" t="n">
        <v>0.6</v>
      </c>
      <c r="F151" s="13" t="s">
        <v>548</v>
      </c>
      <c r="G151" s="4" t="s">
        <v>574</v>
      </c>
      <c r="H151" s="13" t="s">
        <v>205</v>
      </c>
      <c r="I151" s="35" t="n">
        <f aca="false">INDEX(C151:E151,$C$4)</f>
        <v>0.6</v>
      </c>
      <c r="J151" s="13" t="s">
        <v>200</v>
      </c>
    </row>
    <row r="152" customFormat="false" ht="15" hidden="false" customHeight="false" outlineLevel="0" collapsed="false">
      <c r="A152" s="3" t="s">
        <v>587</v>
      </c>
      <c r="B152" s="4" t="s">
        <v>588</v>
      </c>
      <c r="C152" s="34" t="n">
        <v>0.8</v>
      </c>
      <c r="D152" s="34" t="n">
        <v>0.8</v>
      </c>
      <c r="E152" s="34" t="n">
        <v>0.8</v>
      </c>
      <c r="F152" s="13" t="s">
        <v>548</v>
      </c>
      <c r="G152" s="4" t="s">
        <v>574</v>
      </c>
      <c r="H152" s="13" t="s">
        <v>205</v>
      </c>
      <c r="I152" s="35" t="n">
        <f aca="false">INDEX(C152:E152,$C$4)</f>
        <v>0.8</v>
      </c>
      <c r="J152" s="13" t="s">
        <v>200</v>
      </c>
    </row>
    <row r="153" customFormat="false" ht="15" hidden="false" customHeight="false" outlineLevel="0" collapsed="false">
      <c r="A153" s="3" t="s">
        <v>589</v>
      </c>
      <c r="B153" s="4" t="s">
        <v>590</v>
      </c>
      <c r="C153" s="34" t="n">
        <v>1.1</v>
      </c>
      <c r="D153" s="34" t="n">
        <v>1.1</v>
      </c>
      <c r="E153" s="34" t="n">
        <v>1.1</v>
      </c>
      <c r="F153" s="13" t="s">
        <v>548</v>
      </c>
      <c r="G153" s="4" t="s">
        <v>574</v>
      </c>
      <c r="H153" s="13" t="s">
        <v>205</v>
      </c>
      <c r="I153" s="35" t="n">
        <f aca="false">INDEX(C153:E153,$C$4)</f>
        <v>1.1</v>
      </c>
      <c r="J153" s="13" t="s">
        <v>200</v>
      </c>
    </row>
    <row r="154" customFormat="false" ht="15" hidden="false" customHeight="false" outlineLevel="0" collapsed="false">
      <c r="A154" s="3" t="s">
        <v>591</v>
      </c>
      <c r="B154" s="4" t="s">
        <v>592</v>
      </c>
      <c r="C154" s="34" t="n">
        <v>1.4</v>
      </c>
      <c r="D154" s="34" t="n">
        <v>1.4</v>
      </c>
      <c r="E154" s="34" t="n">
        <v>1.4</v>
      </c>
      <c r="F154" s="13" t="s">
        <v>548</v>
      </c>
      <c r="G154" s="4" t="s">
        <v>574</v>
      </c>
      <c r="H154" s="13" t="s">
        <v>205</v>
      </c>
      <c r="I154" s="35" t="n">
        <f aca="false">INDEX(C154:E154,$C$4)</f>
        <v>1.4</v>
      </c>
      <c r="J154" s="13" t="s">
        <v>200</v>
      </c>
    </row>
    <row r="155" customFormat="false" ht="15" hidden="false" customHeight="false" outlineLevel="0" collapsed="false">
      <c r="A155" s="3" t="s">
        <v>593</v>
      </c>
      <c r="B155" s="4" t="s">
        <v>594</v>
      </c>
      <c r="C155" s="34" t="n">
        <v>1.4</v>
      </c>
      <c r="D155" s="34" t="n">
        <v>1.4</v>
      </c>
      <c r="E155" s="34" t="n">
        <v>1.4</v>
      </c>
      <c r="F155" s="13" t="s">
        <v>548</v>
      </c>
      <c r="G155" s="4" t="s">
        <v>574</v>
      </c>
      <c r="H155" s="13" t="s">
        <v>205</v>
      </c>
      <c r="I155" s="35" t="n">
        <f aca="false">INDEX(C155:E155,$C$4)</f>
        <v>1.4</v>
      </c>
      <c r="J155" s="13" t="s">
        <v>200</v>
      </c>
    </row>
    <row r="156" customFormat="false" ht="15" hidden="false" customHeight="false" outlineLevel="0" collapsed="false">
      <c r="A156" s="3" t="s">
        <v>595</v>
      </c>
      <c r="B156" s="4" t="s">
        <v>596</v>
      </c>
      <c r="C156" s="34" t="n">
        <v>1.2</v>
      </c>
      <c r="D156" s="34" t="n">
        <v>1.2</v>
      </c>
      <c r="E156" s="34" t="n">
        <v>1.2</v>
      </c>
      <c r="F156" s="13" t="s">
        <v>548</v>
      </c>
      <c r="G156" s="4" t="s">
        <v>574</v>
      </c>
      <c r="H156" s="13" t="s">
        <v>205</v>
      </c>
      <c r="I156" s="35" t="n">
        <f aca="false">INDEX(C156:E156,$C$4)</f>
        <v>1.2</v>
      </c>
      <c r="J156" s="13" t="s">
        <v>200</v>
      </c>
    </row>
    <row r="157" customFormat="false" ht="15" hidden="false" customHeight="false" outlineLevel="0" collapsed="false">
      <c r="A157" s="3" t="s">
        <v>597</v>
      </c>
      <c r="B157" s="4" t="s">
        <v>598</v>
      </c>
      <c r="C157" s="28" t="n">
        <v>0.6</v>
      </c>
      <c r="D157" s="28" t="n">
        <v>0.5</v>
      </c>
      <c r="E157" s="28" t="n">
        <v>0.45</v>
      </c>
      <c r="F157" s="13" t="s">
        <v>212</v>
      </c>
      <c r="G157" s="4" t="s">
        <v>599</v>
      </c>
      <c r="H157" s="13" t="s">
        <v>205</v>
      </c>
      <c r="I157" s="29" t="n">
        <f aca="false">INDEX(C157:E157,$C$4)</f>
        <v>0.5</v>
      </c>
      <c r="J157" s="13" t="s">
        <v>209</v>
      </c>
    </row>
    <row r="158" customFormat="false" ht="15" hidden="false" customHeight="false" outlineLevel="0" collapsed="false">
      <c r="A158" s="3" t="s">
        <v>600</v>
      </c>
      <c r="B158" s="4" t="s">
        <v>601</v>
      </c>
      <c r="C158" s="28" t="n">
        <v>0.4</v>
      </c>
      <c r="D158" s="28" t="n">
        <v>0.3</v>
      </c>
      <c r="E158" s="28" t="n">
        <v>0.25</v>
      </c>
      <c r="F158" s="13" t="s">
        <v>212</v>
      </c>
      <c r="G158" s="4" t="s">
        <v>602</v>
      </c>
      <c r="H158" s="13" t="s">
        <v>205</v>
      </c>
      <c r="I158" s="29" t="n">
        <f aca="false">INDEX(C158:E158,$C$4)</f>
        <v>0.3</v>
      </c>
      <c r="J158" s="13" t="s">
        <v>209</v>
      </c>
    </row>
    <row r="159" customFormat="false" ht="15" hidden="false" customHeight="false" outlineLevel="0" collapsed="false">
      <c r="A159" s="3" t="s">
        <v>603</v>
      </c>
      <c r="B159" s="4" t="s">
        <v>604</v>
      </c>
      <c r="C159" s="28" t="n">
        <v>0.2</v>
      </c>
      <c r="D159" s="28" t="n">
        <v>0.15</v>
      </c>
      <c r="E159" s="28" t="n">
        <v>0.12</v>
      </c>
      <c r="F159" s="13" t="s">
        <v>212</v>
      </c>
      <c r="G159" s="4" t="s">
        <v>605</v>
      </c>
      <c r="H159" s="13" t="s">
        <v>205</v>
      </c>
      <c r="I159" s="29" t="n">
        <f aca="false">INDEX(C159:E159,$C$4)</f>
        <v>0.15</v>
      </c>
      <c r="J159" s="13" t="s">
        <v>209</v>
      </c>
    </row>
    <row r="160" customFormat="false" ht="15" hidden="false" customHeight="false" outlineLevel="0" collapsed="false">
      <c r="A160" s="3" t="s">
        <v>606</v>
      </c>
      <c r="B160" s="4" t="s">
        <v>607</v>
      </c>
      <c r="C160" s="28" t="n">
        <v>0.12</v>
      </c>
      <c r="D160" s="28" t="n">
        <v>0.1</v>
      </c>
      <c r="E160" s="28" t="n">
        <v>0.08</v>
      </c>
      <c r="F160" s="13" t="s">
        <v>212</v>
      </c>
      <c r="G160" s="4" t="s">
        <v>608</v>
      </c>
      <c r="H160" s="13" t="s">
        <v>205</v>
      </c>
      <c r="I160" s="29" t="n">
        <f aca="false">INDEX(C160:E160,$C$4)</f>
        <v>0.1</v>
      </c>
      <c r="J160" s="13" t="s">
        <v>209</v>
      </c>
    </row>
    <row r="161" customFormat="false" ht="15" hidden="false" customHeight="false" outlineLevel="0" collapsed="false">
      <c r="A161" s="3" t="s">
        <v>609</v>
      </c>
      <c r="B161" s="4" t="s">
        <v>610</v>
      </c>
      <c r="C161" s="24" t="n">
        <v>3</v>
      </c>
      <c r="D161" s="24" t="n">
        <v>2</v>
      </c>
      <c r="E161" s="24" t="n">
        <v>1</v>
      </c>
      <c r="F161" s="13" t="s">
        <v>478</v>
      </c>
      <c r="G161" s="4" t="s">
        <v>611</v>
      </c>
      <c r="H161" s="13" t="s">
        <v>205</v>
      </c>
      <c r="I161" s="25" t="n">
        <f aca="false">INDEX(C161:E161,$C$4)</f>
        <v>2</v>
      </c>
      <c r="J161" s="13" t="s">
        <v>209</v>
      </c>
    </row>
    <row r="162" customFormat="false" ht="28.35" hidden="false" customHeight="false" outlineLevel="0" collapsed="false">
      <c r="A162" s="3" t="s">
        <v>612</v>
      </c>
      <c r="B162" s="4" t="s">
        <v>613</v>
      </c>
      <c r="C162" s="24" t="n">
        <v>99</v>
      </c>
      <c r="D162" s="24" t="n">
        <v>16</v>
      </c>
      <c r="E162" s="24" t="n">
        <v>13</v>
      </c>
      <c r="F162" s="13" t="s">
        <v>478</v>
      </c>
      <c r="G162" s="4" t="s">
        <v>614</v>
      </c>
      <c r="H162" s="13" t="s">
        <v>205</v>
      </c>
      <c r="I162" s="25" t="n">
        <f aca="false">INDEX(C162:E162,$C$4)</f>
        <v>16</v>
      </c>
      <c r="J162" s="13" t="s">
        <v>200</v>
      </c>
    </row>
    <row r="163" customFormat="false" ht="15" hidden="false" customHeight="false" outlineLevel="0" collapsed="false">
      <c r="A163" s="3" t="s">
        <v>615</v>
      </c>
      <c r="B163" s="4" t="s">
        <v>616</v>
      </c>
      <c r="C163" s="26" t="n">
        <v>75000</v>
      </c>
      <c r="D163" s="26" t="n">
        <v>75000</v>
      </c>
      <c r="E163" s="26" t="n">
        <v>75000</v>
      </c>
      <c r="F163" s="13" t="s">
        <v>203</v>
      </c>
      <c r="G163" s="4" t="s">
        <v>617</v>
      </c>
      <c r="H163" s="13" t="s">
        <v>205</v>
      </c>
      <c r="I163" s="27" t="n">
        <f aca="false">INDEX(C163:E163,$C$4)</f>
        <v>75000</v>
      </c>
      <c r="J163" s="13" t="s">
        <v>200</v>
      </c>
    </row>
    <row r="164" customFormat="false" ht="28.35" hidden="false" customHeight="false" outlineLevel="0" collapsed="false">
      <c r="A164" s="3" t="s">
        <v>618</v>
      </c>
      <c r="B164" s="4" t="s">
        <v>619</v>
      </c>
      <c r="C164" s="28" t="n">
        <v>0.4</v>
      </c>
      <c r="D164" s="28" t="n">
        <v>0.4</v>
      </c>
      <c r="E164" s="28" t="n">
        <v>0.4</v>
      </c>
      <c r="F164" s="13" t="s">
        <v>212</v>
      </c>
      <c r="G164" s="4" t="s">
        <v>620</v>
      </c>
      <c r="H164" s="13" t="s">
        <v>621</v>
      </c>
      <c r="I164" s="29" t="n">
        <f aca="false">INDEX(C164:E164,$C$4)</f>
        <v>0.4</v>
      </c>
      <c r="J164" s="13" t="s">
        <v>209</v>
      </c>
    </row>
    <row r="165" customFormat="false" ht="28.35" hidden="false" customHeight="false" outlineLevel="0" collapsed="false">
      <c r="A165" s="3" t="s">
        <v>622</v>
      </c>
      <c r="B165" s="4" t="s">
        <v>623</v>
      </c>
      <c r="C165" s="28" t="n">
        <v>0.29</v>
      </c>
      <c r="D165" s="28" t="n">
        <v>0.29</v>
      </c>
      <c r="E165" s="28" t="n">
        <v>0.29</v>
      </c>
      <c r="F165" s="13" t="s">
        <v>212</v>
      </c>
      <c r="G165" s="4" t="s">
        <v>624</v>
      </c>
      <c r="H165" s="13" t="s">
        <v>472</v>
      </c>
      <c r="I165" s="29" t="n">
        <f aca="false">INDEX(C165:E165,$C$4)</f>
        <v>0.29</v>
      </c>
      <c r="J165" s="13" t="s">
        <v>209</v>
      </c>
    </row>
    <row r="166" customFormat="false" ht="28.35" hidden="false" customHeight="false" outlineLevel="0" collapsed="false">
      <c r="A166" s="3" t="s">
        <v>625</v>
      </c>
      <c r="B166" s="4" t="s">
        <v>626</v>
      </c>
      <c r="C166" s="28" t="n">
        <v>0.125</v>
      </c>
      <c r="D166" s="28" t="n">
        <v>0.125</v>
      </c>
      <c r="E166" s="28" t="n">
        <v>0.125</v>
      </c>
      <c r="F166" s="13" t="s">
        <v>212</v>
      </c>
      <c r="G166" s="4" t="s">
        <v>627</v>
      </c>
      <c r="H166" s="13" t="s">
        <v>472</v>
      </c>
      <c r="I166" s="29" t="n">
        <f aca="false">INDEX(C166:E166,$C$4)</f>
        <v>0.125</v>
      </c>
      <c r="J166" s="13" t="s">
        <v>209</v>
      </c>
    </row>
    <row r="167" customFormat="false" ht="28.35" hidden="false" customHeight="false" outlineLevel="0" collapsed="false">
      <c r="A167" s="3" t="s">
        <v>628</v>
      </c>
      <c r="B167" s="4" t="s">
        <v>629</v>
      </c>
      <c r="C167" s="26" t="n">
        <v>60000</v>
      </c>
      <c r="D167" s="26" t="n">
        <v>60000</v>
      </c>
      <c r="E167" s="26" t="n">
        <v>60000</v>
      </c>
      <c r="F167" s="13" t="s">
        <v>453</v>
      </c>
      <c r="G167" s="4" t="s">
        <v>630</v>
      </c>
      <c r="H167" s="13" t="s">
        <v>621</v>
      </c>
      <c r="I167" s="27" t="n">
        <f aca="false">INDEX(C167:E167,$C$4)</f>
        <v>60000</v>
      </c>
      <c r="J167" s="13" t="s">
        <v>209</v>
      </c>
    </row>
    <row r="168" customFormat="false" ht="28.35" hidden="false" customHeight="false" outlineLevel="0" collapsed="false">
      <c r="A168" s="3" t="s">
        <v>631</v>
      </c>
      <c r="B168" s="4" t="s">
        <v>632</v>
      </c>
      <c r="C168" s="26" t="n">
        <v>100000</v>
      </c>
      <c r="D168" s="26" t="n">
        <v>100000</v>
      </c>
      <c r="E168" s="26" t="n">
        <v>100000</v>
      </c>
      <c r="F168" s="13" t="s">
        <v>203</v>
      </c>
      <c r="G168" s="4" t="s">
        <v>633</v>
      </c>
      <c r="H168" s="13" t="s">
        <v>621</v>
      </c>
      <c r="I168" s="27" t="n">
        <f aca="false">INDEX(C168:E168,$C$4)</f>
        <v>100000</v>
      </c>
      <c r="J168" s="13" t="s">
        <v>209</v>
      </c>
    </row>
    <row r="169" customFormat="false" ht="28.35" hidden="false" customHeight="false" outlineLevel="0" collapsed="false">
      <c r="A169" s="3" t="s">
        <v>634</v>
      </c>
      <c r="B169" s="4" t="s">
        <v>635</v>
      </c>
      <c r="C169" s="26" t="n">
        <v>10000</v>
      </c>
      <c r="D169" s="26" t="n">
        <v>8000</v>
      </c>
      <c r="E169" s="26" t="n">
        <v>6000</v>
      </c>
      <c r="F169" s="13" t="s">
        <v>453</v>
      </c>
      <c r="G169" s="4" t="s">
        <v>636</v>
      </c>
      <c r="H169" s="13" t="s">
        <v>205</v>
      </c>
      <c r="I169" s="27" t="n">
        <f aca="false">INDEX(C169:E169,$C$4)</f>
        <v>8000</v>
      </c>
      <c r="J169" s="13" t="s">
        <v>200</v>
      </c>
    </row>
    <row r="170" customFormat="false" ht="28.35" hidden="false" customHeight="false" outlineLevel="0" collapsed="false">
      <c r="A170" s="3" t="s">
        <v>637</v>
      </c>
      <c r="B170" s="4" t="s">
        <v>638</v>
      </c>
      <c r="C170" s="32" t="n">
        <v>2.5</v>
      </c>
      <c r="D170" s="32" t="n">
        <v>2.5</v>
      </c>
      <c r="E170" s="32" t="n">
        <v>2.5</v>
      </c>
      <c r="F170" s="13" t="s">
        <v>463</v>
      </c>
      <c r="G170" s="4" t="s">
        <v>639</v>
      </c>
      <c r="H170" s="13" t="s">
        <v>205</v>
      </c>
      <c r="I170" s="33" t="n">
        <f aca="false">INDEX(C170:E170,$C$4)</f>
        <v>2.5</v>
      </c>
      <c r="J170" s="13" t="s">
        <v>209</v>
      </c>
    </row>
    <row r="171" customFormat="false" ht="15" hidden="false" customHeight="false" outlineLevel="0" collapsed="false">
      <c r="A171" s="3" t="s">
        <v>640</v>
      </c>
      <c r="B171" s="4" t="s">
        <v>641</v>
      </c>
      <c r="C171" s="24" t="n">
        <v>5</v>
      </c>
      <c r="D171" s="24" t="n">
        <v>5</v>
      </c>
      <c r="E171" s="24" t="n">
        <v>5</v>
      </c>
      <c r="F171" s="13" t="s">
        <v>478</v>
      </c>
      <c r="G171" s="4" t="s">
        <v>642</v>
      </c>
      <c r="H171" s="13" t="s">
        <v>205</v>
      </c>
      <c r="I171" s="25" t="n">
        <f aca="false">INDEX(C171:E171,$C$4)</f>
        <v>5</v>
      </c>
      <c r="J171" s="13" t="s">
        <v>209</v>
      </c>
    </row>
    <row r="172" customFormat="false" ht="15" hidden="false" customHeight="false" outlineLevel="0" collapsed="false">
      <c r="A172" s="3" t="s">
        <v>643</v>
      </c>
      <c r="B172" s="4" t="s">
        <v>644</v>
      </c>
      <c r="C172" s="26" t="n">
        <v>1500000</v>
      </c>
      <c r="D172" s="26" t="n">
        <v>1500000</v>
      </c>
      <c r="E172" s="26" t="n">
        <v>1500000</v>
      </c>
      <c r="F172" s="13" t="s">
        <v>203</v>
      </c>
      <c r="G172" s="4" t="s">
        <v>645</v>
      </c>
      <c r="H172" s="13" t="s">
        <v>621</v>
      </c>
      <c r="I172" s="27" t="n">
        <f aca="false">INDEX(C172:E172,$C$4)</f>
        <v>1500000</v>
      </c>
      <c r="J172" s="13" t="s">
        <v>209</v>
      </c>
    </row>
    <row r="173" customFormat="false" ht="41.75" hidden="false" customHeight="false" outlineLevel="0" collapsed="false">
      <c r="A173" s="3" t="s">
        <v>646</v>
      </c>
      <c r="B173" s="4" t="s">
        <v>647</v>
      </c>
      <c r="C173" s="26" t="n">
        <v>15000</v>
      </c>
      <c r="D173" s="26" t="n">
        <v>15000</v>
      </c>
      <c r="E173" s="26" t="n">
        <v>15000</v>
      </c>
      <c r="F173" s="13" t="s">
        <v>453</v>
      </c>
      <c r="G173" s="4" t="s">
        <v>648</v>
      </c>
      <c r="H173" s="13" t="s">
        <v>205</v>
      </c>
      <c r="I173" s="27" t="n">
        <f aca="false">INDEX(C173:E173,$C$4)</f>
        <v>15000</v>
      </c>
      <c r="J173" s="13" t="s">
        <v>200</v>
      </c>
    </row>
    <row r="174" customFormat="false" ht="28.35" hidden="false" customHeight="false" outlineLevel="0" collapsed="false">
      <c r="A174" s="3" t="s">
        <v>649</v>
      </c>
      <c r="B174" s="4" t="s">
        <v>650</v>
      </c>
      <c r="C174" s="24" t="n">
        <v>10</v>
      </c>
      <c r="D174" s="24" t="n">
        <v>10</v>
      </c>
      <c r="E174" s="24" t="n">
        <v>10</v>
      </c>
      <c r="F174" s="13" t="s">
        <v>478</v>
      </c>
      <c r="G174" s="4" t="s">
        <v>651</v>
      </c>
      <c r="H174" s="13" t="s">
        <v>205</v>
      </c>
      <c r="I174" s="25" t="n">
        <f aca="false">INDEX(C174:E174,$C$4)</f>
        <v>10</v>
      </c>
      <c r="J174" s="13" t="s">
        <v>209</v>
      </c>
    </row>
    <row r="175" customFormat="false" ht="41.75" hidden="false" customHeight="false" outlineLevel="0" collapsed="false">
      <c r="A175" s="3" t="s">
        <v>652</v>
      </c>
      <c r="B175" s="4" t="s">
        <v>653</v>
      </c>
      <c r="C175" s="32" t="n">
        <v>4</v>
      </c>
      <c r="D175" s="32" t="n">
        <v>6</v>
      </c>
      <c r="E175" s="32" t="n">
        <v>8</v>
      </c>
      <c r="F175" s="13" t="s">
        <v>466</v>
      </c>
      <c r="G175" s="4" t="s">
        <v>654</v>
      </c>
      <c r="H175" s="13" t="s">
        <v>205</v>
      </c>
      <c r="I175" s="33" t="n">
        <f aca="false">INDEX(C175:E175,$C$4)</f>
        <v>6</v>
      </c>
      <c r="J175" s="13" t="s">
        <v>209</v>
      </c>
    </row>
    <row r="176" customFormat="false" ht="28.35" hidden="false" customHeight="false" outlineLevel="0" collapsed="false">
      <c r="A176" s="3" t="s">
        <v>655</v>
      </c>
      <c r="B176" s="4" t="s">
        <v>656</v>
      </c>
      <c r="C176" s="28" t="n">
        <v>0.6</v>
      </c>
      <c r="D176" s="28" t="n">
        <v>0.6</v>
      </c>
      <c r="E176" s="28" t="n">
        <v>0.6</v>
      </c>
      <c r="F176" s="13" t="s">
        <v>212</v>
      </c>
      <c r="G176" s="4" t="s">
        <v>657</v>
      </c>
      <c r="H176" s="13" t="s">
        <v>205</v>
      </c>
      <c r="I176" s="29" t="n">
        <f aca="false">INDEX(C176:E176,$C$4)</f>
        <v>0.6</v>
      </c>
      <c r="J176" s="13" t="s">
        <v>200</v>
      </c>
    </row>
    <row r="177" customFormat="false" ht="28.35" hidden="false" customHeight="false" outlineLevel="0" collapsed="false">
      <c r="A177" s="3" t="s">
        <v>658</v>
      </c>
      <c r="B177" s="4" t="s">
        <v>659</v>
      </c>
      <c r="C177" s="32" t="n">
        <v>3</v>
      </c>
      <c r="D177" s="32" t="n">
        <v>3</v>
      </c>
      <c r="E177" s="32" t="n">
        <v>3</v>
      </c>
      <c r="F177" s="13" t="s">
        <v>417</v>
      </c>
      <c r="G177" s="4" t="s">
        <v>660</v>
      </c>
      <c r="H177" s="13" t="s">
        <v>205</v>
      </c>
      <c r="I177" s="33" t="n">
        <f aca="false">INDEX(C177:E177,$C$4)</f>
        <v>3</v>
      </c>
      <c r="J177" s="13" t="s">
        <v>200</v>
      </c>
    </row>
    <row r="178" customFormat="false" ht="28.35" hidden="false" customHeight="false" outlineLevel="0" collapsed="false">
      <c r="A178" s="3" t="s">
        <v>661</v>
      </c>
      <c r="B178" s="4" t="s">
        <v>662</v>
      </c>
      <c r="C178" s="32" t="n">
        <v>1</v>
      </c>
      <c r="D178" s="32" t="n">
        <v>1</v>
      </c>
      <c r="E178" s="32" t="n">
        <v>1</v>
      </c>
      <c r="F178" s="13" t="s">
        <v>417</v>
      </c>
      <c r="G178" s="4" t="s">
        <v>663</v>
      </c>
      <c r="H178" s="13" t="s">
        <v>205</v>
      </c>
      <c r="I178" s="33" t="n">
        <f aca="false">INDEX(C178:E178,$C$4)</f>
        <v>1</v>
      </c>
      <c r="J178" s="13" t="s">
        <v>200</v>
      </c>
    </row>
    <row r="179" customFormat="false" ht="15" hidden="false" customHeight="false" outlineLevel="0" collapsed="false">
      <c r="A179" s="3" t="s">
        <v>664</v>
      </c>
      <c r="B179" s="4" t="s">
        <v>665</v>
      </c>
      <c r="C179" s="24" t="n">
        <v>12</v>
      </c>
      <c r="D179" s="24" t="n">
        <v>12</v>
      </c>
      <c r="E179" s="24" t="n">
        <v>12</v>
      </c>
      <c r="F179" s="13" t="s">
        <v>466</v>
      </c>
      <c r="G179" s="4" t="s">
        <v>666</v>
      </c>
      <c r="H179" s="13" t="s">
        <v>205</v>
      </c>
      <c r="I179" s="25" t="n">
        <f aca="false">INDEX(C179:E179,$C$4)</f>
        <v>12</v>
      </c>
      <c r="J179" s="13" t="s">
        <v>200</v>
      </c>
    </row>
    <row r="180" customFormat="false" ht="15" hidden="false" customHeight="false" outlineLevel="0" collapsed="false">
      <c r="A180" s="3" t="s">
        <v>667</v>
      </c>
      <c r="B180" s="4" t="s">
        <v>668</v>
      </c>
      <c r="C180" s="28" t="n">
        <v>0.75</v>
      </c>
      <c r="D180" s="28" t="n">
        <v>0.75</v>
      </c>
      <c r="E180" s="28" t="n">
        <v>0.75</v>
      </c>
      <c r="F180" s="13" t="s">
        <v>212</v>
      </c>
      <c r="G180" s="4" t="s">
        <v>669</v>
      </c>
      <c r="H180" s="13" t="s">
        <v>621</v>
      </c>
      <c r="I180" s="29" t="n">
        <f aca="false">INDEX(C180:E180,$C$4)</f>
        <v>0.75</v>
      </c>
      <c r="J180" s="13" t="s">
        <v>200</v>
      </c>
    </row>
    <row r="181" customFormat="false" ht="28.35" hidden="false" customHeight="false" outlineLevel="0" collapsed="false">
      <c r="A181" s="3" t="s">
        <v>670</v>
      </c>
      <c r="B181" s="4" t="s">
        <v>671</v>
      </c>
      <c r="C181" s="26" t="n">
        <v>500000</v>
      </c>
      <c r="D181" s="26" t="n">
        <v>500000</v>
      </c>
      <c r="E181" s="26" t="n">
        <v>500000</v>
      </c>
      <c r="F181" s="13" t="s">
        <v>203</v>
      </c>
      <c r="G181" s="4" t="s">
        <v>672</v>
      </c>
      <c r="H181" s="13" t="s">
        <v>621</v>
      </c>
      <c r="I181" s="27" t="n">
        <f aca="false">INDEX(C181:E181,$C$4)</f>
        <v>500000</v>
      </c>
      <c r="J181" s="13" t="s">
        <v>209</v>
      </c>
    </row>
    <row r="182" customFormat="false" ht="28.35" hidden="false" customHeight="false" outlineLevel="0" collapsed="false">
      <c r="A182" s="3" t="s">
        <v>673</v>
      </c>
      <c r="B182" s="4" t="s">
        <v>674</v>
      </c>
      <c r="C182" s="34" t="n">
        <v>2.1</v>
      </c>
      <c r="D182" s="34" t="n">
        <v>2.1</v>
      </c>
      <c r="E182" s="34" t="n">
        <v>2.1</v>
      </c>
      <c r="F182" s="13" t="s">
        <v>675</v>
      </c>
      <c r="G182" s="4" t="s">
        <v>676</v>
      </c>
      <c r="H182" s="13" t="s">
        <v>205</v>
      </c>
      <c r="I182" s="35" t="n">
        <f aca="false">INDEX(C182:E182,$C$4)</f>
        <v>2.1</v>
      </c>
      <c r="J182" s="13" t="s">
        <v>200</v>
      </c>
    </row>
    <row r="183" customFormat="false" ht="28.35" hidden="false" customHeight="false" outlineLevel="0" collapsed="false">
      <c r="A183" s="3" t="s">
        <v>677</v>
      </c>
      <c r="B183" s="4" t="s">
        <v>678</v>
      </c>
      <c r="C183" s="34" t="n">
        <v>4</v>
      </c>
      <c r="D183" s="34" t="n">
        <v>4</v>
      </c>
      <c r="E183" s="34" t="n">
        <v>4</v>
      </c>
      <c r="F183" s="13" t="s">
        <v>675</v>
      </c>
      <c r="G183" s="4" t="s">
        <v>676</v>
      </c>
      <c r="H183" s="13" t="s">
        <v>205</v>
      </c>
      <c r="I183" s="35" t="n">
        <f aca="false">INDEX(C183:E183,$C$4)</f>
        <v>4</v>
      </c>
      <c r="J183" s="13" t="s">
        <v>200</v>
      </c>
    </row>
    <row r="184" customFormat="false" ht="28.35" hidden="false" customHeight="false" outlineLevel="0" collapsed="false">
      <c r="A184" s="3" t="s">
        <v>679</v>
      </c>
      <c r="B184" s="4" t="s">
        <v>680</v>
      </c>
      <c r="C184" s="34" t="n">
        <v>5.37</v>
      </c>
      <c r="D184" s="34" t="n">
        <v>5.37</v>
      </c>
      <c r="E184" s="34" t="n">
        <v>5.37</v>
      </c>
      <c r="F184" s="13" t="s">
        <v>675</v>
      </c>
      <c r="G184" s="4" t="s">
        <v>676</v>
      </c>
      <c r="H184" s="13" t="s">
        <v>205</v>
      </c>
      <c r="I184" s="35" t="n">
        <f aca="false">INDEX(C184:E184,$C$4)</f>
        <v>5.37</v>
      </c>
      <c r="J184" s="13" t="s">
        <v>200</v>
      </c>
    </row>
    <row r="185" customFormat="false" ht="28.35" hidden="false" customHeight="false" outlineLevel="0" collapsed="false">
      <c r="A185" s="3" t="s">
        <v>681</v>
      </c>
      <c r="B185" s="4" t="s">
        <v>682</v>
      </c>
      <c r="C185" s="34" t="n">
        <v>6.74</v>
      </c>
      <c r="D185" s="34" t="n">
        <v>6.74</v>
      </c>
      <c r="E185" s="34" t="n">
        <v>6.74</v>
      </c>
      <c r="F185" s="13" t="s">
        <v>675</v>
      </c>
      <c r="G185" s="4" t="s">
        <v>676</v>
      </c>
      <c r="H185" s="13" t="s">
        <v>205</v>
      </c>
      <c r="I185" s="35" t="n">
        <f aca="false">INDEX(C185:E185,$C$4)</f>
        <v>6.74</v>
      </c>
      <c r="J185" s="13" t="s">
        <v>200</v>
      </c>
    </row>
    <row r="186" customFormat="false" ht="28.35" hidden="false" customHeight="false" outlineLevel="0" collapsed="false">
      <c r="A186" s="3" t="s">
        <v>683</v>
      </c>
      <c r="B186" s="4" t="s">
        <v>684</v>
      </c>
      <c r="C186" s="34" t="n">
        <v>8.13</v>
      </c>
      <c r="D186" s="34" t="n">
        <v>8.13</v>
      </c>
      <c r="E186" s="34" t="n">
        <v>8.13</v>
      </c>
      <c r="F186" s="13" t="s">
        <v>675</v>
      </c>
      <c r="G186" s="4" t="s">
        <v>676</v>
      </c>
      <c r="H186" s="13" t="s">
        <v>205</v>
      </c>
      <c r="I186" s="35" t="n">
        <f aca="false">INDEX(C186:E186,$C$4)</f>
        <v>8.13</v>
      </c>
      <c r="J186" s="13" t="s">
        <v>200</v>
      </c>
    </row>
    <row r="187" customFormat="false" ht="28.35" hidden="false" customHeight="false" outlineLevel="0" collapsed="false">
      <c r="A187" s="3" t="s">
        <v>685</v>
      </c>
      <c r="B187" s="4" t="s">
        <v>686</v>
      </c>
      <c r="C187" s="34" t="n">
        <v>9.48</v>
      </c>
      <c r="D187" s="34" t="n">
        <v>9.48</v>
      </c>
      <c r="E187" s="34" t="n">
        <v>9.48</v>
      </c>
      <c r="F187" s="13" t="s">
        <v>675</v>
      </c>
      <c r="G187" s="4" t="s">
        <v>676</v>
      </c>
      <c r="H187" s="13" t="s">
        <v>205</v>
      </c>
      <c r="I187" s="35" t="n">
        <f aca="false">INDEX(C187:E187,$C$4)</f>
        <v>9.48</v>
      </c>
      <c r="J187" s="13" t="s">
        <v>200</v>
      </c>
    </row>
    <row r="188" customFormat="false" ht="28.35" hidden="false" customHeight="false" outlineLevel="0" collapsed="false">
      <c r="A188" s="3" t="s">
        <v>687</v>
      </c>
      <c r="B188" s="4" t="s">
        <v>688</v>
      </c>
      <c r="C188" s="34" t="n">
        <v>10.87</v>
      </c>
      <c r="D188" s="34" t="n">
        <v>10.87</v>
      </c>
      <c r="E188" s="34" t="n">
        <v>10.87</v>
      </c>
      <c r="F188" s="13" t="s">
        <v>675</v>
      </c>
      <c r="G188" s="4" t="s">
        <v>676</v>
      </c>
      <c r="H188" s="13" t="s">
        <v>205</v>
      </c>
      <c r="I188" s="35" t="n">
        <f aca="false">INDEX(C188:E188,$C$4)</f>
        <v>10.87</v>
      </c>
      <c r="J188" s="13" t="s">
        <v>200</v>
      </c>
    </row>
    <row r="189" customFormat="false" ht="28.35" hidden="false" customHeight="false" outlineLevel="0" collapsed="false">
      <c r="A189" s="3" t="s">
        <v>689</v>
      </c>
      <c r="B189" s="4" t="s">
        <v>690</v>
      </c>
      <c r="C189" s="34" t="n">
        <v>2.1</v>
      </c>
      <c r="D189" s="34" t="n">
        <v>2.1</v>
      </c>
      <c r="E189" s="34" t="n">
        <v>2.1</v>
      </c>
      <c r="F189" s="13" t="s">
        <v>675</v>
      </c>
      <c r="G189" s="4" t="s">
        <v>691</v>
      </c>
      <c r="H189" s="13" t="s">
        <v>205</v>
      </c>
      <c r="I189" s="35" t="n">
        <f aca="false">INDEX(C189:E189,$C$4)</f>
        <v>2.1</v>
      </c>
      <c r="J189" s="13" t="s">
        <v>200</v>
      </c>
    </row>
    <row r="190" customFormat="false" ht="28.35" hidden="false" customHeight="false" outlineLevel="0" collapsed="false">
      <c r="A190" s="3" t="s">
        <v>692</v>
      </c>
      <c r="B190" s="4" t="s">
        <v>693</v>
      </c>
      <c r="C190" s="34" t="n">
        <v>4</v>
      </c>
      <c r="D190" s="34" t="n">
        <v>4</v>
      </c>
      <c r="E190" s="34" t="n">
        <v>4</v>
      </c>
      <c r="F190" s="13" t="s">
        <v>675</v>
      </c>
      <c r="G190" s="4" t="s">
        <v>691</v>
      </c>
      <c r="H190" s="13" t="s">
        <v>205</v>
      </c>
      <c r="I190" s="35" t="n">
        <f aca="false">INDEX(C190:E190,$C$4)</f>
        <v>4</v>
      </c>
      <c r="J190" s="13" t="s">
        <v>200</v>
      </c>
    </row>
    <row r="191" customFormat="false" ht="28.35" hidden="false" customHeight="false" outlineLevel="0" collapsed="false">
      <c r="A191" s="3" t="s">
        <v>694</v>
      </c>
      <c r="B191" s="4" t="s">
        <v>695</v>
      </c>
      <c r="C191" s="34" t="n">
        <v>5.83</v>
      </c>
      <c r="D191" s="34" t="n">
        <v>5.83</v>
      </c>
      <c r="E191" s="34" t="n">
        <v>5.83</v>
      </c>
      <c r="F191" s="13" t="s">
        <v>675</v>
      </c>
      <c r="G191" s="4" t="s">
        <v>691</v>
      </c>
      <c r="H191" s="13" t="s">
        <v>205</v>
      </c>
      <c r="I191" s="35" t="n">
        <f aca="false">INDEX(C191:E191,$C$4)</f>
        <v>5.83</v>
      </c>
      <c r="J191" s="13" t="s">
        <v>200</v>
      </c>
    </row>
    <row r="192" customFormat="false" ht="28.35" hidden="false" customHeight="false" outlineLevel="0" collapsed="false">
      <c r="A192" s="3" t="s">
        <v>696</v>
      </c>
      <c r="B192" s="4" t="s">
        <v>697</v>
      </c>
      <c r="C192" s="34" t="n">
        <v>7.67</v>
      </c>
      <c r="D192" s="34" t="n">
        <v>7.67</v>
      </c>
      <c r="E192" s="34" t="n">
        <v>7.67</v>
      </c>
      <c r="F192" s="13" t="s">
        <v>675</v>
      </c>
      <c r="G192" s="4" t="s">
        <v>691</v>
      </c>
      <c r="H192" s="13" t="s">
        <v>205</v>
      </c>
      <c r="I192" s="35" t="n">
        <f aca="false">INDEX(C192:E192,$C$4)</f>
        <v>7.67</v>
      </c>
      <c r="J192" s="13" t="s">
        <v>200</v>
      </c>
    </row>
    <row r="193" customFormat="false" ht="28.35" hidden="false" customHeight="false" outlineLevel="0" collapsed="false">
      <c r="A193" s="3" t="s">
        <v>698</v>
      </c>
      <c r="B193" s="4" t="s">
        <v>699</v>
      </c>
      <c r="C193" s="34" t="n">
        <v>9.48</v>
      </c>
      <c r="D193" s="34" t="n">
        <v>9.48</v>
      </c>
      <c r="E193" s="34" t="n">
        <v>9.48</v>
      </c>
      <c r="F193" s="13" t="s">
        <v>675</v>
      </c>
      <c r="G193" s="4" t="s">
        <v>691</v>
      </c>
      <c r="H193" s="13" t="s">
        <v>205</v>
      </c>
      <c r="I193" s="35" t="n">
        <f aca="false">INDEX(C193:E193,$C$4)</f>
        <v>9.48</v>
      </c>
      <c r="J193" s="13" t="s">
        <v>200</v>
      </c>
    </row>
    <row r="194" customFormat="false" ht="28.35" hidden="false" customHeight="false" outlineLevel="0" collapsed="false">
      <c r="A194" s="3" t="s">
        <v>700</v>
      </c>
      <c r="B194" s="4" t="s">
        <v>701</v>
      </c>
      <c r="C194" s="34" t="n">
        <v>11.33</v>
      </c>
      <c r="D194" s="34" t="n">
        <v>11.33</v>
      </c>
      <c r="E194" s="34" t="n">
        <v>11.33</v>
      </c>
      <c r="F194" s="13" t="s">
        <v>675</v>
      </c>
      <c r="G194" s="4" t="s">
        <v>691</v>
      </c>
      <c r="H194" s="13" t="s">
        <v>205</v>
      </c>
      <c r="I194" s="35" t="n">
        <f aca="false">INDEX(C194:E194,$C$4)</f>
        <v>11.33</v>
      </c>
      <c r="J194" s="13" t="s">
        <v>200</v>
      </c>
    </row>
    <row r="195" customFormat="false" ht="28.35" hidden="false" customHeight="false" outlineLevel="0" collapsed="false">
      <c r="A195" s="3" t="s">
        <v>702</v>
      </c>
      <c r="B195" s="4" t="s">
        <v>703</v>
      </c>
      <c r="C195" s="28" t="n">
        <v>-0.1</v>
      </c>
      <c r="D195" s="28" t="n">
        <v>-0.1</v>
      </c>
      <c r="E195" s="28" t="n">
        <v>-0.1</v>
      </c>
      <c r="F195" s="13" t="s">
        <v>212</v>
      </c>
      <c r="G195" s="4" t="s">
        <v>704</v>
      </c>
      <c r="H195" s="13" t="s">
        <v>205</v>
      </c>
      <c r="I195" s="29" t="n">
        <f aca="false">INDEX(C195:E195,$C$4)</f>
        <v>-0.1</v>
      </c>
      <c r="J195" s="13" t="s">
        <v>200</v>
      </c>
    </row>
    <row r="196" customFormat="false" ht="28.35" hidden="false" customHeight="false" outlineLevel="0" collapsed="false">
      <c r="A196" s="3" t="s">
        <v>705</v>
      </c>
      <c r="B196" s="4" t="s">
        <v>706</v>
      </c>
      <c r="C196" s="28" t="n">
        <v>-0.2</v>
      </c>
      <c r="D196" s="28" t="n">
        <v>-0.2</v>
      </c>
      <c r="E196" s="28" t="n">
        <v>-0.2</v>
      </c>
      <c r="F196" s="13" t="s">
        <v>212</v>
      </c>
      <c r="G196" s="4" t="s">
        <v>707</v>
      </c>
      <c r="H196" s="13" t="s">
        <v>205</v>
      </c>
      <c r="I196" s="29" t="n">
        <f aca="false">INDEX(C196:E196,$C$4)</f>
        <v>-0.2</v>
      </c>
      <c r="J196" s="13" t="s">
        <v>200</v>
      </c>
    </row>
    <row r="197" customFormat="false" ht="15" hidden="false" customHeight="false" outlineLevel="0" collapsed="false">
      <c r="A197" s="3" t="s">
        <v>708</v>
      </c>
      <c r="B197" s="4" t="s">
        <v>709</v>
      </c>
      <c r="C197" s="26" t="n">
        <v>25000</v>
      </c>
      <c r="D197" s="26" t="n">
        <v>20000</v>
      </c>
      <c r="E197" s="26" t="n">
        <v>18000</v>
      </c>
      <c r="F197" s="13" t="s">
        <v>203</v>
      </c>
      <c r="G197" s="4" t="s">
        <v>710</v>
      </c>
      <c r="H197" s="13" t="s">
        <v>205</v>
      </c>
      <c r="I197" s="27" t="n">
        <f aca="false">INDEX(C197:E197,$C$4)</f>
        <v>20000</v>
      </c>
      <c r="J197" s="13" t="s">
        <v>200</v>
      </c>
    </row>
    <row r="198" customFormat="false" ht="28.35" hidden="false" customHeight="false" outlineLevel="0" collapsed="false">
      <c r="A198" s="3" t="s">
        <v>711</v>
      </c>
      <c r="B198" s="4" t="s">
        <v>712</v>
      </c>
      <c r="C198" s="26" t="n">
        <v>54000</v>
      </c>
      <c r="D198" s="26" t="n">
        <v>43500</v>
      </c>
      <c r="E198" s="26" t="n">
        <v>33000</v>
      </c>
      <c r="F198" s="13" t="s">
        <v>203</v>
      </c>
      <c r="G198" s="4" t="s">
        <v>713</v>
      </c>
      <c r="H198" s="13" t="s">
        <v>472</v>
      </c>
      <c r="I198" s="27" t="n">
        <f aca="false">INDEX(C198:E198,$C$4)</f>
        <v>43500</v>
      </c>
      <c r="J198" s="13" t="s">
        <v>200</v>
      </c>
    </row>
    <row r="199" customFormat="false" ht="28.35" hidden="false" customHeight="false" outlineLevel="0" collapsed="false">
      <c r="A199" s="3" t="s">
        <v>714</v>
      </c>
      <c r="B199" s="4" t="s">
        <v>715</v>
      </c>
      <c r="C199" s="26" t="n">
        <v>28000</v>
      </c>
      <c r="D199" s="26" t="n">
        <v>22500</v>
      </c>
      <c r="E199" s="26" t="n">
        <v>17000</v>
      </c>
      <c r="F199" s="13" t="s">
        <v>203</v>
      </c>
      <c r="G199" s="4" t="s">
        <v>716</v>
      </c>
      <c r="H199" s="13" t="s">
        <v>472</v>
      </c>
      <c r="I199" s="27" t="n">
        <f aca="false">INDEX(C199:E199,$C$4)</f>
        <v>22500</v>
      </c>
      <c r="J199" s="13" t="s">
        <v>200</v>
      </c>
    </row>
    <row r="200" customFormat="false" ht="15" hidden="false" customHeight="false" outlineLevel="0" collapsed="false">
      <c r="A200" s="3" t="s">
        <v>717</v>
      </c>
      <c r="B200" s="4" t="s">
        <v>718</v>
      </c>
      <c r="C200" s="26" t="n">
        <v>150</v>
      </c>
      <c r="D200" s="26" t="n">
        <v>120</v>
      </c>
      <c r="E200" s="26" t="n">
        <v>100</v>
      </c>
      <c r="F200" s="13" t="s">
        <v>719</v>
      </c>
      <c r="G200" s="4" t="s">
        <v>720</v>
      </c>
      <c r="H200" s="13" t="s">
        <v>205</v>
      </c>
      <c r="I200" s="27" t="n">
        <f aca="false">INDEX(C200:E200,$C$4)</f>
        <v>120</v>
      </c>
      <c r="J200" s="13" t="s">
        <v>200</v>
      </c>
    </row>
    <row r="201" customFormat="false" ht="15" hidden="false" customHeight="false" outlineLevel="0" collapsed="false">
      <c r="A201" s="3" t="s">
        <v>721</v>
      </c>
      <c r="B201" s="4" t="s">
        <v>722</v>
      </c>
      <c r="C201" s="24" t="n">
        <v>60</v>
      </c>
      <c r="D201" s="24" t="n">
        <v>60</v>
      </c>
      <c r="E201" s="24" t="n">
        <v>60</v>
      </c>
      <c r="F201" s="13" t="s">
        <v>723</v>
      </c>
      <c r="G201" s="4" t="s">
        <v>724</v>
      </c>
      <c r="H201" s="13" t="s">
        <v>472</v>
      </c>
      <c r="I201" s="25" t="n">
        <f aca="false">INDEX(C201:E201,$C$4)</f>
        <v>60</v>
      </c>
      <c r="J201" s="13" t="s">
        <v>200</v>
      </c>
    </row>
    <row r="202" customFormat="false" ht="15" hidden="false" customHeight="false" outlineLevel="0" collapsed="false">
      <c r="A202" s="3" t="s">
        <v>725</v>
      </c>
      <c r="B202" s="4" t="s">
        <v>726</v>
      </c>
      <c r="C202" s="24" t="n">
        <v>60</v>
      </c>
      <c r="D202" s="24" t="n">
        <v>60</v>
      </c>
      <c r="E202" s="24" t="n">
        <v>60</v>
      </c>
      <c r="F202" s="13" t="s">
        <v>723</v>
      </c>
      <c r="G202" s="4" t="s">
        <v>727</v>
      </c>
      <c r="H202" s="13" t="s">
        <v>472</v>
      </c>
      <c r="I202" s="25" t="n">
        <f aca="false">INDEX(C202:E202,$C$4)</f>
        <v>60</v>
      </c>
      <c r="J202" s="13" t="s">
        <v>200</v>
      </c>
    </row>
    <row r="203" customFormat="false" ht="28.35" hidden="false" customHeight="false" outlineLevel="0" collapsed="false">
      <c r="A203" s="3" t="s">
        <v>728</v>
      </c>
      <c r="B203" s="4" t="s">
        <v>729</v>
      </c>
      <c r="C203" s="32" t="n">
        <v>0.5</v>
      </c>
      <c r="D203" s="32" t="n">
        <v>1</v>
      </c>
      <c r="E203" s="32" t="n">
        <v>1</v>
      </c>
      <c r="F203" s="13" t="s">
        <v>730</v>
      </c>
      <c r="G203" s="4" t="s">
        <v>731</v>
      </c>
      <c r="H203" s="13" t="s">
        <v>205</v>
      </c>
      <c r="I203" s="33" t="n">
        <f aca="false">INDEX(C203:E203,$C$4)</f>
        <v>1</v>
      </c>
      <c r="J203" s="13" t="s">
        <v>209</v>
      </c>
    </row>
    <row r="204" customFormat="false" ht="28.35" hidden="false" customHeight="false" outlineLevel="0" collapsed="false">
      <c r="A204" s="3" t="s">
        <v>732</v>
      </c>
      <c r="B204" s="4" t="s">
        <v>733</v>
      </c>
      <c r="C204" s="26" t="n">
        <v>75000</v>
      </c>
      <c r="D204" s="26" t="n">
        <v>75000</v>
      </c>
      <c r="E204" s="26" t="n">
        <v>75000</v>
      </c>
      <c r="F204" s="13" t="s">
        <v>453</v>
      </c>
      <c r="G204" s="4" t="s">
        <v>734</v>
      </c>
      <c r="H204" s="13" t="s">
        <v>205</v>
      </c>
      <c r="I204" s="27" t="n">
        <f aca="false">INDEX(C204:E204,$C$4)</f>
        <v>75000</v>
      </c>
      <c r="J204" s="13" t="s">
        <v>200</v>
      </c>
    </row>
    <row r="205" customFormat="false" ht="15" hidden="false" customHeight="false" outlineLevel="0" collapsed="false">
      <c r="A205" s="3" t="s">
        <v>735</v>
      </c>
      <c r="B205" s="4" t="s">
        <v>736</v>
      </c>
      <c r="C205" s="24" t="n">
        <v>3</v>
      </c>
      <c r="D205" s="24" t="n">
        <v>1</v>
      </c>
      <c r="E205" s="24" t="n">
        <v>1</v>
      </c>
      <c r="F205" s="13" t="s">
        <v>478</v>
      </c>
      <c r="G205" s="4" t="s">
        <v>737</v>
      </c>
      <c r="H205" s="13" t="s">
        <v>472</v>
      </c>
      <c r="I205" s="25" t="n">
        <f aca="false">INDEX(C205:E205,$C$4)</f>
        <v>1</v>
      </c>
      <c r="J205" s="13" t="s">
        <v>209</v>
      </c>
    </row>
    <row r="206" customFormat="false" ht="15" hidden="false" customHeight="false" outlineLevel="0" collapsed="false">
      <c r="A206" s="3" t="s">
        <v>738</v>
      </c>
      <c r="B206" s="4" t="s">
        <v>739</v>
      </c>
      <c r="C206" s="32" t="n">
        <v>0</v>
      </c>
      <c r="D206" s="32" t="n">
        <v>0.5</v>
      </c>
      <c r="E206" s="32" t="n">
        <v>1</v>
      </c>
      <c r="F206" s="13" t="s">
        <v>730</v>
      </c>
      <c r="G206" s="4" t="s">
        <v>740</v>
      </c>
      <c r="H206" s="13" t="s">
        <v>472</v>
      </c>
      <c r="I206" s="33" t="n">
        <f aca="false">INDEX(C206:E206,$C$4)</f>
        <v>0.5</v>
      </c>
      <c r="J206" s="13" t="s">
        <v>209</v>
      </c>
    </row>
    <row r="207" customFormat="false" ht="15" hidden="false" customHeight="false" outlineLevel="0" collapsed="false">
      <c r="A207" s="3" t="s">
        <v>741</v>
      </c>
      <c r="B207" s="4" t="s">
        <v>742</v>
      </c>
      <c r="C207" s="24" t="n">
        <v>99</v>
      </c>
      <c r="D207" s="24" t="n">
        <v>7</v>
      </c>
      <c r="E207" s="24" t="n">
        <v>4</v>
      </c>
      <c r="F207" s="13" t="s">
        <v>478</v>
      </c>
      <c r="G207" s="4" t="s">
        <v>743</v>
      </c>
      <c r="H207" s="13" t="s">
        <v>472</v>
      </c>
      <c r="I207" s="25" t="n">
        <f aca="false">INDEX(C207:E207,$C$4)</f>
        <v>7</v>
      </c>
      <c r="J207" s="13" t="s">
        <v>209</v>
      </c>
    </row>
    <row r="208" customFormat="false" ht="15" hidden="false" customHeight="false" outlineLevel="0" collapsed="false">
      <c r="A208" s="3" t="s">
        <v>744</v>
      </c>
      <c r="B208" s="4" t="s">
        <v>745</v>
      </c>
      <c r="C208" s="24" t="n">
        <v>2</v>
      </c>
      <c r="D208" s="24" t="n">
        <v>2</v>
      </c>
      <c r="E208" s="24" t="n">
        <v>2</v>
      </c>
      <c r="F208" s="13" t="s">
        <v>478</v>
      </c>
      <c r="G208" s="4" t="s">
        <v>746</v>
      </c>
      <c r="H208" s="13" t="s">
        <v>472</v>
      </c>
      <c r="I208" s="25" t="n">
        <f aca="false">INDEX(C208:E208,$C$4)</f>
        <v>2</v>
      </c>
      <c r="J208" s="13" t="s">
        <v>209</v>
      </c>
    </row>
    <row r="209" customFormat="false" ht="15" hidden="false" customHeight="false" outlineLevel="0" collapsed="false">
      <c r="A209" s="3" t="s">
        <v>747</v>
      </c>
      <c r="B209" s="4" t="s">
        <v>748</v>
      </c>
      <c r="C209" s="24" t="n">
        <v>2</v>
      </c>
      <c r="D209" s="24" t="n">
        <v>2</v>
      </c>
      <c r="E209" s="24" t="n">
        <v>2</v>
      </c>
      <c r="F209" s="13" t="s">
        <v>478</v>
      </c>
      <c r="G209" s="4" t="s">
        <v>749</v>
      </c>
      <c r="H209" s="13" t="s">
        <v>472</v>
      </c>
      <c r="I209" s="25" t="n">
        <f aca="false">INDEX(C209:E209,$C$4)</f>
        <v>2</v>
      </c>
      <c r="J209" s="13" t="s">
        <v>209</v>
      </c>
    </row>
    <row r="210" customFormat="false" ht="15" hidden="false" customHeight="false" outlineLevel="0" collapsed="false">
      <c r="A210" s="3" t="s">
        <v>750</v>
      </c>
      <c r="B210" s="4" t="s">
        <v>751</v>
      </c>
      <c r="C210" s="24" t="n">
        <v>3</v>
      </c>
      <c r="D210" s="24" t="n">
        <v>3</v>
      </c>
      <c r="E210" s="24" t="n">
        <v>3</v>
      </c>
      <c r="F210" s="13" t="s">
        <v>478</v>
      </c>
      <c r="G210" s="4" t="s">
        <v>752</v>
      </c>
      <c r="H210" s="13" t="s">
        <v>472</v>
      </c>
      <c r="I210" s="25" t="n">
        <f aca="false">INDEX(C210:E210,$C$4)</f>
        <v>3</v>
      </c>
      <c r="J210" s="13" t="s">
        <v>209</v>
      </c>
    </row>
    <row r="211" customFormat="false" ht="15" hidden="false" customHeight="false" outlineLevel="0" collapsed="false">
      <c r="A211" s="3" t="s">
        <v>753</v>
      </c>
      <c r="B211" s="4" t="s">
        <v>754</v>
      </c>
      <c r="C211" s="24" t="n">
        <v>1</v>
      </c>
      <c r="D211" s="24" t="n">
        <v>2</v>
      </c>
      <c r="E211" s="24" t="n">
        <v>1</v>
      </c>
      <c r="F211" s="13" t="s">
        <v>478</v>
      </c>
      <c r="G211" s="4" t="s">
        <v>755</v>
      </c>
      <c r="H211" s="13" t="s">
        <v>472</v>
      </c>
      <c r="I211" s="25" t="n">
        <f aca="false">INDEX(C211:E211,$C$4)</f>
        <v>2</v>
      </c>
      <c r="J211" s="13" t="s">
        <v>209</v>
      </c>
    </row>
    <row r="212" customFormat="false" ht="28.35" hidden="false" customHeight="false" outlineLevel="0" collapsed="false">
      <c r="A212" s="3" t="s">
        <v>756</v>
      </c>
      <c r="B212" s="4" t="s">
        <v>757</v>
      </c>
      <c r="C212" s="26" t="n">
        <v>3333</v>
      </c>
      <c r="D212" s="26" t="n">
        <v>15833</v>
      </c>
      <c r="E212" s="26" t="n">
        <v>19167</v>
      </c>
      <c r="F212" s="13" t="s">
        <v>453</v>
      </c>
      <c r="G212" s="4" t="s">
        <v>758</v>
      </c>
      <c r="H212" s="13" t="s">
        <v>472</v>
      </c>
      <c r="I212" s="27" t="n">
        <f aca="false">INDEX(C212:E212,$C$4)</f>
        <v>15833</v>
      </c>
      <c r="J212" s="13" t="s">
        <v>209</v>
      </c>
    </row>
    <row r="213" customFormat="false" ht="15" hidden="false" customHeight="false" outlineLevel="0" collapsed="false">
      <c r="A213" s="3" t="s">
        <v>759</v>
      </c>
      <c r="B213" s="4" t="s">
        <v>760</v>
      </c>
      <c r="C213" s="24" t="n">
        <v>8</v>
      </c>
      <c r="D213" s="24" t="n">
        <v>8</v>
      </c>
      <c r="E213" s="24" t="n">
        <v>8</v>
      </c>
      <c r="F213" s="13" t="s">
        <v>761</v>
      </c>
      <c r="G213" s="4" t="s">
        <v>762</v>
      </c>
      <c r="H213" s="13" t="s">
        <v>205</v>
      </c>
      <c r="I213" s="25" t="n">
        <f aca="false">INDEX(C213:E213,$C$4)</f>
        <v>8</v>
      </c>
      <c r="J213" s="13" t="s">
        <v>200</v>
      </c>
    </row>
    <row r="214" customFormat="false" ht="15" hidden="false" customHeight="false" outlineLevel="0" collapsed="false">
      <c r="A214" s="3" t="s">
        <v>763</v>
      </c>
      <c r="B214" s="4" t="s">
        <v>764</v>
      </c>
      <c r="C214" s="32" t="n">
        <v>2</v>
      </c>
      <c r="D214" s="32" t="n">
        <v>2</v>
      </c>
      <c r="E214" s="32" t="n">
        <v>2</v>
      </c>
      <c r="F214" s="13" t="s">
        <v>463</v>
      </c>
      <c r="G214" s="4" t="s">
        <v>765</v>
      </c>
      <c r="H214" s="13" t="s">
        <v>205</v>
      </c>
      <c r="I214" s="33" t="n">
        <f aca="false">INDEX(C214:E214,$C$4)</f>
        <v>2</v>
      </c>
      <c r="J214" s="13" t="s">
        <v>209</v>
      </c>
    </row>
    <row r="215" customFormat="false" ht="28.35" hidden="false" customHeight="false" outlineLevel="0" collapsed="false">
      <c r="A215" s="3" t="s">
        <v>766</v>
      </c>
      <c r="B215" s="4" t="s">
        <v>767</v>
      </c>
      <c r="C215" s="24" t="n">
        <v>99</v>
      </c>
      <c r="D215" s="24" t="n">
        <v>7</v>
      </c>
      <c r="E215" s="24" t="n">
        <v>4</v>
      </c>
      <c r="F215" s="13" t="s">
        <v>478</v>
      </c>
      <c r="G215" s="4" t="s">
        <v>768</v>
      </c>
      <c r="H215" s="13" t="s">
        <v>205</v>
      </c>
      <c r="I215" s="25" t="n">
        <f aca="false">INDEX(C215:E215,$C$4)</f>
        <v>7</v>
      </c>
      <c r="J215" s="13" t="s">
        <v>209</v>
      </c>
    </row>
    <row r="216" customFormat="false" ht="15" hidden="false" customHeight="false" outlineLevel="0" collapsed="false">
      <c r="A216" s="3" t="s">
        <v>769</v>
      </c>
      <c r="B216" s="4" t="s">
        <v>770</v>
      </c>
      <c r="C216" s="24" t="n">
        <v>0</v>
      </c>
      <c r="D216" s="24" t="n">
        <v>1300</v>
      </c>
      <c r="E216" s="24" t="n">
        <v>1600</v>
      </c>
      <c r="F216" s="13" t="s">
        <v>771</v>
      </c>
      <c r="G216" s="4" t="s">
        <v>772</v>
      </c>
      <c r="H216" s="13" t="s">
        <v>205</v>
      </c>
      <c r="I216" s="25" t="n">
        <f aca="false">INDEX(C216:E216,$C$4)</f>
        <v>1300</v>
      </c>
      <c r="J216" s="13" t="s">
        <v>209</v>
      </c>
    </row>
    <row r="217" customFormat="false" ht="28.35" hidden="false" customHeight="false" outlineLevel="0" collapsed="false">
      <c r="A217" s="3" t="s">
        <v>773</v>
      </c>
      <c r="B217" s="4" t="s">
        <v>774</v>
      </c>
      <c r="C217" s="26" t="n">
        <v>113</v>
      </c>
      <c r="D217" s="26" t="n">
        <v>80</v>
      </c>
      <c r="E217" s="26" t="n">
        <v>80</v>
      </c>
      <c r="F217" s="13" t="s">
        <v>775</v>
      </c>
      <c r="G217" s="4" t="s">
        <v>776</v>
      </c>
      <c r="H217" s="13" t="s">
        <v>777</v>
      </c>
      <c r="I217" s="27" t="n">
        <f aca="false">INDEX(C217:E217,$C$4)</f>
        <v>80</v>
      </c>
      <c r="J217" s="13" t="s">
        <v>200</v>
      </c>
    </row>
    <row r="218" customFormat="false" ht="15" hidden="false" customHeight="false" outlineLevel="0" collapsed="false">
      <c r="A218" s="3" t="s">
        <v>778</v>
      </c>
      <c r="B218" s="4" t="s">
        <v>779</v>
      </c>
      <c r="C218" s="24" t="n">
        <v>8</v>
      </c>
      <c r="D218" s="24" t="n">
        <v>12</v>
      </c>
      <c r="E218" s="24" t="n">
        <v>16</v>
      </c>
      <c r="F218" s="13" t="s">
        <v>761</v>
      </c>
      <c r="G218" s="4" t="s">
        <v>780</v>
      </c>
      <c r="H218" s="13" t="s">
        <v>205</v>
      </c>
      <c r="I218" s="25" t="n">
        <f aca="false">INDEX(C218:E218,$C$4)</f>
        <v>12</v>
      </c>
      <c r="J218" s="13" t="s">
        <v>209</v>
      </c>
    </row>
    <row r="219" customFormat="false" ht="15" hidden="false" customHeight="false" outlineLevel="0" collapsed="false">
      <c r="A219" s="3" t="s">
        <v>781</v>
      </c>
      <c r="B219" s="4" t="s">
        <v>782</v>
      </c>
      <c r="C219" s="32" t="n">
        <v>2</v>
      </c>
      <c r="D219" s="32" t="n">
        <v>2.5</v>
      </c>
      <c r="E219" s="32" t="n">
        <v>2.5</v>
      </c>
      <c r="F219" s="13" t="s">
        <v>463</v>
      </c>
      <c r="G219" s="4" t="s">
        <v>783</v>
      </c>
      <c r="H219" s="13" t="s">
        <v>205</v>
      </c>
      <c r="I219" s="33" t="n">
        <f aca="false">INDEX(C219:E219,$C$4)</f>
        <v>2.5</v>
      </c>
      <c r="J219" s="13" t="s">
        <v>209</v>
      </c>
    </row>
    <row r="220" customFormat="false" ht="15" hidden="false" customHeight="false" outlineLevel="0" collapsed="false">
      <c r="A220" s="3" t="s">
        <v>784</v>
      </c>
      <c r="B220" s="4" t="s">
        <v>785</v>
      </c>
      <c r="C220" s="28" t="n">
        <v>0.9</v>
      </c>
      <c r="D220" s="28" t="n">
        <v>0.9</v>
      </c>
      <c r="E220" s="28" t="n">
        <v>0.9</v>
      </c>
      <c r="F220" s="13" t="s">
        <v>212</v>
      </c>
      <c r="G220" s="4" t="s">
        <v>786</v>
      </c>
      <c r="H220" s="13" t="s">
        <v>205</v>
      </c>
      <c r="I220" s="29" t="n">
        <f aca="false">INDEX(C220:E220,$C$4)</f>
        <v>0.9</v>
      </c>
      <c r="J220" s="13" t="s">
        <v>200</v>
      </c>
    </row>
    <row r="221" customFormat="false" ht="28.35" hidden="false" customHeight="false" outlineLevel="0" collapsed="false">
      <c r="A221" s="3" t="s">
        <v>787</v>
      </c>
      <c r="B221" s="4" t="s">
        <v>788</v>
      </c>
      <c r="C221" s="26" t="n">
        <v>45000</v>
      </c>
      <c r="D221" s="26" t="n">
        <v>35000</v>
      </c>
      <c r="E221" s="26" t="n">
        <v>35000</v>
      </c>
      <c r="F221" s="13" t="s">
        <v>453</v>
      </c>
      <c r="G221" s="4" t="s">
        <v>789</v>
      </c>
      <c r="H221" s="13" t="s">
        <v>205</v>
      </c>
      <c r="I221" s="27" t="n">
        <f aca="false">INDEX(C221:E221,$C$4)</f>
        <v>35000</v>
      </c>
      <c r="J221" s="13" t="s">
        <v>200</v>
      </c>
    </row>
    <row r="222" customFormat="false" ht="15" hidden="false" customHeight="false" outlineLevel="0" collapsed="false">
      <c r="A222" s="3" t="s">
        <v>790</v>
      </c>
      <c r="B222" s="4" t="s">
        <v>791</v>
      </c>
      <c r="C222" s="26" t="n">
        <v>12000</v>
      </c>
      <c r="D222" s="26" t="n">
        <v>10000</v>
      </c>
      <c r="E222" s="26" t="n">
        <v>10000</v>
      </c>
      <c r="F222" s="13" t="s">
        <v>453</v>
      </c>
      <c r="G222" s="4" t="s">
        <v>442</v>
      </c>
      <c r="H222" s="13" t="s">
        <v>205</v>
      </c>
      <c r="I222" s="27" t="n">
        <f aca="false">INDEX(C222:E222,$C$4)</f>
        <v>10000</v>
      </c>
      <c r="J222" s="13" t="s">
        <v>200</v>
      </c>
    </row>
    <row r="223" customFormat="false" ht="15" hidden="false" customHeight="false" outlineLevel="0" collapsed="false">
      <c r="A223" s="3" t="s">
        <v>792</v>
      </c>
      <c r="B223" s="4" t="s">
        <v>793</v>
      </c>
      <c r="C223" s="26" t="n">
        <v>14</v>
      </c>
      <c r="D223" s="26" t="n">
        <v>12</v>
      </c>
      <c r="E223" s="26" t="n">
        <v>12</v>
      </c>
      <c r="F223" s="13" t="s">
        <v>775</v>
      </c>
      <c r="G223" s="4" t="s">
        <v>794</v>
      </c>
      <c r="H223" s="13" t="s">
        <v>205</v>
      </c>
      <c r="I223" s="27" t="n">
        <f aca="false">INDEX(C223:E223,$C$4)</f>
        <v>12</v>
      </c>
      <c r="J223" s="13" t="s">
        <v>200</v>
      </c>
    </row>
    <row r="224" customFormat="false" ht="15" hidden="false" customHeight="false" outlineLevel="0" collapsed="false">
      <c r="A224" s="3" t="s">
        <v>795</v>
      </c>
      <c r="B224" s="4" t="s">
        <v>796</v>
      </c>
      <c r="C224" s="26" t="n">
        <v>900</v>
      </c>
      <c r="D224" s="26" t="n">
        <v>800</v>
      </c>
      <c r="E224" s="26" t="n">
        <v>800</v>
      </c>
      <c r="F224" s="13" t="s">
        <v>797</v>
      </c>
      <c r="G224" s="4" t="s">
        <v>798</v>
      </c>
      <c r="H224" s="13" t="s">
        <v>472</v>
      </c>
      <c r="I224" s="27" t="n">
        <f aca="false">INDEX(C224:E224,$C$4)</f>
        <v>800</v>
      </c>
      <c r="J224" s="13" t="s">
        <v>200</v>
      </c>
    </row>
    <row r="225" customFormat="false" ht="28.35" hidden="false" customHeight="false" outlineLevel="0" collapsed="false">
      <c r="A225" s="3" t="s">
        <v>799</v>
      </c>
      <c r="B225" s="4" t="s">
        <v>800</v>
      </c>
      <c r="C225" s="26" t="n">
        <v>35000</v>
      </c>
      <c r="D225" s="26" t="n">
        <v>30000</v>
      </c>
      <c r="E225" s="26" t="n">
        <v>30000</v>
      </c>
      <c r="F225" s="13" t="s">
        <v>801</v>
      </c>
      <c r="G225" s="4" t="s">
        <v>442</v>
      </c>
      <c r="H225" s="13" t="s">
        <v>205</v>
      </c>
      <c r="I225" s="27" t="n">
        <f aca="false">INDEX(C225:E225,$C$4)</f>
        <v>30000</v>
      </c>
      <c r="J225" s="13" t="s">
        <v>200</v>
      </c>
    </row>
    <row r="226" customFormat="false" ht="15" hidden="false" customHeight="false" outlineLevel="0" collapsed="false">
      <c r="A226" s="3" t="s">
        <v>802</v>
      </c>
      <c r="B226" s="4" t="s">
        <v>803</v>
      </c>
      <c r="C226" s="32" t="n">
        <v>3</v>
      </c>
      <c r="D226" s="32" t="n">
        <v>3</v>
      </c>
      <c r="E226" s="32" t="n">
        <v>3</v>
      </c>
      <c r="F226" s="13" t="s">
        <v>804</v>
      </c>
      <c r="G226" s="4" t="s">
        <v>805</v>
      </c>
      <c r="H226" s="13" t="s">
        <v>205</v>
      </c>
      <c r="I226" s="33" t="n">
        <f aca="false">INDEX(C226:E226,$C$4)</f>
        <v>3</v>
      </c>
      <c r="J226" s="13" t="s">
        <v>200</v>
      </c>
    </row>
    <row r="227" customFormat="false" ht="15" hidden="false" customHeight="false" outlineLevel="0" collapsed="false">
      <c r="A227" s="3" t="s">
        <v>806</v>
      </c>
      <c r="B227" s="4" t="s">
        <v>807</v>
      </c>
      <c r="C227" s="26" t="n">
        <v>0</v>
      </c>
      <c r="D227" s="26" t="n">
        <v>18000</v>
      </c>
      <c r="E227" s="26" t="n">
        <v>18000</v>
      </c>
      <c r="F227" s="13" t="s">
        <v>453</v>
      </c>
      <c r="G227" s="4" t="s">
        <v>442</v>
      </c>
      <c r="H227" s="13" t="s">
        <v>205</v>
      </c>
      <c r="I227" s="27" t="n">
        <f aca="false">INDEX(C227:E227,$C$4)</f>
        <v>18000</v>
      </c>
      <c r="J227" s="13" t="s">
        <v>209</v>
      </c>
    </row>
    <row r="228" customFormat="false" ht="15" hidden="false" customHeight="false" outlineLevel="0" collapsed="false">
      <c r="A228" s="3" t="s">
        <v>808</v>
      </c>
      <c r="B228" s="4" t="s">
        <v>809</v>
      </c>
      <c r="C228" s="26" t="n">
        <v>65000</v>
      </c>
      <c r="D228" s="26" t="n">
        <v>65000</v>
      </c>
      <c r="E228" s="26" t="n">
        <v>65000</v>
      </c>
      <c r="F228" s="13" t="s">
        <v>453</v>
      </c>
      <c r="G228" s="4" t="s">
        <v>810</v>
      </c>
      <c r="H228" s="13" t="s">
        <v>205</v>
      </c>
      <c r="I228" s="27" t="n">
        <f aca="false">INDEX(C228:E228,$C$4)</f>
        <v>65000</v>
      </c>
      <c r="J228" s="13" t="s">
        <v>200</v>
      </c>
    </row>
    <row r="229" customFormat="false" ht="15" hidden="false" customHeight="false" outlineLevel="0" collapsed="false">
      <c r="A229" s="3" t="s">
        <v>811</v>
      </c>
      <c r="B229" s="4" t="s">
        <v>812</v>
      </c>
      <c r="C229" s="24" t="n">
        <v>99</v>
      </c>
      <c r="D229" s="24" t="n">
        <v>13</v>
      </c>
      <c r="E229" s="24" t="n">
        <v>10</v>
      </c>
      <c r="F229" s="13" t="s">
        <v>478</v>
      </c>
      <c r="G229" s="4" t="s">
        <v>813</v>
      </c>
      <c r="H229" s="13" t="s">
        <v>205</v>
      </c>
      <c r="I229" s="25" t="n">
        <f aca="false">INDEX(C229:E229,$C$4)</f>
        <v>13</v>
      </c>
      <c r="J229" s="13" t="s">
        <v>209</v>
      </c>
    </row>
    <row r="230" customFormat="false" ht="15" hidden="false" customHeight="false" outlineLevel="0" collapsed="false">
      <c r="A230" s="3" t="s">
        <v>814</v>
      </c>
      <c r="B230" s="4" t="s">
        <v>815</v>
      </c>
      <c r="C230" s="26" t="n">
        <v>5000</v>
      </c>
      <c r="D230" s="26" t="n">
        <v>5000</v>
      </c>
      <c r="E230" s="26" t="n">
        <v>8000</v>
      </c>
      <c r="F230" s="13" t="s">
        <v>453</v>
      </c>
      <c r="G230" s="4" t="s">
        <v>816</v>
      </c>
      <c r="H230" s="13" t="s">
        <v>205</v>
      </c>
      <c r="I230" s="27" t="n">
        <f aca="false">INDEX(C230:E230,$C$4)</f>
        <v>5000</v>
      </c>
      <c r="J230" s="13" t="s">
        <v>209</v>
      </c>
    </row>
    <row r="231" customFormat="false" ht="41.75" hidden="false" customHeight="false" outlineLevel="0" collapsed="false">
      <c r="A231" s="3" t="s">
        <v>817</v>
      </c>
      <c r="B231" s="4" t="s">
        <v>818</v>
      </c>
      <c r="C231" s="24" t="n">
        <v>99</v>
      </c>
      <c r="D231" s="24" t="n">
        <v>10</v>
      </c>
      <c r="E231" s="24" t="n">
        <v>8</v>
      </c>
      <c r="F231" s="13" t="s">
        <v>478</v>
      </c>
      <c r="G231" s="4" t="s">
        <v>819</v>
      </c>
      <c r="H231" s="13" t="s">
        <v>205</v>
      </c>
      <c r="I231" s="25" t="n">
        <f aca="false">INDEX(C231:E231,$C$4)</f>
        <v>10</v>
      </c>
      <c r="J231" s="13" t="s">
        <v>209</v>
      </c>
    </row>
    <row r="232" customFormat="false" ht="28.35" hidden="false" customHeight="false" outlineLevel="0" collapsed="false">
      <c r="A232" s="3" t="s">
        <v>820</v>
      </c>
      <c r="B232" s="4" t="s">
        <v>821</v>
      </c>
      <c r="C232" s="26" t="n">
        <v>100000</v>
      </c>
      <c r="D232" s="26" t="n">
        <v>350000</v>
      </c>
      <c r="E232" s="26" t="n">
        <v>550000</v>
      </c>
      <c r="F232" s="13" t="s">
        <v>203</v>
      </c>
      <c r="G232" s="4" t="s">
        <v>822</v>
      </c>
      <c r="H232" s="13" t="s">
        <v>472</v>
      </c>
      <c r="I232" s="27" t="n">
        <f aca="false">INDEX(C232:E232,$C$4)</f>
        <v>350000</v>
      </c>
      <c r="J232" s="13" t="s">
        <v>209</v>
      </c>
    </row>
    <row r="233" customFormat="false" ht="15" hidden="false" customHeight="false" outlineLevel="0" collapsed="false">
      <c r="A233" s="3" t="s">
        <v>823</v>
      </c>
      <c r="B233" s="4" t="s">
        <v>824</v>
      </c>
      <c r="C233" s="24" t="n">
        <v>99</v>
      </c>
      <c r="D233" s="24" t="n">
        <v>9</v>
      </c>
      <c r="E233" s="24" t="n">
        <v>6</v>
      </c>
      <c r="F233" s="13" t="s">
        <v>478</v>
      </c>
      <c r="G233" s="4" t="s">
        <v>825</v>
      </c>
      <c r="H233" s="13" t="s">
        <v>205</v>
      </c>
      <c r="I233" s="25" t="n">
        <f aca="false">INDEX(C233:E233,$C$4)</f>
        <v>9</v>
      </c>
      <c r="J233" s="13" t="s">
        <v>209</v>
      </c>
    </row>
    <row r="234" customFormat="false" ht="15" hidden="false" customHeight="false" outlineLevel="0" collapsed="false">
      <c r="A234" s="3" t="s">
        <v>826</v>
      </c>
      <c r="B234" s="4" t="s">
        <v>827</v>
      </c>
      <c r="C234" s="24" t="n">
        <v>12</v>
      </c>
      <c r="D234" s="24" t="n">
        <v>24</v>
      </c>
      <c r="E234" s="24" t="n">
        <v>30</v>
      </c>
      <c r="F234" s="13" t="s">
        <v>828</v>
      </c>
      <c r="G234" s="4" t="s">
        <v>829</v>
      </c>
      <c r="H234" s="13" t="s">
        <v>205</v>
      </c>
      <c r="I234" s="25" t="n">
        <f aca="false">INDEX(C234:E234,$C$4)</f>
        <v>24</v>
      </c>
      <c r="J234" s="13" t="s">
        <v>209</v>
      </c>
    </row>
    <row r="235" customFormat="false" ht="15" hidden="false" customHeight="false" outlineLevel="0" collapsed="false">
      <c r="A235" s="3" t="s">
        <v>830</v>
      </c>
      <c r="B235" s="4" t="s">
        <v>831</v>
      </c>
      <c r="C235" s="28" t="n">
        <v>0.75</v>
      </c>
      <c r="D235" s="28" t="n">
        <v>0.85</v>
      </c>
      <c r="E235" s="28" t="n">
        <v>0.9</v>
      </c>
      <c r="F235" s="13" t="s">
        <v>212</v>
      </c>
      <c r="G235" s="4" t="s">
        <v>832</v>
      </c>
      <c r="H235" s="13" t="s">
        <v>205</v>
      </c>
      <c r="I235" s="29" t="n">
        <f aca="false">INDEX(C235:E235,$C$4)</f>
        <v>0.85</v>
      </c>
      <c r="J235" s="13" t="s">
        <v>200</v>
      </c>
    </row>
    <row r="236" customFormat="false" ht="15" hidden="false" customHeight="false" outlineLevel="0" collapsed="false">
      <c r="A236" s="3" t="s">
        <v>833</v>
      </c>
      <c r="B236" s="4" t="s">
        <v>834</v>
      </c>
      <c r="C236" s="24" t="n">
        <v>10</v>
      </c>
      <c r="D236" s="24" t="n">
        <v>15</v>
      </c>
      <c r="E236" s="24" t="n">
        <v>22</v>
      </c>
      <c r="F236" s="13" t="s">
        <v>828</v>
      </c>
      <c r="G236" s="4" t="s">
        <v>835</v>
      </c>
      <c r="H236" s="13" t="s">
        <v>205</v>
      </c>
      <c r="I236" s="25" t="n">
        <f aca="false">INDEX(C236:E236,$C$4)</f>
        <v>15</v>
      </c>
      <c r="J236" s="13" t="s">
        <v>209</v>
      </c>
    </row>
    <row r="237" customFormat="false" ht="15" hidden="false" customHeight="false" outlineLevel="0" collapsed="false">
      <c r="A237" s="3" t="s">
        <v>836</v>
      </c>
      <c r="B237" s="4" t="s">
        <v>837</v>
      </c>
      <c r="C237" s="26" t="n">
        <v>12000</v>
      </c>
      <c r="D237" s="26" t="n">
        <v>15000</v>
      </c>
      <c r="E237" s="26" t="n">
        <v>20000</v>
      </c>
      <c r="F237" s="13" t="s">
        <v>453</v>
      </c>
      <c r="G237" s="4" t="s">
        <v>442</v>
      </c>
      <c r="H237" s="13" t="s">
        <v>205</v>
      </c>
      <c r="I237" s="27" t="n">
        <f aca="false">INDEX(C237:E237,$C$4)</f>
        <v>15000</v>
      </c>
      <c r="J237" s="13" t="s">
        <v>209</v>
      </c>
    </row>
    <row r="238" customFormat="false" ht="28.35" hidden="false" customHeight="false" outlineLevel="0" collapsed="false">
      <c r="A238" s="3" t="s">
        <v>838</v>
      </c>
      <c r="B238" s="4" t="s">
        <v>839</v>
      </c>
      <c r="C238" s="26" t="n">
        <v>50000</v>
      </c>
      <c r="D238" s="26" t="n">
        <v>150000</v>
      </c>
      <c r="E238" s="26" t="n">
        <v>200000</v>
      </c>
      <c r="F238" s="13" t="s">
        <v>203</v>
      </c>
      <c r="G238" s="4" t="s">
        <v>840</v>
      </c>
      <c r="H238" s="13" t="s">
        <v>472</v>
      </c>
      <c r="I238" s="27" t="n">
        <f aca="false">INDEX(C238:E238,$C$4)</f>
        <v>150000</v>
      </c>
      <c r="J238" s="13" t="s">
        <v>209</v>
      </c>
    </row>
    <row r="239" customFormat="false" ht="28.35" hidden="false" customHeight="false" outlineLevel="0" collapsed="false">
      <c r="A239" s="3" t="s">
        <v>841</v>
      </c>
      <c r="B239" s="4" t="s">
        <v>842</v>
      </c>
      <c r="C239" s="26" t="n">
        <v>50000</v>
      </c>
      <c r="D239" s="26" t="n">
        <v>150000</v>
      </c>
      <c r="E239" s="26" t="n">
        <v>250000</v>
      </c>
      <c r="F239" s="13" t="s">
        <v>203</v>
      </c>
      <c r="G239" s="4" t="s">
        <v>843</v>
      </c>
      <c r="H239" s="13" t="s">
        <v>472</v>
      </c>
      <c r="I239" s="27" t="n">
        <f aca="false">INDEX(C239:E239,$C$4)</f>
        <v>150000</v>
      </c>
      <c r="J239" s="13" t="s">
        <v>209</v>
      </c>
    </row>
    <row r="240" customFormat="false" ht="15" hidden="false" customHeight="false" outlineLevel="0" collapsed="false">
      <c r="A240" s="3" t="s">
        <v>844</v>
      </c>
      <c r="B240" s="4" t="s">
        <v>845</v>
      </c>
      <c r="C240" s="28" t="n">
        <v>0.2</v>
      </c>
      <c r="D240" s="28" t="n">
        <v>0.2</v>
      </c>
      <c r="E240" s="28" t="n">
        <v>0.2</v>
      </c>
      <c r="F240" s="13" t="s">
        <v>212</v>
      </c>
      <c r="G240" s="4" t="s">
        <v>265</v>
      </c>
      <c r="H240" s="13" t="s">
        <v>205</v>
      </c>
      <c r="I240" s="29" t="n">
        <f aca="false">INDEX(C240:E240,$C$4)</f>
        <v>0.2</v>
      </c>
      <c r="J240" s="13" t="s">
        <v>200</v>
      </c>
    </row>
    <row r="241" customFormat="false" ht="15" hidden="false" customHeight="false" outlineLevel="0" collapsed="false">
      <c r="A241" s="3" t="s">
        <v>846</v>
      </c>
      <c r="B241" s="4" t="s">
        <v>847</v>
      </c>
      <c r="C241" s="28" t="n">
        <v>0.05</v>
      </c>
      <c r="D241" s="28" t="n">
        <v>0.1</v>
      </c>
      <c r="E241" s="28" t="n">
        <v>0.15</v>
      </c>
      <c r="F241" s="13" t="s">
        <v>212</v>
      </c>
      <c r="G241" s="4" t="s">
        <v>848</v>
      </c>
      <c r="H241" s="13" t="s">
        <v>205</v>
      </c>
      <c r="I241" s="29" t="n">
        <f aca="false">INDEX(C241:E241,$C$4)</f>
        <v>0.1</v>
      </c>
      <c r="J241" s="13" t="s">
        <v>209</v>
      </c>
    </row>
    <row r="242" customFormat="false" ht="15" hidden="false" customHeight="false" outlineLevel="0" collapsed="false">
      <c r="A242" s="3" t="s">
        <v>849</v>
      </c>
      <c r="B242" s="4" t="s">
        <v>850</v>
      </c>
      <c r="C242" s="28" t="n">
        <v>0.05</v>
      </c>
      <c r="D242" s="28" t="n">
        <v>0.1</v>
      </c>
      <c r="E242" s="28" t="n">
        <v>0.12</v>
      </c>
      <c r="F242" s="13" t="s">
        <v>212</v>
      </c>
      <c r="G242" s="4" t="s">
        <v>848</v>
      </c>
      <c r="H242" s="13" t="s">
        <v>205</v>
      </c>
      <c r="I242" s="29" t="n">
        <f aca="false">INDEX(C242:E242,$C$4)</f>
        <v>0.1</v>
      </c>
      <c r="J242" s="13" t="s">
        <v>209</v>
      </c>
    </row>
    <row r="243" customFormat="false" ht="15" hidden="false" customHeight="false" outlineLevel="0" collapsed="false">
      <c r="A243" s="3" t="s">
        <v>851</v>
      </c>
      <c r="B243" s="4" t="s">
        <v>852</v>
      </c>
      <c r="C243" s="28" t="n">
        <v>0.15</v>
      </c>
      <c r="D243" s="28" t="n">
        <v>0.25</v>
      </c>
      <c r="E243" s="28" t="n">
        <v>0.35</v>
      </c>
      <c r="F243" s="13" t="s">
        <v>212</v>
      </c>
      <c r="G243" s="4" t="s">
        <v>853</v>
      </c>
      <c r="H243" s="13" t="s">
        <v>205</v>
      </c>
      <c r="I243" s="29" t="n">
        <f aca="false">INDEX(C243:E243,$C$4)</f>
        <v>0.25</v>
      </c>
      <c r="J243" s="13" t="s">
        <v>209</v>
      </c>
    </row>
    <row r="244" customFormat="false" ht="15" hidden="false" customHeight="false" outlineLevel="0" collapsed="false">
      <c r="A244" s="3" t="s">
        <v>854</v>
      </c>
      <c r="B244" s="4" t="s">
        <v>855</v>
      </c>
      <c r="C244" s="28" t="n">
        <v>0.18</v>
      </c>
      <c r="D244" s="28" t="n">
        <v>0.3</v>
      </c>
      <c r="E244" s="28" t="n">
        <v>0.4</v>
      </c>
      <c r="F244" s="13" t="s">
        <v>212</v>
      </c>
      <c r="G244" s="4" t="s">
        <v>856</v>
      </c>
      <c r="H244" s="13" t="s">
        <v>205</v>
      </c>
      <c r="I244" s="29" t="n">
        <f aca="false">INDEX(C244:E244,$C$4)</f>
        <v>0.3</v>
      </c>
      <c r="J244" s="13" t="s">
        <v>209</v>
      </c>
    </row>
    <row r="245" customFormat="false" ht="28.35" hidden="false" customHeight="false" outlineLevel="0" collapsed="false">
      <c r="A245" s="3" t="s">
        <v>857</v>
      </c>
      <c r="B245" s="4" t="s">
        <v>858</v>
      </c>
      <c r="C245" s="24" t="n">
        <v>0</v>
      </c>
      <c r="D245" s="24" t="n">
        <v>15</v>
      </c>
      <c r="E245" s="24" t="n">
        <v>30</v>
      </c>
      <c r="F245" s="13" t="s">
        <v>466</v>
      </c>
      <c r="G245" s="4" t="s">
        <v>859</v>
      </c>
      <c r="H245" s="13" t="s">
        <v>205</v>
      </c>
      <c r="I245" s="25" t="n">
        <f aca="false">INDEX(C245:E245,$C$4)</f>
        <v>15</v>
      </c>
      <c r="J245" s="13" t="s">
        <v>209</v>
      </c>
    </row>
    <row r="246" customFormat="false" ht="15" hidden="false" customHeight="false" outlineLevel="0" collapsed="false">
      <c r="A246" s="3" t="s">
        <v>860</v>
      </c>
      <c r="B246" s="4" t="s">
        <v>861</v>
      </c>
      <c r="C246" s="24" t="n">
        <v>8</v>
      </c>
      <c r="D246" s="24" t="n">
        <v>35</v>
      </c>
      <c r="E246" s="24" t="n">
        <v>60</v>
      </c>
      <c r="F246" s="13" t="s">
        <v>466</v>
      </c>
      <c r="G246" s="4" t="s">
        <v>862</v>
      </c>
      <c r="H246" s="13" t="s">
        <v>205</v>
      </c>
      <c r="I246" s="25" t="n">
        <f aca="false">INDEX(C246:E246,$C$4)</f>
        <v>35</v>
      </c>
      <c r="J246" s="13" t="s">
        <v>209</v>
      </c>
    </row>
    <row r="247" customFormat="false" ht="15" hidden="false" customHeight="false" outlineLevel="0" collapsed="false">
      <c r="A247" s="3" t="s">
        <v>863</v>
      </c>
      <c r="B247" s="4" t="s">
        <v>864</v>
      </c>
      <c r="C247" s="24" t="n">
        <v>110</v>
      </c>
      <c r="D247" s="24" t="n">
        <v>220</v>
      </c>
      <c r="E247" s="24" t="n">
        <v>330</v>
      </c>
      <c r="F247" s="13" t="s">
        <v>865</v>
      </c>
      <c r="G247" s="4" t="s">
        <v>866</v>
      </c>
      <c r="H247" s="13" t="s">
        <v>205</v>
      </c>
      <c r="I247" s="25" t="n">
        <f aca="false">INDEX(C247:E247,$C$4)</f>
        <v>220</v>
      </c>
      <c r="J247" s="13" t="s">
        <v>209</v>
      </c>
    </row>
    <row r="248" customFormat="false" ht="15" hidden="false" customHeight="false" outlineLevel="0" collapsed="false">
      <c r="A248" s="3" t="s">
        <v>867</v>
      </c>
      <c r="B248" s="4" t="s">
        <v>868</v>
      </c>
      <c r="C248" s="24" t="n">
        <v>130</v>
      </c>
      <c r="D248" s="24" t="n">
        <v>280</v>
      </c>
      <c r="E248" s="24" t="n">
        <v>420</v>
      </c>
      <c r="F248" s="13" t="s">
        <v>865</v>
      </c>
      <c r="G248" s="4" t="s">
        <v>869</v>
      </c>
      <c r="H248" s="13" t="s">
        <v>205</v>
      </c>
      <c r="I248" s="25" t="n">
        <f aca="false">INDEX(C248:E248,$C$4)</f>
        <v>280</v>
      </c>
      <c r="J248" s="13" t="s">
        <v>209</v>
      </c>
    </row>
    <row r="249" customFormat="false" ht="15" hidden="false" customHeight="false" outlineLevel="0" collapsed="false">
      <c r="A249" s="3" t="s">
        <v>870</v>
      </c>
      <c r="B249" s="4" t="s">
        <v>871</v>
      </c>
      <c r="C249" s="24" t="n">
        <v>110</v>
      </c>
      <c r="D249" s="24" t="n">
        <v>170</v>
      </c>
      <c r="E249" s="24" t="n">
        <v>250</v>
      </c>
      <c r="F249" s="13" t="s">
        <v>865</v>
      </c>
      <c r="G249" s="4" t="s">
        <v>848</v>
      </c>
      <c r="H249" s="13" t="s">
        <v>205</v>
      </c>
      <c r="I249" s="25" t="n">
        <f aca="false">INDEX(C249:E249,$C$4)</f>
        <v>170</v>
      </c>
      <c r="J249" s="13" t="s">
        <v>209</v>
      </c>
    </row>
    <row r="250" customFormat="false" ht="15" hidden="false" customHeight="false" outlineLevel="0" collapsed="false">
      <c r="A250" s="3" t="s">
        <v>872</v>
      </c>
      <c r="B250" s="4" t="s">
        <v>873</v>
      </c>
      <c r="C250" s="24" t="n">
        <v>120</v>
      </c>
      <c r="D250" s="24" t="n">
        <v>190</v>
      </c>
      <c r="E250" s="24" t="n">
        <v>280</v>
      </c>
      <c r="F250" s="13" t="s">
        <v>865</v>
      </c>
      <c r="G250" s="4" t="s">
        <v>848</v>
      </c>
      <c r="H250" s="13" t="s">
        <v>205</v>
      </c>
      <c r="I250" s="25" t="n">
        <f aca="false">INDEX(C250:E250,$C$4)</f>
        <v>190</v>
      </c>
      <c r="J250" s="13" t="s">
        <v>209</v>
      </c>
    </row>
    <row r="251" customFormat="false" ht="15" hidden="false" customHeight="false" outlineLevel="0" collapsed="false">
      <c r="A251" s="3" t="s">
        <v>874</v>
      </c>
      <c r="B251" s="4" t="s">
        <v>875</v>
      </c>
      <c r="C251" s="24" t="n">
        <v>0</v>
      </c>
      <c r="D251" s="24" t="n">
        <v>6</v>
      </c>
      <c r="E251" s="24" t="n">
        <v>12</v>
      </c>
      <c r="F251" s="13" t="s">
        <v>876</v>
      </c>
      <c r="G251" s="4" t="s">
        <v>877</v>
      </c>
      <c r="H251" s="13" t="s">
        <v>205</v>
      </c>
      <c r="I251" s="25" t="n">
        <f aca="false">INDEX(C251:E251,$C$4)</f>
        <v>6</v>
      </c>
      <c r="J251" s="13" t="s">
        <v>209</v>
      </c>
    </row>
    <row r="252" customFormat="false" ht="15" hidden="false" customHeight="false" outlineLevel="0" collapsed="false">
      <c r="A252" s="3" t="s">
        <v>878</v>
      </c>
      <c r="B252" s="4" t="s">
        <v>879</v>
      </c>
      <c r="C252" s="24" t="n">
        <v>2</v>
      </c>
      <c r="D252" s="24" t="n">
        <v>12</v>
      </c>
      <c r="E252" s="24" t="n">
        <v>16</v>
      </c>
      <c r="F252" s="13" t="s">
        <v>876</v>
      </c>
      <c r="G252" s="4" t="s">
        <v>848</v>
      </c>
      <c r="H252" s="13" t="s">
        <v>205</v>
      </c>
      <c r="I252" s="25" t="n">
        <f aca="false">INDEX(C252:E252,$C$4)</f>
        <v>12</v>
      </c>
      <c r="J252" s="13" t="s">
        <v>209</v>
      </c>
    </row>
    <row r="253" customFormat="false" ht="15" hidden="false" customHeight="false" outlineLevel="0" collapsed="false">
      <c r="A253" s="3" t="s">
        <v>880</v>
      </c>
      <c r="B253" s="4" t="s">
        <v>881</v>
      </c>
      <c r="C253" s="24" t="n">
        <v>0</v>
      </c>
      <c r="D253" s="24" t="n">
        <v>300</v>
      </c>
      <c r="E253" s="24" t="n">
        <v>800</v>
      </c>
      <c r="F253" s="13" t="s">
        <v>882</v>
      </c>
      <c r="G253" s="4" t="s">
        <v>883</v>
      </c>
      <c r="H253" s="13" t="s">
        <v>205</v>
      </c>
      <c r="I253" s="25" t="n">
        <f aca="false">INDEX(C253:E253,$C$4)</f>
        <v>300</v>
      </c>
      <c r="J253" s="13" t="s">
        <v>209</v>
      </c>
    </row>
    <row r="254" customFormat="false" ht="15" hidden="false" customHeight="false" outlineLevel="0" collapsed="false">
      <c r="A254" s="3" t="s">
        <v>884</v>
      </c>
      <c r="B254" s="4" t="s">
        <v>885</v>
      </c>
      <c r="C254" s="24" t="n">
        <v>150</v>
      </c>
      <c r="D254" s="24" t="n">
        <v>900</v>
      </c>
      <c r="E254" s="24" t="n">
        <v>2000</v>
      </c>
      <c r="F254" s="13" t="s">
        <v>882</v>
      </c>
      <c r="G254" s="4" t="s">
        <v>848</v>
      </c>
      <c r="H254" s="13" t="s">
        <v>205</v>
      </c>
      <c r="I254" s="25" t="n">
        <f aca="false">INDEX(C254:E254,$C$4)</f>
        <v>900</v>
      </c>
      <c r="J254" s="13" t="s">
        <v>209</v>
      </c>
    </row>
    <row r="255" customFormat="false" ht="15" hidden="false" customHeight="false" outlineLevel="0" collapsed="false">
      <c r="A255" s="3" t="s">
        <v>886</v>
      </c>
      <c r="B255" s="4" t="s">
        <v>887</v>
      </c>
      <c r="C255" s="26" t="n">
        <v>999</v>
      </c>
      <c r="D255" s="26" t="n">
        <v>1499</v>
      </c>
      <c r="E255" s="26" t="n">
        <v>1999</v>
      </c>
      <c r="F255" s="13" t="s">
        <v>203</v>
      </c>
      <c r="G255" s="4" t="s">
        <v>888</v>
      </c>
      <c r="H255" s="13" t="s">
        <v>205</v>
      </c>
      <c r="I255" s="27" t="n">
        <f aca="false">INDEX(C255:E255,$C$4)</f>
        <v>1499</v>
      </c>
      <c r="J255" s="13" t="s">
        <v>200</v>
      </c>
    </row>
    <row r="256" customFormat="false" ht="15" hidden="false" customHeight="false" outlineLevel="0" collapsed="false">
      <c r="A256" s="3" t="s">
        <v>889</v>
      </c>
      <c r="B256" s="4" t="s">
        <v>890</v>
      </c>
      <c r="C256" s="26" t="n">
        <v>600</v>
      </c>
      <c r="D256" s="26" t="n">
        <v>400</v>
      </c>
      <c r="E256" s="26" t="n">
        <v>250</v>
      </c>
      <c r="F256" s="13" t="s">
        <v>891</v>
      </c>
      <c r="G256" s="4" t="s">
        <v>442</v>
      </c>
      <c r="H256" s="13" t="s">
        <v>205</v>
      </c>
      <c r="I256" s="27" t="n">
        <f aca="false">INDEX(C256:E256,$C$4)</f>
        <v>400</v>
      </c>
      <c r="J256" s="13" t="s">
        <v>200</v>
      </c>
    </row>
    <row r="257" customFormat="false" ht="15" hidden="false" customHeight="false" outlineLevel="0" collapsed="false">
      <c r="A257" s="3" t="s">
        <v>892</v>
      </c>
      <c r="B257" s="4" t="s">
        <v>893</v>
      </c>
      <c r="C257" s="26" t="n">
        <v>100000</v>
      </c>
      <c r="D257" s="26" t="n">
        <v>200000</v>
      </c>
      <c r="E257" s="26" t="n">
        <v>300000</v>
      </c>
      <c r="F257" s="13" t="s">
        <v>248</v>
      </c>
      <c r="G257" s="4" t="s">
        <v>442</v>
      </c>
      <c r="H257" s="13" t="s">
        <v>205</v>
      </c>
      <c r="I257" s="27" t="n">
        <f aca="false">INDEX(C257:E257,$C$4)</f>
        <v>200000</v>
      </c>
      <c r="J257" s="13" t="s">
        <v>209</v>
      </c>
    </row>
    <row r="258" customFormat="false" ht="15" hidden="false" customHeight="false" outlineLevel="0" collapsed="false">
      <c r="A258" s="3" t="s">
        <v>894</v>
      </c>
      <c r="B258" s="4" t="s">
        <v>895</v>
      </c>
      <c r="C258" s="28" t="n">
        <v>0.1</v>
      </c>
      <c r="D258" s="28" t="n">
        <v>0.08</v>
      </c>
      <c r="E258" s="28" t="n">
        <v>0.06</v>
      </c>
      <c r="F258" s="13" t="s">
        <v>212</v>
      </c>
      <c r="G258" s="4" t="s">
        <v>442</v>
      </c>
      <c r="H258" s="13" t="s">
        <v>205</v>
      </c>
      <c r="I258" s="29" t="n">
        <f aca="false">INDEX(C258:E258,$C$4)</f>
        <v>0.08</v>
      </c>
      <c r="J258" s="13" t="s">
        <v>200</v>
      </c>
    </row>
    <row r="259" customFormat="false" ht="15" hidden="false" customHeight="false" outlineLevel="0" collapsed="false">
      <c r="A259" s="3" t="s">
        <v>896</v>
      </c>
      <c r="B259" s="4" t="s">
        <v>897</v>
      </c>
      <c r="C259" s="24" t="n">
        <v>10</v>
      </c>
      <c r="D259" s="24" t="n">
        <v>40</v>
      </c>
      <c r="E259" s="24" t="n">
        <v>60</v>
      </c>
      <c r="F259" s="13" t="s">
        <v>898</v>
      </c>
      <c r="G259" s="4" t="s">
        <v>899</v>
      </c>
      <c r="H259" s="13" t="s">
        <v>205</v>
      </c>
      <c r="I259" s="25" t="n">
        <f aca="false">INDEX(C259:E259,$C$4)</f>
        <v>40</v>
      </c>
      <c r="J259" s="13" t="s">
        <v>209</v>
      </c>
    </row>
    <row r="260" customFormat="false" ht="15" hidden="false" customHeight="false" outlineLevel="0" collapsed="false">
      <c r="A260" s="3" t="s">
        <v>900</v>
      </c>
      <c r="B260" s="4" t="s">
        <v>901</v>
      </c>
      <c r="C260" s="24" t="n">
        <v>30</v>
      </c>
      <c r="D260" s="24" t="n">
        <v>120</v>
      </c>
      <c r="E260" s="24" t="n">
        <v>150</v>
      </c>
      <c r="F260" s="13" t="s">
        <v>898</v>
      </c>
      <c r="G260" s="4" t="s">
        <v>902</v>
      </c>
      <c r="H260" s="13" t="s">
        <v>205</v>
      </c>
      <c r="I260" s="25" t="n">
        <f aca="false">INDEX(C260:E260,$C$4)</f>
        <v>120</v>
      </c>
      <c r="J260" s="13" t="s">
        <v>209</v>
      </c>
    </row>
    <row r="261" customFormat="false" ht="15" hidden="false" customHeight="false" outlineLevel="0" collapsed="false">
      <c r="A261" s="3" t="s">
        <v>903</v>
      </c>
      <c r="B261" s="4" t="s">
        <v>904</v>
      </c>
      <c r="C261" s="26" t="n">
        <v>1500</v>
      </c>
      <c r="D261" s="26" t="n">
        <v>1750</v>
      </c>
      <c r="E261" s="26" t="n">
        <v>2000</v>
      </c>
      <c r="F261" s="13" t="s">
        <v>203</v>
      </c>
      <c r="G261" s="4" t="s">
        <v>902</v>
      </c>
      <c r="H261" s="13" t="s">
        <v>205</v>
      </c>
      <c r="I261" s="27" t="n">
        <f aca="false">INDEX(C261:E261,$C$4)</f>
        <v>1750</v>
      </c>
      <c r="J261" s="13" t="s">
        <v>200</v>
      </c>
    </row>
    <row r="262" customFormat="false" ht="15" hidden="false" customHeight="false" outlineLevel="0" collapsed="false">
      <c r="A262" s="3" t="s">
        <v>905</v>
      </c>
      <c r="B262" s="4" t="s">
        <v>906</v>
      </c>
      <c r="C262" s="26" t="n">
        <v>100000</v>
      </c>
      <c r="D262" s="26" t="n">
        <v>200000</v>
      </c>
      <c r="E262" s="26" t="n">
        <v>300000</v>
      </c>
      <c r="F262" s="13" t="s">
        <v>203</v>
      </c>
      <c r="G262" s="4" t="s">
        <v>907</v>
      </c>
      <c r="H262" s="13" t="s">
        <v>205</v>
      </c>
      <c r="I262" s="27" t="n">
        <f aca="false">INDEX(C262:E262,$C$4)</f>
        <v>200000</v>
      </c>
      <c r="J262" s="13" t="s">
        <v>209</v>
      </c>
    </row>
    <row r="263" customFormat="false" ht="15" hidden="false" customHeight="false" outlineLevel="0" collapsed="false">
      <c r="A263" s="3" t="s">
        <v>908</v>
      </c>
      <c r="B263" s="4" t="s">
        <v>909</v>
      </c>
      <c r="C263" s="26" t="n">
        <v>150000</v>
      </c>
      <c r="D263" s="26" t="n">
        <v>400000</v>
      </c>
      <c r="E263" s="26" t="n">
        <v>600000</v>
      </c>
      <c r="F263" s="13" t="s">
        <v>203</v>
      </c>
      <c r="G263" s="4" t="s">
        <v>910</v>
      </c>
      <c r="H263" s="13" t="s">
        <v>205</v>
      </c>
      <c r="I263" s="27" t="n">
        <f aca="false">INDEX(C263:E263,$C$4)</f>
        <v>400000</v>
      </c>
      <c r="J263" s="13" t="s">
        <v>209</v>
      </c>
    </row>
    <row r="264" customFormat="false" ht="28.35" hidden="false" customHeight="false" outlineLevel="0" collapsed="false">
      <c r="A264" s="3" t="s">
        <v>911</v>
      </c>
      <c r="B264" s="4" t="s">
        <v>912</v>
      </c>
      <c r="C264" s="24" t="n">
        <v>0</v>
      </c>
      <c r="D264" s="24" t="n">
        <v>0</v>
      </c>
      <c r="E264" s="24" t="n">
        <v>30</v>
      </c>
      <c r="F264" s="13" t="s">
        <v>466</v>
      </c>
      <c r="G264" s="4" t="s">
        <v>913</v>
      </c>
      <c r="H264" s="13" t="s">
        <v>205</v>
      </c>
      <c r="I264" s="25" t="n">
        <f aca="false">INDEX(C264:E264,$C$4)</f>
        <v>0</v>
      </c>
      <c r="J264" s="13" t="s">
        <v>209</v>
      </c>
    </row>
    <row r="265" customFormat="false" ht="15" hidden="false" customHeight="false" outlineLevel="0" collapsed="false">
      <c r="A265" s="3" t="s">
        <v>914</v>
      </c>
      <c r="B265" s="4" t="s">
        <v>915</v>
      </c>
      <c r="C265" s="28" t="n">
        <v>0.3</v>
      </c>
      <c r="D265" s="28" t="n">
        <v>0.25</v>
      </c>
      <c r="E265" s="28" t="n">
        <v>0.2</v>
      </c>
      <c r="F265" s="13" t="s">
        <v>212</v>
      </c>
      <c r="G265" s="4" t="s">
        <v>916</v>
      </c>
      <c r="H265" s="13" t="s">
        <v>205</v>
      </c>
      <c r="I265" s="29" t="n">
        <f aca="false">INDEX(C265:E265,$C$4)</f>
        <v>0.25</v>
      </c>
      <c r="J265" s="13" t="s">
        <v>200</v>
      </c>
    </row>
    <row r="266" customFormat="false" ht="15" hidden="false" customHeight="false" outlineLevel="0" collapsed="false">
      <c r="A266" s="3" t="s">
        <v>917</v>
      </c>
      <c r="B266" s="4" t="s">
        <v>918</v>
      </c>
      <c r="C266" s="26" t="n">
        <v>10000</v>
      </c>
      <c r="D266" s="26" t="n">
        <v>10000</v>
      </c>
      <c r="E266" s="26" t="n">
        <v>10000</v>
      </c>
      <c r="F266" s="13" t="s">
        <v>219</v>
      </c>
      <c r="G266" s="4" t="s">
        <v>919</v>
      </c>
      <c r="H266" s="13" t="s">
        <v>472</v>
      </c>
      <c r="I266" s="27" t="n">
        <f aca="false">INDEX(C266:E266,$C$4)</f>
        <v>10000</v>
      </c>
      <c r="J266" s="13" t="s">
        <v>200</v>
      </c>
    </row>
    <row r="267" customFormat="false" ht="15" hidden="false" customHeight="false" outlineLevel="0" collapsed="false">
      <c r="A267" s="3" t="s">
        <v>920</v>
      </c>
      <c r="B267" s="4" t="s">
        <v>921</v>
      </c>
      <c r="C267" s="26" t="n">
        <v>500000</v>
      </c>
      <c r="D267" s="26" t="n">
        <v>350000</v>
      </c>
      <c r="E267" s="26" t="n">
        <v>350000</v>
      </c>
      <c r="F267" s="13" t="s">
        <v>203</v>
      </c>
      <c r="G267" s="4" t="s">
        <v>922</v>
      </c>
      <c r="H267" s="13" t="s">
        <v>472</v>
      </c>
      <c r="I267" s="27" t="n">
        <f aca="false">INDEX(C267:E267,$C$4)</f>
        <v>350000</v>
      </c>
      <c r="J267" s="13" t="s">
        <v>200</v>
      </c>
    </row>
    <row r="268" customFormat="false" ht="15" hidden="false" customHeight="false" outlineLevel="0" collapsed="false">
      <c r="A268" s="3" t="s">
        <v>923</v>
      </c>
      <c r="B268" s="4" t="s">
        <v>924</v>
      </c>
      <c r="C268" s="28" t="n">
        <v>0.05</v>
      </c>
      <c r="D268" s="28" t="n">
        <v>0.06</v>
      </c>
      <c r="E268" s="28" t="n">
        <v>0.08</v>
      </c>
      <c r="F268" s="13" t="s">
        <v>212</v>
      </c>
      <c r="G268" s="4" t="s">
        <v>925</v>
      </c>
      <c r="H268" s="13" t="s">
        <v>205</v>
      </c>
      <c r="I268" s="29" t="n">
        <f aca="false">INDEX(C268:E268,$C$4)</f>
        <v>0.06</v>
      </c>
      <c r="J268" s="13" t="s">
        <v>200</v>
      </c>
    </row>
    <row r="269" customFormat="false" ht="15" hidden="false" customHeight="false" outlineLevel="0" collapsed="false">
      <c r="A269" s="3" t="s">
        <v>926</v>
      </c>
      <c r="B269" s="4" t="s">
        <v>927</v>
      </c>
      <c r="C269" s="28" t="n">
        <v>0.1</v>
      </c>
      <c r="D269" s="28" t="n">
        <v>0.08</v>
      </c>
      <c r="E269" s="28" t="n">
        <v>0.08</v>
      </c>
      <c r="F269" s="13" t="s">
        <v>212</v>
      </c>
      <c r="G269" s="4" t="s">
        <v>442</v>
      </c>
      <c r="H269" s="13" t="s">
        <v>205</v>
      </c>
      <c r="I269" s="29" t="n">
        <f aca="false">INDEX(C269:E269,$C$4)</f>
        <v>0.08</v>
      </c>
      <c r="J269" s="13" t="s">
        <v>200</v>
      </c>
    </row>
    <row r="270" customFormat="false" ht="15" hidden="false" customHeight="false" outlineLevel="0" collapsed="false">
      <c r="A270" s="3" t="s">
        <v>928</v>
      </c>
      <c r="B270" s="4" t="s">
        <v>929</v>
      </c>
      <c r="C270" s="28" t="n">
        <v>0.05</v>
      </c>
      <c r="D270" s="28" t="n">
        <v>0.05</v>
      </c>
      <c r="E270" s="28" t="n">
        <v>0.05</v>
      </c>
      <c r="F270" s="13" t="s">
        <v>212</v>
      </c>
      <c r="G270" s="4" t="s">
        <v>930</v>
      </c>
      <c r="H270" s="13" t="s">
        <v>205</v>
      </c>
      <c r="I270" s="29" t="n">
        <f aca="false">INDEX(C270:E270,$C$4)</f>
        <v>0.05</v>
      </c>
      <c r="J270" s="13" t="s">
        <v>200</v>
      </c>
    </row>
    <row r="271" customFormat="false" ht="15" hidden="false" customHeight="false" outlineLevel="0" collapsed="false">
      <c r="A271" s="3" t="s">
        <v>931</v>
      </c>
      <c r="B271" s="4" t="s">
        <v>932</v>
      </c>
      <c r="C271" s="32" t="n">
        <v>2.5</v>
      </c>
      <c r="D271" s="32" t="n">
        <v>3</v>
      </c>
      <c r="E271" s="32" t="n">
        <v>3</v>
      </c>
      <c r="F271" s="13" t="s">
        <v>463</v>
      </c>
      <c r="G271" s="4" t="s">
        <v>933</v>
      </c>
      <c r="H271" s="13" t="s">
        <v>205</v>
      </c>
      <c r="I271" s="33" t="n">
        <f aca="false">INDEX(C271:E271,$C$4)</f>
        <v>3</v>
      </c>
      <c r="J271" s="13" t="s">
        <v>209</v>
      </c>
    </row>
    <row r="272" customFormat="false" ht="15" hidden="false" customHeight="false" outlineLevel="0" collapsed="false">
      <c r="A272" s="3" t="s">
        <v>934</v>
      </c>
      <c r="B272" s="4" t="s">
        <v>935</v>
      </c>
      <c r="C272" s="32" t="n">
        <v>3</v>
      </c>
      <c r="D272" s="32" t="n">
        <v>3</v>
      </c>
      <c r="E272" s="32" t="n">
        <v>3</v>
      </c>
      <c r="F272" s="13" t="s">
        <v>463</v>
      </c>
      <c r="G272" s="4"/>
      <c r="H272" s="13" t="s">
        <v>205</v>
      </c>
      <c r="I272" s="33" t="n">
        <f aca="false">INDEX(C272:E272,$C$4)</f>
        <v>3</v>
      </c>
      <c r="J272" s="13" t="s">
        <v>209</v>
      </c>
    </row>
    <row r="273" customFormat="false" ht="15" hidden="false" customHeight="false" outlineLevel="0" collapsed="false">
      <c r="A273" s="3" t="s">
        <v>936</v>
      </c>
      <c r="B273" s="4" t="s">
        <v>937</v>
      </c>
      <c r="C273" s="24" t="n">
        <v>8</v>
      </c>
      <c r="D273" s="24" t="n">
        <v>12</v>
      </c>
      <c r="E273" s="24" t="n">
        <v>16</v>
      </c>
      <c r="F273" s="13" t="s">
        <v>761</v>
      </c>
      <c r="G273" s="4"/>
      <c r="H273" s="13" t="s">
        <v>205</v>
      </c>
      <c r="I273" s="25" t="n">
        <f aca="false">INDEX(C273:E273,$C$4)</f>
        <v>12</v>
      </c>
      <c r="J273" s="13" t="s">
        <v>209</v>
      </c>
    </row>
    <row r="274" customFormat="false" ht="15" hidden="false" customHeight="false" outlineLevel="0" collapsed="false">
      <c r="A274" s="3" t="s">
        <v>938</v>
      </c>
      <c r="B274" s="4" t="s">
        <v>939</v>
      </c>
      <c r="C274" s="24" t="n">
        <v>10</v>
      </c>
      <c r="D274" s="24" t="n">
        <v>14</v>
      </c>
      <c r="E274" s="24" t="n">
        <v>18</v>
      </c>
      <c r="F274" s="13" t="s">
        <v>761</v>
      </c>
      <c r="G274" s="4"/>
      <c r="H274" s="13" t="s">
        <v>205</v>
      </c>
      <c r="I274" s="25" t="n">
        <f aca="false">INDEX(C274:E274,$C$4)</f>
        <v>14</v>
      </c>
      <c r="J274" s="13" t="s">
        <v>209</v>
      </c>
    </row>
    <row r="275" customFormat="false" ht="15" hidden="false" customHeight="false" outlineLevel="0" collapsed="false">
      <c r="A275" s="3" t="s">
        <v>940</v>
      </c>
      <c r="B275" s="4" t="s">
        <v>941</v>
      </c>
      <c r="C275" s="32" t="n">
        <v>1</v>
      </c>
      <c r="D275" s="32" t="n">
        <v>1.5</v>
      </c>
      <c r="E275" s="32" t="n">
        <v>2</v>
      </c>
      <c r="F275" s="13" t="s">
        <v>730</v>
      </c>
      <c r="G275" s="4" t="s">
        <v>942</v>
      </c>
      <c r="H275" s="13" t="s">
        <v>205</v>
      </c>
      <c r="I275" s="33" t="n">
        <f aca="false">INDEX(C275:E275,$C$4)</f>
        <v>1.5</v>
      </c>
      <c r="J275" s="13" t="s">
        <v>209</v>
      </c>
    </row>
    <row r="276" customFormat="false" ht="15" hidden="false" customHeight="false" outlineLevel="0" collapsed="false">
      <c r="A276" s="3" t="s">
        <v>943</v>
      </c>
      <c r="B276" s="4" t="s">
        <v>944</v>
      </c>
      <c r="C276" s="32" t="n">
        <v>1</v>
      </c>
      <c r="D276" s="32" t="n">
        <v>2</v>
      </c>
      <c r="E276" s="32" t="n">
        <v>2.5</v>
      </c>
      <c r="F276" s="13" t="s">
        <v>730</v>
      </c>
      <c r="G276" s="4"/>
      <c r="H276" s="13" t="s">
        <v>205</v>
      </c>
      <c r="I276" s="33" t="n">
        <f aca="false">INDEX(C276:E276,$C$4)</f>
        <v>2</v>
      </c>
      <c r="J276" s="13" t="s">
        <v>209</v>
      </c>
    </row>
    <row r="277" customFormat="false" ht="15" hidden="false" customHeight="false" outlineLevel="0" collapsed="false">
      <c r="A277" s="3" t="s">
        <v>945</v>
      </c>
      <c r="B277" s="4" t="s">
        <v>946</v>
      </c>
      <c r="C277" s="32" t="n">
        <v>0</v>
      </c>
      <c r="D277" s="32" t="n">
        <v>1</v>
      </c>
      <c r="E277" s="32" t="n">
        <v>1</v>
      </c>
      <c r="F277" s="13" t="s">
        <v>730</v>
      </c>
      <c r="G277" s="4" t="s">
        <v>947</v>
      </c>
      <c r="H277" s="13" t="s">
        <v>205</v>
      </c>
      <c r="I277" s="33" t="n">
        <f aca="false">INDEX(C277:E277,$C$4)</f>
        <v>1</v>
      </c>
      <c r="J277" s="13" t="s">
        <v>209</v>
      </c>
    </row>
    <row r="278" customFormat="false" ht="28.35" hidden="false" customHeight="false" outlineLevel="0" collapsed="false">
      <c r="A278" s="3" t="s">
        <v>948</v>
      </c>
      <c r="B278" s="4" t="s">
        <v>949</v>
      </c>
      <c r="C278" s="32" t="n">
        <v>0.5</v>
      </c>
      <c r="D278" s="32" t="n">
        <v>1</v>
      </c>
      <c r="E278" s="32" t="n">
        <v>1</v>
      </c>
      <c r="F278" s="13" t="s">
        <v>730</v>
      </c>
      <c r="G278" s="4"/>
      <c r="H278" s="13" t="s">
        <v>205</v>
      </c>
      <c r="I278" s="33" t="n">
        <f aca="false">INDEX(C278:E278,$C$4)</f>
        <v>1</v>
      </c>
      <c r="J278" s="13" t="s">
        <v>209</v>
      </c>
    </row>
    <row r="279" customFormat="false" ht="28.35" hidden="false" customHeight="false" outlineLevel="0" collapsed="false">
      <c r="A279" s="3" t="s">
        <v>950</v>
      </c>
      <c r="B279" s="4" t="s">
        <v>951</v>
      </c>
      <c r="C279" s="26" t="n">
        <v>300000</v>
      </c>
      <c r="D279" s="26" t="n">
        <v>1200000</v>
      </c>
      <c r="E279" s="26" t="n">
        <v>2400000</v>
      </c>
      <c r="F279" s="13" t="s">
        <v>248</v>
      </c>
      <c r="G279" s="4" t="s">
        <v>952</v>
      </c>
      <c r="H279" s="13" t="s">
        <v>472</v>
      </c>
      <c r="I279" s="27" t="n">
        <f aca="false">INDEX(C279:E279,$C$4)</f>
        <v>1200000</v>
      </c>
      <c r="J279" s="13" t="s">
        <v>209</v>
      </c>
    </row>
    <row r="280" customFormat="false" ht="15" hidden="false" customHeight="false" outlineLevel="0" collapsed="false">
      <c r="A280" s="3" t="s">
        <v>953</v>
      </c>
      <c r="B280" s="4" t="s">
        <v>954</v>
      </c>
      <c r="C280" s="26" t="n">
        <v>300000</v>
      </c>
      <c r="D280" s="26" t="n">
        <v>1300000</v>
      </c>
      <c r="E280" s="26" t="n">
        <v>2600000</v>
      </c>
      <c r="F280" s="13" t="s">
        <v>248</v>
      </c>
      <c r="G280" s="4" t="s">
        <v>955</v>
      </c>
      <c r="H280" s="13" t="s">
        <v>472</v>
      </c>
      <c r="I280" s="27" t="n">
        <f aca="false">INDEX(C280:E280,$C$4)</f>
        <v>1300000</v>
      </c>
      <c r="J280" s="13" t="s">
        <v>209</v>
      </c>
    </row>
    <row r="281" customFormat="false" ht="28.35" hidden="false" customHeight="false" outlineLevel="0" collapsed="false">
      <c r="A281" s="3" t="s">
        <v>956</v>
      </c>
      <c r="B281" s="4" t="s">
        <v>957</v>
      </c>
      <c r="C281" s="26" t="n">
        <v>15000</v>
      </c>
      <c r="D281" s="26" t="n">
        <v>12500</v>
      </c>
      <c r="E281" s="26" t="n">
        <v>10000</v>
      </c>
      <c r="F281" s="13" t="s">
        <v>219</v>
      </c>
      <c r="G281" s="4" t="s">
        <v>958</v>
      </c>
      <c r="H281" s="13" t="s">
        <v>205</v>
      </c>
      <c r="I281" s="27" t="n">
        <f aca="false">INDEX(C281:E281,$C$4)</f>
        <v>12500</v>
      </c>
      <c r="J281" s="13" t="s">
        <v>200</v>
      </c>
    </row>
    <row r="282" customFormat="false" ht="28.35" hidden="false" customHeight="false" outlineLevel="0" collapsed="false">
      <c r="A282" s="3" t="s">
        <v>959</v>
      </c>
      <c r="B282" s="4" t="s">
        <v>960</v>
      </c>
      <c r="C282" s="26" t="n">
        <v>2500</v>
      </c>
      <c r="D282" s="26" t="n">
        <v>2000</v>
      </c>
      <c r="E282" s="26" t="n">
        <v>1500</v>
      </c>
      <c r="F282" s="13" t="s">
        <v>219</v>
      </c>
      <c r="G282" s="4" t="s">
        <v>961</v>
      </c>
      <c r="H282" s="13" t="s">
        <v>472</v>
      </c>
      <c r="I282" s="27" t="n">
        <f aca="false">INDEX(C282:E282,$C$4)</f>
        <v>2000</v>
      </c>
      <c r="J282" s="13" t="s">
        <v>200</v>
      </c>
    </row>
    <row r="283" customFormat="false" ht="28.35" hidden="false" customHeight="false" outlineLevel="0" collapsed="false">
      <c r="A283" s="3" t="s">
        <v>962</v>
      </c>
      <c r="B283" s="4" t="s">
        <v>963</v>
      </c>
      <c r="C283" s="26" t="n">
        <v>300000</v>
      </c>
      <c r="D283" s="26" t="n">
        <v>300000</v>
      </c>
      <c r="E283" s="26" t="n">
        <v>500000</v>
      </c>
      <c r="F283" s="13" t="s">
        <v>203</v>
      </c>
      <c r="G283" s="4" t="s">
        <v>848</v>
      </c>
      <c r="H283" s="13" t="s">
        <v>472</v>
      </c>
      <c r="I283" s="27" t="n">
        <f aca="false">INDEX(C283:E283,$C$4)</f>
        <v>300000</v>
      </c>
      <c r="J283" s="13" t="s">
        <v>209</v>
      </c>
    </row>
    <row r="284" customFormat="false" ht="15" hidden="false" customHeight="false" outlineLevel="0" collapsed="false">
      <c r="A284" s="3" t="s">
        <v>964</v>
      </c>
      <c r="B284" s="4" t="s">
        <v>965</v>
      </c>
      <c r="C284" s="26" t="n">
        <v>200000</v>
      </c>
      <c r="D284" s="26" t="n">
        <v>300000</v>
      </c>
      <c r="E284" s="26" t="n">
        <v>400000</v>
      </c>
      <c r="F284" s="13" t="s">
        <v>203</v>
      </c>
      <c r="G284" s="4" t="s">
        <v>848</v>
      </c>
      <c r="H284" s="13" t="s">
        <v>472</v>
      </c>
      <c r="I284" s="27" t="n">
        <f aca="false">INDEX(C284:E284,$C$4)</f>
        <v>300000</v>
      </c>
      <c r="J284" s="13" t="s">
        <v>209</v>
      </c>
    </row>
    <row r="285" customFormat="false" ht="28.35" hidden="false" customHeight="false" outlineLevel="0" collapsed="false">
      <c r="A285" s="3" t="s">
        <v>966</v>
      </c>
      <c r="B285" s="4" t="s">
        <v>967</v>
      </c>
      <c r="C285" s="26" t="n">
        <v>600</v>
      </c>
      <c r="D285" s="26" t="n">
        <v>960</v>
      </c>
      <c r="E285" s="26" t="n">
        <v>1400</v>
      </c>
      <c r="F285" s="13" t="s">
        <v>219</v>
      </c>
      <c r="G285" s="4" t="s">
        <v>968</v>
      </c>
      <c r="H285" s="13" t="s">
        <v>205</v>
      </c>
      <c r="I285" s="27" t="n">
        <f aca="false">INDEX(C285:E285,$C$4)</f>
        <v>960</v>
      </c>
      <c r="J285" s="13" t="s">
        <v>200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3"/>
    <col collapsed="false" customWidth="true" hidden="false" outlineLevel="0" max="7" min="5" style="0" width="16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50"/>
  </cols>
  <sheetData>
    <row r="1" customFormat="false" ht="17.35" hidden="false" customHeight="false" outlineLevel="0" collapsed="false">
      <c r="A1" s="1" t="s">
        <v>969</v>
      </c>
    </row>
    <row r="2" customFormat="false" ht="15" hidden="false" customHeight="false" outlineLevel="0" collapsed="false">
      <c r="A2" s="2" t="s">
        <v>970</v>
      </c>
    </row>
    <row r="4" customFormat="false" ht="41.75" hidden="false" customHeight="false" outlineLevel="0" collapsed="false">
      <c r="A4" s="5" t="s">
        <v>103</v>
      </c>
      <c r="B4" s="5" t="s">
        <v>971</v>
      </c>
      <c r="C4" s="5" t="s">
        <v>972</v>
      </c>
      <c r="D4" s="5" t="s">
        <v>973</v>
      </c>
      <c r="E4" s="5" t="s">
        <v>974</v>
      </c>
      <c r="F4" s="5" t="s">
        <v>975</v>
      </c>
      <c r="G4" s="5" t="s">
        <v>976</v>
      </c>
      <c r="H4" s="5" t="s">
        <v>977</v>
      </c>
      <c r="I4" s="5" t="s">
        <v>978</v>
      </c>
      <c r="J4" s="5" t="s">
        <v>979</v>
      </c>
      <c r="K4" s="5" t="s">
        <v>980</v>
      </c>
    </row>
    <row r="5" customFormat="false" ht="15" hidden="false" customHeight="false" outlineLevel="0" collapsed="false">
      <c r="A5" s="21" t="s">
        <v>981</v>
      </c>
      <c r="B5" s="16" t="n">
        <f aca="false">0.1</f>
        <v>0.1</v>
      </c>
      <c r="C5" s="16" t="n">
        <f aca="false">0.1</f>
        <v>0.1</v>
      </c>
      <c r="D5" s="16" t="n">
        <f aca="false">1</f>
        <v>1</v>
      </c>
      <c r="E5" s="16" t="n">
        <f aca="false">Assumptions!$I$103</f>
        <v>3</v>
      </c>
      <c r="F5" s="16" t="n">
        <f aca="false">Assumptions!$I$103</f>
        <v>3</v>
      </c>
      <c r="G5" s="16" t="n">
        <f aca="false">Assumptions!$I$104</f>
        <v>2.5</v>
      </c>
      <c r="H5" s="16" t="n">
        <f aca="false">0.07</f>
        <v>0.07</v>
      </c>
      <c r="I5" s="16" t="n">
        <f aca="false">0</f>
        <v>0</v>
      </c>
      <c r="J5" s="16" t="n">
        <f aca="false">Assumptions!$I$103</f>
        <v>3</v>
      </c>
    </row>
    <row r="6" customFormat="false" ht="15" hidden="false" customHeight="false" outlineLevel="0" collapsed="false">
      <c r="A6" s="21" t="s">
        <v>982</v>
      </c>
      <c r="B6" s="10" t="n">
        <f aca="false">3</f>
        <v>3</v>
      </c>
      <c r="C6" s="10" t="n">
        <f aca="false">6</f>
        <v>6</v>
      </c>
      <c r="D6" s="10" t="n">
        <f aca="false">80</f>
        <v>80</v>
      </c>
      <c r="E6" s="10" t="n">
        <f aca="false">290</f>
        <v>290</v>
      </c>
      <c r="F6" s="10" t="n">
        <f aca="false">290</f>
        <v>290</v>
      </c>
      <c r="G6" s="10" t="n">
        <f aca="false">250</f>
        <v>250</v>
      </c>
      <c r="H6" s="10" t="n">
        <f aca="false">12</f>
        <v>12</v>
      </c>
      <c r="I6" s="10" t="n">
        <f aca="false">24</f>
        <v>24</v>
      </c>
      <c r="J6" s="10" t="n">
        <f aca="false">290</f>
        <v>290</v>
      </c>
    </row>
    <row r="7" customFormat="false" ht="15" hidden="false" customHeight="false" outlineLevel="0" collapsed="false">
      <c r="A7" s="21" t="s">
        <v>983</v>
      </c>
      <c r="B7" s="10" t="n">
        <f aca="false">12</f>
        <v>12</v>
      </c>
      <c r="C7" s="10" t="n">
        <f aca="false">12</f>
        <v>12</v>
      </c>
      <c r="D7" s="10" t="n">
        <f aca="false">12</f>
        <v>12</v>
      </c>
      <c r="E7" s="10" t="n">
        <f aca="false">12</f>
        <v>12</v>
      </c>
      <c r="F7" s="10" t="n">
        <f aca="false">12</f>
        <v>12</v>
      </c>
      <c r="G7" s="10" t="n">
        <f aca="false">12</f>
        <v>12</v>
      </c>
      <c r="H7" s="10" t="n">
        <f aca="false">14</f>
        <v>14</v>
      </c>
      <c r="I7" s="10" t="n">
        <f aca="false">0</f>
        <v>0</v>
      </c>
      <c r="J7" s="10" t="n">
        <f aca="false">12</f>
        <v>12</v>
      </c>
    </row>
    <row r="8" customFormat="false" ht="15" hidden="false" customHeight="false" outlineLevel="0" collapsed="false">
      <c r="A8" s="21" t="s">
        <v>984</v>
      </c>
      <c r="B8" s="6" t="n">
        <f aca="false">Assumptions!$I$102</f>
        <v>10</v>
      </c>
      <c r="C8" s="6" t="n">
        <f aca="false">Assumptions!$I$102</f>
        <v>10</v>
      </c>
      <c r="D8" s="6" t="n">
        <f aca="false">Assumptions!$I$102</f>
        <v>10</v>
      </c>
      <c r="E8" s="6" t="n">
        <f aca="false">Assumptions!$I$102</f>
        <v>10</v>
      </c>
      <c r="F8" s="6" t="n">
        <f aca="false">Assumptions!$I$102</f>
        <v>10</v>
      </c>
      <c r="G8" s="6" t="n">
        <f aca="false">Assumptions!$I$102</f>
        <v>10</v>
      </c>
      <c r="H8" s="6" t="n">
        <f aca="false">14*Assumptions!$I$235</f>
        <v>11.9</v>
      </c>
      <c r="I8" s="6" t="n">
        <f aca="false">0</f>
        <v>0</v>
      </c>
      <c r="J8" s="6" t="n">
        <f aca="false">Assumptions!$I$102</f>
        <v>10</v>
      </c>
    </row>
    <row r="9" customFormat="false" ht="15" hidden="false" customHeight="false" outlineLevel="0" collapsed="false">
      <c r="A9" s="21" t="s">
        <v>985</v>
      </c>
      <c r="B9" s="14" t="n">
        <f aca="false">Assumptions!$I$17</f>
        <v>999</v>
      </c>
      <c r="C9" s="14" t="n">
        <f aca="false">Assumptions!$I$22</f>
        <v>4999</v>
      </c>
      <c r="D9" s="14" t="n">
        <f aca="false">Assumptions!$I$18</f>
        <v>39900</v>
      </c>
      <c r="E9" s="14" t="n">
        <f aca="false">Assumptions!$I$10</f>
        <v>60000</v>
      </c>
      <c r="F9" s="14" t="n">
        <f aca="false">Assumptions!$I$20</f>
        <v>80000</v>
      </c>
      <c r="G9" s="14" t="n">
        <f aca="false">Assumptions!$I$20</f>
        <v>80000</v>
      </c>
      <c r="H9" s="14" t="n">
        <f aca="false">Assumptions!$I$21</f>
        <v>10000</v>
      </c>
      <c r="I9" s="14" t="n">
        <f aca="false">Assumptions!$I$23</f>
        <v>9999</v>
      </c>
      <c r="J9" s="14" t="n">
        <f aca="false">MIN(Assumptions!$I$163,Assumptions!$I$19)*Assumptions!$I$20/Assumptions!$I$19</f>
        <v>66666.6666666667</v>
      </c>
    </row>
    <row r="10" customFormat="false" ht="15" hidden="false" customHeight="false" outlineLevel="0" collapsed="false">
      <c r="A10" s="21" t="s">
        <v>986</v>
      </c>
      <c r="B10" s="14" t="n">
        <f aca="false">B9/(1+Assumptions!$I$15*Assumptions!$I$16)</f>
        <v>846.610169491525</v>
      </c>
      <c r="C10" s="14" t="n">
        <f aca="false">C9/(1+Assumptions!$I$15*Assumptions!$I$16)</f>
        <v>4236.4406779661</v>
      </c>
      <c r="D10" s="14" t="n">
        <f aca="false">D9/(1+Assumptions!$I$15*Assumptions!$I$16)</f>
        <v>33813.5593220339</v>
      </c>
      <c r="E10" s="14" t="n">
        <f aca="false">E9/(1+Assumptions!$I$15*Assumptions!$I$16)</f>
        <v>50847.4576271186</v>
      </c>
      <c r="F10" s="14" t="n">
        <f aca="false">F9/(1+Assumptions!$I$15*Assumptions!$I$16)</f>
        <v>67796.6101694915</v>
      </c>
      <c r="G10" s="14" t="n">
        <f aca="false">G9/(1+Assumptions!$I$15*Assumptions!$I$16)</f>
        <v>67796.6101694915</v>
      </c>
      <c r="H10" s="14" t="n">
        <f aca="false">H9/(1+Assumptions!$I$15*Assumptions!$I$16)</f>
        <v>8474.57627118644</v>
      </c>
      <c r="I10" s="14" t="n">
        <f aca="false">I9/(1+Assumptions!$I$15*Assumptions!$I$16)</f>
        <v>8473.72881355932</v>
      </c>
      <c r="J10" s="14" t="n">
        <f aca="false">J9/(1+Assumptions!$I$15*Assumptions!$I$16)</f>
        <v>56497.1751412429</v>
      </c>
    </row>
    <row r="11" customFormat="false" ht="15" hidden="false" customHeight="false" outlineLevel="0" collapsed="false">
      <c r="A11" s="21" t="s">
        <v>987</v>
      </c>
      <c r="B11" s="14" t="n">
        <f aca="false">0</f>
        <v>0</v>
      </c>
      <c r="C11" s="14" t="n">
        <f aca="false">0</f>
        <v>0</v>
      </c>
      <c r="D11" s="14" t="n">
        <f aca="false">0</f>
        <v>0</v>
      </c>
      <c r="E11" s="14" t="n">
        <f aca="false">Assumptions!$I$14</f>
        <v>12000</v>
      </c>
      <c r="F11" s="14" t="n">
        <f aca="false">0</f>
        <v>0</v>
      </c>
      <c r="G11" s="14" t="n">
        <f aca="false">0</f>
        <v>0</v>
      </c>
      <c r="H11" s="14" t="n">
        <f aca="false">0</f>
        <v>0</v>
      </c>
      <c r="I11" s="14" t="n">
        <f aca="false">0</f>
        <v>0</v>
      </c>
      <c r="J11" s="14" t="n">
        <f aca="false">0</f>
        <v>0</v>
      </c>
    </row>
    <row r="12" customFormat="false" ht="15" hidden="false" customHeight="false" outlineLevel="0" collapsed="false">
      <c r="A12" s="21" t="s">
        <v>988</v>
      </c>
      <c r="B12" s="14" t="n">
        <f aca="false">Assumptions!$I$96</f>
        <v>250</v>
      </c>
      <c r="C12" s="14" t="n">
        <f aca="false">Assumptions!$I$95</f>
        <v>400</v>
      </c>
      <c r="D12" s="14" t="n">
        <f aca="false">Assumptions!$I$92</f>
        <v>2000</v>
      </c>
      <c r="E12" s="14" t="n">
        <f aca="false">Assumptions!$I$91</f>
        <v>6000</v>
      </c>
      <c r="F12" s="14" t="n">
        <f aca="false">Assumptions!$I$91</f>
        <v>6000</v>
      </c>
      <c r="G12" s="14" t="n">
        <f aca="false">Assumptions!$I$93</f>
        <v>7500</v>
      </c>
      <c r="H12" s="14" t="n">
        <f aca="false">Assumptions!$I$94</f>
        <v>1000</v>
      </c>
      <c r="I12" s="14" t="n">
        <f aca="false">Assumptions!$I$97</f>
        <v>2000</v>
      </c>
      <c r="J12" s="14" t="n">
        <f aca="false">Assumptions!$I$91</f>
        <v>6000</v>
      </c>
    </row>
    <row r="13" customFormat="false" ht="15" hidden="false" customHeight="false" outlineLevel="0" collapsed="false">
      <c r="A13" s="21" t="s">
        <v>989</v>
      </c>
      <c r="B13" s="14" t="n">
        <f aca="false">0</f>
        <v>0</v>
      </c>
      <c r="C13" s="14" t="n">
        <f aca="false">0</f>
        <v>0</v>
      </c>
      <c r="D13" s="14" t="n">
        <f aca="false">(Assumptions!$I$99+Assumptions!$I$100)/Assumptions!$I$101*D5</f>
        <v>28000</v>
      </c>
      <c r="E13" s="14" t="n">
        <f aca="false">(Assumptions!$I$99+Assumptions!$I$100)/Assumptions!$I$101*E5</f>
        <v>84000</v>
      </c>
      <c r="F13" s="14" t="n">
        <f aca="false">(Assumptions!$I$99+Assumptions!$I$100)/Assumptions!$I$101*F5</f>
        <v>84000</v>
      </c>
      <c r="G13" s="14" t="n">
        <f aca="false">(Assumptions!$I$99+Assumptions!$I$100)/Assumptions!$I$101*G5</f>
        <v>70000</v>
      </c>
      <c r="H13" s="14" t="n">
        <f aca="false">0</f>
        <v>0</v>
      </c>
      <c r="I13" s="14" t="n">
        <f aca="false">0</f>
        <v>0</v>
      </c>
      <c r="J13" s="14" t="n">
        <f aca="false">(Assumptions!$I$99+Assumptions!$I$100)/Assumptions!$I$101*J5</f>
        <v>84000</v>
      </c>
    </row>
    <row r="14" customFormat="false" ht="15" hidden="false" customHeight="false" outlineLevel="0" collapsed="false">
      <c r="A14" s="21" t="s">
        <v>990</v>
      </c>
      <c r="B14" s="14" t="n">
        <f aca="false">IFERROR(B13/B8,0)</f>
        <v>0</v>
      </c>
      <c r="C14" s="14" t="n">
        <f aca="false">IFERROR(C13/C8,0)</f>
        <v>0</v>
      </c>
      <c r="D14" s="14" t="n">
        <f aca="false">IFERROR(D13/D8,0)</f>
        <v>2800</v>
      </c>
      <c r="E14" s="14" t="n">
        <f aca="false">IFERROR(E13/E8,0)</f>
        <v>8400</v>
      </c>
      <c r="F14" s="14" t="n">
        <f aca="false">IFERROR(F13/F8,0)</f>
        <v>8400</v>
      </c>
      <c r="G14" s="14" t="n">
        <f aca="false">IFERROR(G13/G8,0)</f>
        <v>7000</v>
      </c>
      <c r="H14" s="14" t="n">
        <f aca="false">IFERROR(H13/H8,0)</f>
        <v>0</v>
      </c>
      <c r="I14" s="14" t="n">
        <f aca="false">IFERROR(I13/I8,0)</f>
        <v>0</v>
      </c>
      <c r="J14" s="14" t="n">
        <f aca="false">IFERROR(J13/J8,0)</f>
        <v>8400</v>
      </c>
    </row>
    <row r="15" customFormat="false" ht="15" hidden="false" customHeight="false" outlineLevel="0" collapsed="false">
      <c r="A15" s="21" t="s">
        <v>991</v>
      </c>
      <c r="B15" s="14" t="n">
        <f aca="false">B9*Assumptions!$I$76</f>
        <v>19.98</v>
      </c>
      <c r="C15" s="14" t="n">
        <f aca="false">C9*Assumptions!$I$76</f>
        <v>99.98</v>
      </c>
      <c r="D15" s="14" t="n">
        <f aca="false">D9*Assumptions!$I$76</f>
        <v>798</v>
      </c>
      <c r="E15" s="14" t="n">
        <f aca="false">E9*(Assumptions!$I$76+Assumptions!$I$70*Assumptions!$I$71)</f>
        <v>2250</v>
      </c>
      <c r="F15" s="14" t="n">
        <f aca="false">F9*(Assumptions!$I$76+Assumptions!$I$70*Assumptions!$I$71)</f>
        <v>3000</v>
      </c>
      <c r="G15" s="14" t="n">
        <f aca="false">G9*(Assumptions!$I$76+Assumptions!$I$70*Assumptions!$I$71)</f>
        <v>3000</v>
      </c>
      <c r="H15" s="14" t="n">
        <f aca="false">H9*Assumptions!$I$76</f>
        <v>200</v>
      </c>
      <c r="I15" s="14" t="n">
        <f aca="false">I9*Assumptions!$I$76</f>
        <v>199.98</v>
      </c>
      <c r="J15" s="14" t="n">
        <f aca="false">J9*(Assumptions!$I$76+Assumptions!$I$70*Assumptions!$I$71)</f>
        <v>2500</v>
      </c>
    </row>
    <row r="16" customFormat="false" ht="15" hidden="false" customHeight="false" outlineLevel="0" collapsed="false">
      <c r="A16" s="3" t="s">
        <v>992</v>
      </c>
      <c r="B16" s="15" t="n">
        <f aca="false">B10-B11-B12-B14-B15</f>
        <v>576.630169491525</v>
      </c>
      <c r="C16" s="15" t="n">
        <f aca="false">C10-C11-C12-C14-C15</f>
        <v>3736.4606779661</v>
      </c>
      <c r="D16" s="15" t="n">
        <f aca="false">D10-D11-D12-D14-D15</f>
        <v>28215.5593220339</v>
      </c>
      <c r="E16" s="15" t="n">
        <f aca="false">E10-E11-E12-E14-E15</f>
        <v>22197.4576271186</v>
      </c>
      <c r="F16" s="15" t="n">
        <f aca="false">F10-F11-F12-F14-F15</f>
        <v>50396.6101694915</v>
      </c>
      <c r="G16" s="15" t="n">
        <f aca="false">G10-G11-G12-G14-G15</f>
        <v>50296.6101694915</v>
      </c>
      <c r="H16" s="15" t="n">
        <f aca="false">H10-H11-H12-H14-H15</f>
        <v>7274.57627118644</v>
      </c>
      <c r="I16" s="15" t="n">
        <f aca="false">I10-I11-I12-I14-I15</f>
        <v>6273.74881355932</v>
      </c>
      <c r="J16" s="15" t="n">
        <f aca="false">J10-J11-J12-J14-J15</f>
        <v>39597.1751412429</v>
      </c>
    </row>
    <row r="17" customFormat="false" ht="15" hidden="false" customHeight="false" outlineLevel="0" collapsed="false">
      <c r="A17" s="21" t="s">
        <v>993</v>
      </c>
      <c r="B17" s="8" t="n">
        <f aca="false">IFERROR(B16/B10,0)</f>
        <v>0.681104704704705</v>
      </c>
      <c r="C17" s="8" t="n">
        <f aca="false">IFERROR(C16/C10,0)</f>
        <v>0.881981116223245</v>
      </c>
      <c r="D17" s="8" t="n">
        <f aca="false">IFERROR(D16/D10,0)</f>
        <v>0.834445112781955</v>
      </c>
      <c r="E17" s="8" t="n">
        <f aca="false">IFERROR(E16/E10,0)</f>
        <v>0.43655</v>
      </c>
      <c r="F17" s="8" t="n">
        <f aca="false">IFERROR(F16/F10,0)</f>
        <v>0.74335</v>
      </c>
      <c r="G17" s="8" t="n">
        <f aca="false">IFERROR(G16/G10,0)</f>
        <v>0.741875</v>
      </c>
      <c r="H17" s="8" t="n">
        <f aca="false">IFERROR(H16/H10,0)</f>
        <v>0.8584</v>
      </c>
      <c r="I17" s="8" t="n">
        <f aca="false">IFERROR(I16/I10,0)</f>
        <v>0.740376397639764</v>
      </c>
      <c r="J17" s="8" t="n">
        <f aca="false">IFERROR(J16/J10,0)</f>
        <v>0.70087</v>
      </c>
    </row>
    <row r="18" customFormat="false" ht="15" hidden="false" customHeight="false" outlineLevel="0" collapsed="false">
      <c r="A18" s="21" t="s">
        <v>994</v>
      </c>
      <c r="B18" s="14" t="n">
        <f aca="false">Assumptions!$I$35</f>
        <v>400</v>
      </c>
      <c r="C18" s="14" t="n">
        <f aca="false">Assumptions!$I$118</f>
        <v>706</v>
      </c>
      <c r="D18" s="14" t="n">
        <f aca="false">Assumptions!$I$115*Assumptions!$I$120*(Assumptions!$I$27+Assumptions!$I$28+Assumptions!$I$31)+Assumptions!$I$240*Assumptions!$I$69</f>
        <v>7600</v>
      </c>
      <c r="E18" s="14" t="n">
        <f aca="false">Assumptions!$I$115*Assumptions!$I$120*(Assumptions!$I$27+Assumptions!$I$28+Assumptions!$I$31)+Assumptions!$I$240*Assumptions!$I$69</f>
        <v>7600</v>
      </c>
      <c r="F18" s="14" t="n">
        <f aca="false">Assumptions!$I$115*Assumptions!$I$120*(Assumptions!$I$27+Assumptions!$I$28+Assumptions!$I$31)+Assumptions!$I$240*Assumptions!$I$69</f>
        <v>7600</v>
      </c>
      <c r="G18" s="14" t="n">
        <f aca="false">Assumptions!$I$115*Assumptions!$I$120*(Assumptions!$I$27+Assumptions!$I$28+Assumptions!$I$31)+Assumptions!$I$240*Assumptions!$I$69</f>
        <v>7600</v>
      </c>
      <c r="H18" s="14" t="n">
        <f aca="false">Assumptions!$I$117</f>
        <v>300</v>
      </c>
      <c r="I18" s="14" t="n">
        <f aca="false">0</f>
        <v>0</v>
      </c>
      <c r="J18" s="14" t="n">
        <f aca="false">Assumptions!$I$115*Assumptions!$I$120*(Assumptions!$I$27+Assumptions!$I$28+Assumptions!$I$31)+Assumptions!$I$240*Assumptions!$I$69</f>
        <v>7600</v>
      </c>
    </row>
    <row r="19" customFormat="false" ht="15" hidden="false" customHeight="false" outlineLevel="0" collapsed="false">
      <c r="A19" s="3" t="s">
        <v>995</v>
      </c>
      <c r="B19" s="15" t="n">
        <f aca="false">B16-B18</f>
        <v>176.630169491525</v>
      </c>
      <c r="C19" s="15" t="n">
        <f aca="false">C16-C18</f>
        <v>3030.4606779661</v>
      </c>
      <c r="D19" s="15" t="n">
        <f aca="false">D16-D18</f>
        <v>20615.5593220339</v>
      </c>
      <c r="E19" s="15" t="n">
        <f aca="false">E16-E18</f>
        <v>14597.4576271186</v>
      </c>
      <c r="F19" s="15" t="n">
        <f aca="false">F16-F18</f>
        <v>42796.6101694915</v>
      </c>
      <c r="G19" s="15" t="n">
        <f aca="false">G16-G18</f>
        <v>42696.6101694915</v>
      </c>
      <c r="H19" s="15" t="n">
        <f aca="false">H16-H18</f>
        <v>6974.57627118644</v>
      </c>
      <c r="I19" s="15" t="n">
        <f aca="false">I16-I18</f>
        <v>6273.74881355932</v>
      </c>
      <c r="J19" s="15" t="n">
        <f aca="false">J16-J18</f>
        <v>31997.1751412429</v>
      </c>
    </row>
    <row r="20" customFormat="false" ht="15" hidden="false" customHeight="false" outlineLevel="0" collapsed="false">
      <c r="A20" s="21" t="s">
        <v>996</v>
      </c>
      <c r="B20" s="14" t="n">
        <f aca="false">(Assumptions!$I$221+Assumptions!$I$222)/(Assumptions!$I$213*Assumptions!$I$214)*B5</f>
        <v>281.25</v>
      </c>
      <c r="C20" s="14" t="n">
        <f aca="false">(Assumptions!$I$221+Assumptions!$I$222)/(Assumptions!$I$213*Assumptions!$I$214)*C5</f>
        <v>281.25</v>
      </c>
      <c r="D20" s="14" t="n">
        <f aca="false">(Assumptions!$I$221+Assumptions!$I$222)/(Assumptions!$I$213*Assumptions!$I$214)*D5</f>
        <v>2812.5</v>
      </c>
      <c r="E20" s="14" t="n">
        <f aca="false">(Assumptions!$I$221+Assumptions!$I$222)/(Assumptions!$I$213*Assumptions!$I$214)*E5</f>
        <v>8437.5</v>
      </c>
      <c r="F20" s="14" t="n">
        <f aca="false">(Assumptions!$I$221+Assumptions!$I$222)/(Assumptions!$I$213*Assumptions!$I$214)*F5</f>
        <v>8437.5</v>
      </c>
      <c r="G20" s="14" t="n">
        <f aca="false">(Assumptions!$I$221+Assumptions!$I$222)/(Assumptions!$I$213*Assumptions!$I$214)*G5</f>
        <v>7031.25</v>
      </c>
      <c r="H20" s="14" t="n">
        <f aca="false">(Assumptions!$I$221+Assumptions!$I$222)/(Assumptions!$I$213*Assumptions!$I$214)*H5</f>
        <v>196.875</v>
      </c>
      <c r="I20" s="14" t="n">
        <f aca="false">(Assumptions!$I$221+Assumptions!$I$222)/(Assumptions!$I$213*Assumptions!$I$214)*I5</f>
        <v>0</v>
      </c>
      <c r="J20" s="14" t="n">
        <f aca="false">(Assumptions!$I$221+Assumptions!$I$222)/(Assumptions!$I$213*Assumptions!$I$214)*J5</f>
        <v>8437.5</v>
      </c>
    </row>
    <row r="21" customFormat="false" ht="15" hidden="false" customHeight="false" outlineLevel="0" collapsed="false">
      <c r="A21" s="21" t="s">
        <v>997</v>
      </c>
      <c r="B21" s="14" t="n">
        <f aca="false">B13+B20*B7</f>
        <v>3375</v>
      </c>
      <c r="C21" s="14" t="n">
        <f aca="false">C13+C20*C7</f>
        <v>3375</v>
      </c>
      <c r="D21" s="14" t="n">
        <f aca="false">D13+D20*D7</f>
        <v>61750</v>
      </c>
      <c r="E21" s="14" t="n">
        <f aca="false">E13+E20*E7</f>
        <v>185250</v>
      </c>
      <c r="F21" s="14" t="n">
        <f aca="false">F13+F20*F7</f>
        <v>185250</v>
      </c>
      <c r="G21" s="14" t="n">
        <f aca="false">G13+G20*G7</f>
        <v>154375</v>
      </c>
      <c r="H21" s="14" t="n">
        <f aca="false">H13+H20*H7</f>
        <v>2756.25</v>
      </c>
      <c r="I21" s="14" t="n">
        <f aca="false">I13+I20*I7</f>
        <v>0</v>
      </c>
      <c r="J21" s="14" t="n">
        <f aca="false">J13+J20*J7</f>
        <v>185250</v>
      </c>
    </row>
    <row r="22" customFormat="false" ht="15" hidden="false" customHeight="false" outlineLevel="0" collapsed="false">
      <c r="A22" s="21" t="s">
        <v>998</v>
      </c>
      <c r="B22" s="14" t="n">
        <f aca="false">B11+B12+B15+B18</f>
        <v>669.98</v>
      </c>
      <c r="C22" s="14" t="n">
        <f aca="false">C11+C12+C15+C18</f>
        <v>1205.98</v>
      </c>
      <c r="D22" s="14" t="n">
        <f aca="false">D11+D12+D15+D18</f>
        <v>10398</v>
      </c>
      <c r="E22" s="14" t="n">
        <f aca="false">E11+E12+E15+E18</f>
        <v>27850</v>
      </c>
      <c r="F22" s="14" t="n">
        <f aca="false">F11+F12+F15+F18</f>
        <v>16600</v>
      </c>
      <c r="G22" s="14" t="n">
        <f aca="false">G11+G12+G15+G18</f>
        <v>18100</v>
      </c>
      <c r="H22" s="14" t="n">
        <f aca="false">H11+H12+H15+H18</f>
        <v>1500</v>
      </c>
      <c r="I22" s="14" t="n">
        <f aca="false">I11+I12+I15+I18</f>
        <v>2199.98</v>
      </c>
      <c r="J22" s="14" t="n">
        <f aca="false">J11+J12+J15+J18</f>
        <v>16100</v>
      </c>
    </row>
    <row r="23" customFormat="false" ht="15" hidden="false" customHeight="false" outlineLevel="0" collapsed="false">
      <c r="A23" s="21" t="s">
        <v>999</v>
      </c>
      <c r="B23" s="6" t="n">
        <f aca="false">IFERROR(B21/(B10-B22),0)</f>
        <v>19.1077210066422</v>
      </c>
      <c r="C23" s="6" t="n">
        <f aca="false">IFERROR(C21/(C10-C22),0)</f>
        <v>1.11369206158621</v>
      </c>
      <c r="D23" s="6" t="n">
        <f aca="false">IFERROR(D21/(D10-D22),0)</f>
        <v>2.6371353829628</v>
      </c>
      <c r="E23" s="6" t="n">
        <f aca="false">IFERROR(E21/(E10-E22),0)</f>
        <v>8.05523823561927</v>
      </c>
      <c r="F23" s="6" t="n">
        <f aca="false">IFERROR(F21/(F10-F22),0)</f>
        <v>3.6184036284182</v>
      </c>
      <c r="G23" s="6" t="n">
        <f aca="false">IFERROR(G21/(G10-G22),0)</f>
        <v>3.10634869206371</v>
      </c>
      <c r="H23" s="6" t="n">
        <f aca="false">IFERROR(H21/(H10-H22),0)</f>
        <v>0.395185297691373</v>
      </c>
      <c r="I23" s="6" t="n">
        <f aca="false">IFERROR(I21/(I10-I22),0)</f>
        <v>0</v>
      </c>
      <c r="J23" s="6" t="n">
        <f aca="false">IFERROR(J21/(J10-J22),0)</f>
        <v>4.58571668321609</v>
      </c>
    </row>
    <row r="24" customFormat="false" ht="15" hidden="false" customHeight="false" outlineLevel="0" collapsed="false">
      <c r="A24" s="3" t="s">
        <v>1000</v>
      </c>
      <c r="B24" s="9" t="n">
        <f aca="false">IFERROR(B23/B7,0)</f>
        <v>1.59231008388685</v>
      </c>
      <c r="C24" s="9" t="n">
        <f aca="false">IFERROR(C23/C7,0)</f>
        <v>0.0928076717988505</v>
      </c>
      <c r="D24" s="9" t="n">
        <f aca="false">IFERROR(D23/D7,0)</f>
        <v>0.219761281913567</v>
      </c>
      <c r="E24" s="9" t="n">
        <f aca="false">IFERROR(E23/E7,0)</f>
        <v>0.671269852968272</v>
      </c>
      <c r="F24" s="9" t="n">
        <f aca="false">IFERROR(F23/F7,0)</f>
        <v>0.301533635701516</v>
      </c>
      <c r="G24" s="9" t="n">
        <f aca="false">IFERROR(G23/G7,0)</f>
        <v>0.258862391005309</v>
      </c>
      <c r="H24" s="9" t="n">
        <f aca="false">IFERROR(H23/H7,0)</f>
        <v>0.0282275212636695</v>
      </c>
      <c r="I24" s="9" t="n">
        <f aca="false">IFERROR(I23/I7,0)</f>
        <v>0</v>
      </c>
      <c r="J24" s="9" t="n">
        <f aca="false">IFERROR(J23/J7,0)</f>
        <v>0.382143056934674</v>
      </c>
    </row>
    <row r="25" customFormat="false" ht="15" hidden="false" customHeight="false" outlineLevel="0" collapsed="false">
      <c r="A25" s="21" t="s">
        <v>1001</v>
      </c>
      <c r="B25" s="10" t="n">
        <f aca="false">10*(B10-B22)-B21</f>
        <v>-1608.69830508475</v>
      </c>
      <c r="C25" s="10" t="n">
        <f aca="false">10*(C10-C22)-C21</f>
        <v>26929.606779661</v>
      </c>
      <c r="D25" s="10" t="n">
        <f aca="false">10*(D10-D22)-D21</f>
        <v>172405.593220339</v>
      </c>
      <c r="E25" s="10" t="n">
        <f aca="false">10*(E10-E22)-E21</f>
        <v>44724.5762711865</v>
      </c>
      <c r="F25" s="10" t="n">
        <f aca="false">10*(F10-F22)-F21</f>
        <v>326716.101694915</v>
      </c>
      <c r="G25" s="10" t="n">
        <f aca="false">10*(G10-G22)-G21</f>
        <v>342591.101694915</v>
      </c>
      <c r="H25" s="10" t="n">
        <f aca="false">10*(H10-H22)-H21</f>
        <v>66989.5127118644</v>
      </c>
      <c r="I25" s="10" t="n">
        <f aca="false">10*(I10-I22)-I21</f>
        <v>62737.4881355932</v>
      </c>
      <c r="J25" s="10" t="n">
        <f aca="false">10*(J10-J22)-J21</f>
        <v>218721.751412429</v>
      </c>
    </row>
    <row r="26" customFormat="false" ht="15" hidden="false" customHeight="false" outlineLevel="0" collapsed="false">
      <c r="A26" s="21" t="s">
        <v>1002</v>
      </c>
      <c r="B26" s="10" t="n">
        <f aca="false">12*(B10-B22)-B21</f>
        <v>-1255.4379661017</v>
      </c>
      <c r="C26" s="10" t="n">
        <f aca="false">12*(C10-C22)-C21</f>
        <v>32990.5281355932</v>
      </c>
      <c r="D26" s="10" t="n">
        <f aca="false">12*(D10-D22)-D21</f>
        <v>219236.711864407</v>
      </c>
      <c r="E26" s="10" t="n">
        <f aca="false">12*(E10-E22)-E21</f>
        <v>90719.4915254237</v>
      </c>
      <c r="F26" s="10" t="n">
        <f aca="false">12*(F10-F22)-F21</f>
        <v>429109.322033898</v>
      </c>
      <c r="G26" s="10" t="n">
        <f aca="false">12*(G10-G22)-G21</f>
        <v>441984.322033898</v>
      </c>
      <c r="H26" s="10" t="n">
        <f aca="false">12*(H10-H22)-H21</f>
        <v>80938.6652542373</v>
      </c>
      <c r="I26" s="10" t="n">
        <f aca="false">12*(I10-I22)-I21</f>
        <v>75284.9857627119</v>
      </c>
      <c r="J26" s="10" t="n">
        <f aca="false">12*(J10-J22)-J21</f>
        <v>299516.101694915</v>
      </c>
    </row>
    <row r="27" customFormat="false" ht="15" hidden="false" customHeight="false" outlineLevel="0" collapsed="false">
      <c r="A27" s="21" t="s">
        <v>1003</v>
      </c>
      <c r="B27" s="10" t="n">
        <f aca="false">14*(B10-B22)-B21</f>
        <v>-902.177627118645</v>
      </c>
      <c r="C27" s="10" t="n">
        <f aca="false">14*(C10-C22)-C21</f>
        <v>39051.4494915254</v>
      </c>
      <c r="D27" s="10" t="n">
        <f aca="false">14*(D10-D22)-D21</f>
        <v>266067.830508475</v>
      </c>
      <c r="E27" s="10" t="n">
        <f aca="false">14*(E10-E22)-E21</f>
        <v>136714.406779661</v>
      </c>
      <c r="F27" s="10" t="n">
        <f aca="false">14*(F10-F22)-F21</f>
        <v>531502.542372881</v>
      </c>
      <c r="G27" s="10" t="n">
        <f aca="false">14*(G10-G22)-G21</f>
        <v>541377.542372881</v>
      </c>
      <c r="H27" s="10" t="n">
        <f aca="false">14*(H10-H22)-H21</f>
        <v>94887.8177966102</v>
      </c>
      <c r="I27" s="10" t="n">
        <f aca="false">14*(I10-I22)-I21</f>
        <v>87832.4833898305</v>
      </c>
      <c r="J27" s="10" t="n">
        <f aca="false">14*(J10-J22)-J21</f>
        <v>380310.451977401</v>
      </c>
    </row>
    <row r="28" customFormat="false" ht="15" hidden="false" customHeight="false" outlineLevel="0" collapsed="false">
      <c r="A28" s="21" t="s">
        <v>1004</v>
      </c>
      <c r="B28" s="6" t="n">
        <f aca="false">IFERROR(12/B5,0)</f>
        <v>120</v>
      </c>
      <c r="C28" s="6" t="n">
        <f aca="false">IFERROR(12/C5,0)</f>
        <v>120</v>
      </c>
      <c r="D28" s="6" t="n">
        <f aca="false">IFERROR(12/D5,0)</f>
        <v>12</v>
      </c>
      <c r="E28" s="6" t="n">
        <f aca="false">IFERROR(12/E5,0)</f>
        <v>4</v>
      </c>
      <c r="F28" s="6" t="n">
        <f aca="false">IFERROR(12/F5,0)</f>
        <v>4</v>
      </c>
      <c r="G28" s="6" t="n">
        <f aca="false">IFERROR(12/G5,0)</f>
        <v>4.8</v>
      </c>
      <c r="H28" s="6" t="n">
        <f aca="false">IFERROR(12/H5,0)</f>
        <v>171.428571428571</v>
      </c>
      <c r="I28" s="6" t="n">
        <f aca="false">IFERROR(12/I5,0)</f>
        <v>0</v>
      </c>
      <c r="J28" s="6" t="n">
        <f aca="false">IFERROR(12/J5,0)</f>
        <v>4</v>
      </c>
    </row>
    <row r="30" customFormat="false" ht="15" hidden="false" customHeight="false" outlineLevel="0" collapsed="false">
      <c r="A30" s="18" t="s">
        <v>1005</v>
      </c>
      <c r="B30" s="19"/>
      <c r="C30" s="19"/>
      <c r="D30" s="19"/>
      <c r="E30" s="19"/>
      <c r="F30" s="19"/>
      <c r="G30" s="19"/>
      <c r="H30" s="19"/>
      <c r="I30" s="19"/>
      <c r="J30" s="19"/>
    </row>
    <row r="31" customFormat="false" ht="15" hidden="false" customHeight="false" outlineLevel="0" collapsed="false">
      <c r="A31" s="0" t="s">
        <v>1006</v>
      </c>
      <c r="B31" s="10" t="n">
        <f aca="false">Assumptions!$I$9</f>
        <v>50</v>
      </c>
    </row>
    <row r="32" customFormat="false" ht="15" hidden="false" customHeight="false" outlineLevel="0" collapsed="false">
      <c r="A32" s="0" t="s">
        <v>1007</v>
      </c>
      <c r="B32" s="8" t="n">
        <f aca="false">Assumptions!$I$12</f>
        <v>0.6</v>
      </c>
    </row>
    <row r="33" customFormat="false" ht="15" hidden="false" customHeight="false" outlineLevel="0" collapsed="false">
      <c r="A33" s="0" t="s">
        <v>1008</v>
      </c>
      <c r="B33" s="10" t="n">
        <f aca="false">B31*B32</f>
        <v>30</v>
      </c>
    </row>
    <row r="34" customFormat="false" ht="15" hidden="false" customHeight="false" outlineLevel="0" collapsed="false">
      <c r="A34" s="0" t="s">
        <v>1009</v>
      </c>
      <c r="B34" s="10" t="n">
        <f aca="false">B31-B33</f>
        <v>20</v>
      </c>
    </row>
    <row r="35" customFormat="false" ht="15" hidden="false" customHeight="false" outlineLevel="0" collapsed="false">
      <c r="A35" s="0" t="s">
        <v>1010</v>
      </c>
      <c r="B35" s="10" t="n">
        <f aca="false">B33*Assumptions!$I$10+B34*Assumptions!$I$13</f>
        <v>1960000</v>
      </c>
    </row>
    <row r="36" customFormat="false" ht="15" hidden="false" customHeight="false" outlineLevel="0" collapsed="false">
      <c r="A36" s="0" t="s">
        <v>1011</v>
      </c>
      <c r="B36" s="10" t="n">
        <f aca="false">B35/(1+Assumptions!$I$15*Assumptions!$I$16)</f>
        <v>1661016.94915254</v>
      </c>
    </row>
    <row r="37" customFormat="false" ht="15" hidden="false" customHeight="false" outlineLevel="0" collapsed="false">
      <c r="A37" s="0" t="s">
        <v>1012</v>
      </c>
      <c r="B37" s="10" t="n">
        <f aca="false">B36-B33*(Assumptions!$I$14+Assumptions!$I$91)-B34*Assumptions!$I$94-B35*Assumptions!$I$76</f>
        <v>1061816.94915254</v>
      </c>
    </row>
    <row r="38" customFormat="false" ht="15" hidden="false" customHeight="false" outlineLevel="0" collapsed="false">
      <c r="A38" s="0" t="s">
        <v>1013</v>
      </c>
      <c r="B38" s="10" t="n">
        <f aca="false">-12*(Assumptions!$I$221+Assumptions!$I$222)</f>
        <v>-540000</v>
      </c>
    </row>
    <row r="39" customFormat="false" ht="15" hidden="false" customHeight="false" outlineLevel="0" collapsed="false">
      <c r="A39" s="0" t="s">
        <v>1014</v>
      </c>
      <c r="B39" s="10" t="n">
        <f aca="false">B37+B38</f>
        <v>521816.949152543</v>
      </c>
    </row>
    <row r="41" customFormat="false" ht="15" hidden="false" customHeight="false" outlineLevel="0" collapsed="false">
      <c r="A41" s="2" t="s">
        <v>1015</v>
      </c>
    </row>
    <row r="43" customFormat="false" ht="15" hidden="false" customHeight="false" outlineLevel="0" collapsed="false">
      <c r="A43" s="18" t="s">
        <v>1016</v>
      </c>
      <c r="B43" s="19"/>
      <c r="C43" s="19"/>
      <c r="D43" s="19"/>
      <c r="E43" s="19"/>
      <c r="F43" s="19"/>
      <c r="G43" s="19"/>
      <c r="H43" s="19"/>
      <c r="I43" s="19"/>
      <c r="J43" s="19"/>
    </row>
    <row r="44" customFormat="false" ht="55.2" hidden="false" customHeight="false" outlineLevel="0" collapsed="false">
      <c r="A44" s="5" t="s">
        <v>139</v>
      </c>
      <c r="B44" s="5" t="s">
        <v>1017</v>
      </c>
      <c r="C44" s="5" t="s">
        <v>1018</v>
      </c>
      <c r="D44" s="5" t="s">
        <v>1019</v>
      </c>
      <c r="E44" s="5" t="s">
        <v>1020</v>
      </c>
    </row>
    <row r="45" customFormat="false" ht="15" hidden="false" customHeight="false" outlineLevel="0" collapsed="false">
      <c r="A45" s="21" t="s">
        <v>1021</v>
      </c>
      <c r="B45" s="14" t="n">
        <f aca="false">Assumptions!$I$10</f>
        <v>60000</v>
      </c>
      <c r="C45" s="14" t="n">
        <f aca="false">Assumptions!$I$10</f>
        <v>60000</v>
      </c>
      <c r="D45" s="14" t="n">
        <f aca="false">Assumptions!$I$10</f>
        <v>60000</v>
      </c>
      <c r="E45" s="14" t="n">
        <f aca="false">Assumptions!$I$10</f>
        <v>60000</v>
      </c>
    </row>
    <row r="46" customFormat="false" ht="15" hidden="false" customHeight="false" outlineLevel="0" collapsed="false">
      <c r="A46" s="21" t="s">
        <v>1022</v>
      </c>
      <c r="B46" s="14" t="n">
        <f aca="false">MIN(Assumptions!$I$163,Assumptions!$I$19)</f>
        <v>75000</v>
      </c>
      <c r="C46" s="14" t="n">
        <f aca="false">MIN(Assumptions!$I$163,Assumptions!$I$19)</f>
        <v>75000</v>
      </c>
      <c r="D46" s="14" t="n">
        <f aca="false">MIN(Assumptions!$I$163,Assumptions!$I$19)</f>
        <v>75000</v>
      </c>
      <c r="E46" s="14" t="n">
        <f aca="false">MIN(Assumptions!$I$163,Assumptions!$I$19)</f>
        <v>75000</v>
      </c>
    </row>
    <row r="47" customFormat="false" ht="15" hidden="false" customHeight="false" outlineLevel="0" collapsed="false">
      <c r="A47" s="21" t="s">
        <v>1023</v>
      </c>
      <c r="B47" s="14" t="n">
        <f aca="false">Assumptions!$I$19</f>
        <v>90000</v>
      </c>
      <c r="C47" s="14" t="n">
        <f aca="false">Assumptions!$I$19</f>
        <v>90000</v>
      </c>
      <c r="D47" s="14" t="n">
        <f aca="false">Assumptions!$I$19</f>
        <v>90000</v>
      </c>
      <c r="E47" s="14" t="n">
        <f aca="false">Assumptions!$I$19</f>
        <v>90000</v>
      </c>
    </row>
    <row r="48" customFormat="false" ht="15" hidden="false" customHeight="false" outlineLevel="0" collapsed="false">
      <c r="A48" s="21" t="s">
        <v>1024</v>
      </c>
      <c r="B48" s="14" t="n">
        <f aca="false">Assumptions!$I$197</f>
        <v>20000</v>
      </c>
      <c r="C48" s="14" t="n">
        <f aca="false">Assumptions!$I$197</f>
        <v>20000</v>
      </c>
      <c r="D48" s="14" t="n">
        <f aca="false">Assumptions!$I$197</f>
        <v>20000</v>
      </c>
      <c r="E48" s="14" t="n">
        <f aca="false">Assumptions!$I$197</f>
        <v>20000</v>
      </c>
    </row>
    <row r="49" customFormat="false" ht="15" hidden="false" customHeight="false" outlineLevel="0" collapsed="false">
      <c r="A49" s="21" t="s">
        <v>1025</v>
      </c>
      <c r="B49" s="14" t="n">
        <f aca="false">Assumptions!$I$200*Assumptions!$I$201</f>
        <v>7200</v>
      </c>
      <c r="C49" s="14" t="n">
        <f aca="false">Assumptions!$I$198</f>
        <v>43500</v>
      </c>
      <c r="D49" s="14" t="n">
        <f aca="false">Assumptions!$I$200*Assumptions!$I$202</f>
        <v>7200</v>
      </c>
      <c r="E49" s="14" t="n">
        <f aca="false">Assumptions!$I$199</f>
        <v>22500</v>
      </c>
    </row>
    <row r="50" customFormat="false" ht="15" hidden="false" customHeight="false" outlineLevel="0" collapsed="false">
      <c r="A50" s="3" t="s">
        <v>1026</v>
      </c>
      <c r="B50" s="27" t="n">
        <f aca="false">B45+B49</f>
        <v>67200</v>
      </c>
      <c r="C50" s="27" t="n">
        <f aca="false">C45+C49</f>
        <v>103500</v>
      </c>
      <c r="D50" s="27" t="n">
        <f aca="false">D45+D49</f>
        <v>67200</v>
      </c>
      <c r="E50" s="27" t="n">
        <f aca="false">E45+E49</f>
        <v>82500</v>
      </c>
    </row>
    <row r="51" customFormat="false" ht="15" hidden="false" customHeight="false" outlineLevel="0" collapsed="false">
      <c r="A51" s="3" t="s">
        <v>1027</v>
      </c>
      <c r="B51" s="27" t="n">
        <f aca="false">B46+B49</f>
        <v>82200</v>
      </c>
      <c r="C51" s="27" t="n">
        <f aca="false">C46+C49</f>
        <v>118500</v>
      </c>
      <c r="D51" s="27" t="n">
        <f aca="false">D46+D49</f>
        <v>82200</v>
      </c>
      <c r="E51" s="27" t="n">
        <f aca="false">E46+E49</f>
        <v>97500</v>
      </c>
    </row>
    <row r="52" customFormat="false" ht="15" hidden="false" customHeight="false" outlineLevel="0" collapsed="false">
      <c r="A52" s="3" t="s">
        <v>1028</v>
      </c>
      <c r="B52" s="27" t="n">
        <f aca="false">B46+B48+B49</f>
        <v>102200</v>
      </c>
      <c r="C52" s="27" t="n">
        <f aca="false">C46+C48+C49</f>
        <v>138500</v>
      </c>
      <c r="D52" s="27" t="n">
        <f aca="false">D46+D48+D49</f>
        <v>102200</v>
      </c>
      <c r="E52" s="27" t="n">
        <f aca="false">E46+E48+E49</f>
        <v>117500</v>
      </c>
    </row>
    <row r="53" customFormat="false" ht="15" hidden="false" customHeight="false" outlineLevel="0" collapsed="false">
      <c r="A53" s="3" t="s">
        <v>1029</v>
      </c>
      <c r="B53" s="27" t="n">
        <f aca="false">B47+B49</f>
        <v>97200</v>
      </c>
      <c r="C53" s="27" t="n">
        <f aca="false">C47+C49</f>
        <v>133500</v>
      </c>
      <c r="D53" s="27" t="n">
        <f aca="false">D47+D49</f>
        <v>97200</v>
      </c>
      <c r="E53" s="27" t="n">
        <f aca="false">E47+E49</f>
        <v>112500</v>
      </c>
    </row>
    <row r="54" customFormat="false" ht="15" hidden="false" customHeight="false" outlineLevel="0" collapsed="false">
      <c r="A54" s="3" t="s">
        <v>1030</v>
      </c>
      <c r="B54" s="27" t="n">
        <f aca="false">B47+B48+B49</f>
        <v>117200</v>
      </c>
      <c r="C54" s="27" t="n">
        <f aca="false">C47+C48+C49</f>
        <v>153500</v>
      </c>
      <c r="D54" s="27" t="n">
        <f aca="false">D47+D48+D49</f>
        <v>117200</v>
      </c>
      <c r="E54" s="27" t="n">
        <f aca="false">E47+E48+E49</f>
        <v>132500</v>
      </c>
    </row>
    <row r="55" customFormat="false" ht="15" hidden="false" customHeight="false" outlineLevel="0" collapsed="false">
      <c r="A55" s="21" t="s">
        <v>1031</v>
      </c>
      <c r="B55" s="8" t="n">
        <f aca="false">B54/$B$54-1</f>
        <v>0</v>
      </c>
      <c r="C55" s="8" t="n">
        <f aca="false">C54/$B$54-1</f>
        <v>0.309726962457338</v>
      </c>
      <c r="D55" s="8" t="n">
        <f aca="false">D54/$B$54-1</f>
        <v>0</v>
      </c>
      <c r="E55" s="8" t="n">
        <f aca="false">E54/$B$54-1</f>
        <v>0.130546075085324</v>
      </c>
    </row>
    <row r="57" customFormat="false" ht="15" hidden="false" customHeight="false" outlineLevel="0" collapsed="false">
      <c r="A57" s="2" t="s">
        <v>1032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8" min="2" style="0" width="11"/>
    <col collapsed="false" customWidth="true" hidden="false" outlineLevel="0" max="29" min="29" style="0" width="52"/>
  </cols>
  <sheetData>
    <row r="1" customFormat="false" ht="17.35" hidden="false" customHeight="false" outlineLevel="0" collapsed="false">
      <c r="A1" s="1" t="s">
        <v>1033</v>
      </c>
    </row>
    <row r="2" customFormat="false" ht="15" hidden="false" customHeight="false" outlineLevel="0" collapsed="false">
      <c r="A2" s="2" t="s">
        <v>1034</v>
      </c>
    </row>
    <row r="4" customFormat="false" ht="41.75" hidden="false" customHeight="false" outlineLevel="0" collapsed="false">
      <c r="A4" s="5" t="s">
        <v>1035</v>
      </c>
      <c r="B4" s="5" t="s">
        <v>104</v>
      </c>
      <c r="C4" s="5" t="s">
        <v>105</v>
      </c>
      <c r="D4" s="5" t="s">
        <v>106</v>
      </c>
      <c r="E4" s="5" t="s">
        <v>107</v>
      </c>
      <c r="F4" s="5" t="s">
        <v>108</v>
      </c>
      <c r="G4" s="5" t="s">
        <v>109</v>
      </c>
      <c r="H4" s="5" t="s">
        <v>110</v>
      </c>
      <c r="I4" s="5" t="s">
        <v>111</v>
      </c>
      <c r="J4" s="5" t="s">
        <v>112</v>
      </c>
      <c r="K4" s="5" t="s">
        <v>113</v>
      </c>
      <c r="L4" s="5" t="s">
        <v>114</v>
      </c>
      <c r="M4" s="5" t="s">
        <v>115</v>
      </c>
      <c r="N4" s="5" t="s">
        <v>116</v>
      </c>
      <c r="O4" s="5" t="s">
        <v>117</v>
      </c>
      <c r="P4" s="5" t="s">
        <v>118</v>
      </c>
      <c r="Q4" s="5" t="s">
        <v>119</v>
      </c>
      <c r="R4" s="5" t="s">
        <v>120</v>
      </c>
      <c r="S4" s="5" t="s">
        <v>121</v>
      </c>
      <c r="T4" s="5" t="s">
        <v>122</v>
      </c>
      <c r="U4" s="5" t="s">
        <v>123</v>
      </c>
      <c r="V4" s="5" t="s">
        <v>124</v>
      </c>
      <c r="W4" s="5" t="s">
        <v>125</v>
      </c>
      <c r="X4" s="5" t="s">
        <v>126</v>
      </c>
      <c r="Y4" s="5" t="s">
        <v>127</v>
      </c>
      <c r="Z4" s="5" t="s">
        <v>128</v>
      </c>
      <c r="AA4" s="5" t="s">
        <v>129</v>
      </c>
      <c r="AB4" s="5" t="s">
        <v>130</v>
      </c>
      <c r="AC4" s="5" t="s">
        <v>1036</v>
      </c>
    </row>
    <row r="5" customFormat="false" ht="15" hidden="false" customHeight="false" outlineLevel="0" collapsed="false">
      <c r="A5" s="18" t="s">
        <v>1037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</row>
    <row r="6" customFormat="false" ht="15" hidden="false" customHeight="false" outlineLevel="0" collapsed="false">
      <c r="A6" s="21" t="s">
        <v>1038</v>
      </c>
      <c r="B6" s="10" t="n">
        <f aca="false">Outlook_Conservative!O38</f>
        <v>33.1370242805755</v>
      </c>
      <c r="C6" s="10" t="n">
        <f aca="false">2*SUM(Outlook_Conservative!I39:N39)/(SUM(Outlook_Conservative!I10:N10)/6)*(1+INDEX(Assumptions!$C$241:$E$241,1))</f>
        <v>38.9892949640288</v>
      </c>
      <c r="D6" s="10" t="n">
        <f aca="false">C6*(1+INDEX(Assumptions!$C$242:$E$242,1))</f>
        <v>40.9387597122302</v>
      </c>
      <c r="E6" s="10" t="n">
        <f aca="false">Outlook_Base!O38</f>
        <v>89.3117228168619</v>
      </c>
      <c r="F6" s="10" t="n">
        <f aca="false">2*SUM(Outlook_Base!I39:N39)/(SUM(Outlook_Base!I10:N10)/6)*(1+INDEX(Assumptions!$C$241:$E$241,2))</f>
        <v>119.907027264889</v>
      </c>
      <c r="G6" s="10" t="n">
        <f aca="false">F6*(1+INDEX(Assumptions!$C$242:$E$242,2))</f>
        <v>131.897729991378</v>
      </c>
      <c r="H6" s="10" t="n">
        <f aca="false">Outlook_Aggressive!O38</f>
        <v>123.616323104723</v>
      </c>
      <c r="I6" s="10" t="n">
        <f aca="false">2*SUM(Outlook_Aggressive!I39:N39)/(SUM(Outlook_Aggressive!I10:N10)/6)*(1+INDEX(Assumptions!$C$241:$E$241,3))</f>
        <v>161.423440970946</v>
      </c>
      <c r="J6" s="10" t="n">
        <f aca="false">I6*(1+INDEX(Assumptions!$C$242:$E$242,3))</f>
        <v>180.79425388746</v>
      </c>
      <c r="K6" s="10" t="n">
        <f aca="false">Staged_G1M6!O38</f>
        <v>90.85354334035</v>
      </c>
      <c r="L6" s="10" t="n">
        <f aca="false">2*SUM(Staged_G1M6!I39:N39)/(SUM(Staged_G1M6!I10:N10)/6)*(1+INDEX(Assumptions!$C$241:$E$241,2))</f>
        <v>120.130613062783</v>
      </c>
      <c r="M6" s="10" t="n">
        <f aca="false">L6*(1+INDEX(Assumptions!$C$242:$E$242,2))</f>
        <v>132.143674369061</v>
      </c>
      <c r="N6" s="10" t="n">
        <f aca="false">Staged_G1M9!O38</f>
        <v>81.0218308581928</v>
      </c>
      <c r="O6" s="10" t="n">
        <f aca="false">2*SUM(Staged_G1M9!I39:N39)/(SUM(Staged_G1M9!I10:N10)/6)*(1+INDEX(Assumptions!$C$241:$E$241,2))</f>
        <v>116.225305647402</v>
      </c>
      <c r="P6" s="10" t="n">
        <f aca="false">O6*(1+INDEX(Assumptions!$C$242:$E$242,2))</f>
        <v>127.847836212142</v>
      </c>
      <c r="Q6" s="10" t="n">
        <f aca="false">Staged_G1M9!O38</f>
        <v>81.0218308581928</v>
      </c>
      <c r="R6" s="10" t="n">
        <f aca="false">2*SUM(Staged_G1M9!I39:N39)/(SUM(Staged_G1M9!I10:N10)/6)*(1+INDEX(Assumptions!$C$241:$E$241,2))</f>
        <v>116.225305647402</v>
      </c>
      <c r="S6" s="10" t="n">
        <f aca="false">R6*(1+INDEX(Assumptions!$C$242:$E$242,2))</f>
        <v>127.847836212142</v>
      </c>
      <c r="T6" s="10" t="n">
        <f aca="false">Staged_G1M9!O38</f>
        <v>81.0218308581928</v>
      </c>
      <c r="U6" s="10" t="n">
        <f aca="false">2*SUM(Staged_G1M9!I39:N39)/(SUM(Staged_G1M9!I10:N10)/6)*(1+INDEX(Assumptions!$C$241:$E$241,2))</f>
        <v>116.225305647402</v>
      </c>
      <c r="V6" s="10" t="n">
        <f aca="false">U6*(1+INDEX(Assumptions!$C$242:$E$242,2))</f>
        <v>127.847836212142</v>
      </c>
      <c r="W6" s="10" t="n">
        <f aca="false">Staged_G1M9!O38</f>
        <v>81.0218308581928</v>
      </c>
      <c r="X6" s="10" t="n">
        <f aca="false">2*SUM(Staged_G1M9!I39:N39)/(SUM(Staged_G1M9!I10:N10)/6)*(1+INDEX(Assumptions!$C$241:$E$241,2))</f>
        <v>116.225305647402</v>
      </c>
      <c r="Y6" s="10" t="n">
        <f aca="false">X6*(1+INDEX(Assumptions!$C$242:$E$242,2))</f>
        <v>127.847836212142</v>
      </c>
      <c r="Z6" s="10" t="n">
        <f aca="false">Staged_G1M9!O38</f>
        <v>81.0218308581928</v>
      </c>
      <c r="AA6" s="10" t="n">
        <f aca="false">2*SUM(Staged_G1M9!I39:N39)/(SUM(Staged_G1M9!I10:N10)/6)*(1+INDEX(Assumptions!$C$241:$E$241,2))</f>
        <v>116.225305647402</v>
      </c>
      <c r="AB6" s="10" t="n">
        <f aca="false">AA6*(1+INDEX(Assumptions!$C$242:$E$242,2))</f>
        <v>127.847836212142</v>
      </c>
      <c r="AC6" s="2" t="s">
        <v>1039</v>
      </c>
    </row>
    <row r="7" customFormat="false" ht="15" hidden="false" customHeight="false" outlineLevel="0" collapsed="false">
      <c r="A7" s="21" t="s">
        <v>1040</v>
      </c>
      <c r="B7" s="16" t="n">
        <f aca="false">1</f>
        <v>1</v>
      </c>
      <c r="C7" s="16" t="n">
        <f aca="false">1</f>
        <v>1</v>
      </c>
      <c r="D7" s="16" t="n">
        <f aca="false">1</f>
        <v>1</v>
      </c>
      <c r="E7" s="16" t="n">
        <f aca="false">1</f>
        <v>1</v>
      </c>
      <c r="F7" s="16" t="n">
        <f aca="false">1</f>
        <v>1</v>
      </c>
      <c r="G7" s="16" t="n">
        <f aca="false">1</f>
        <v>1</v>
      </c>
      <c r="H7" s="16" t="n">
        <f aca="false">1</f>
        <v>1</v>
      </c>
      <c r="I7" s="16" t="n">
        <f aca="false">1</f>
        <v>1</v>
      </c>
      <c r="J7" s="16" t="n">
        <f aca="false">1</f>
        <v>1</v>
      </c>
      <c r="K7" s="16" t="n">
        <f aca="false">1</f>
        <v>1</v>
      </c>
      <c r="L7" s="16" t="n">
        <f aca="false">1</f>
        <v>1</v>
      </c>
      <c r="M7" s="16" t="n">
        <f aca="false">1</f>
        <v>1</v>
      </c>
      <c r="N7" s="16" t="n">
        <f aca="false">1</f>
        <v>1</v>
      </c>
      <c r="O7" s="16" t="n">
        <f aca="false">1</f>
        <v>1</v>
      </c>
      <c r="P7" s="16" t="n">
        <f aca="false">1</f>
        <v>1</v>
      </c>
      <c r="Q7" s="16" t="n">
        <f aca="false">1</f>
        <v>1</v>
      </c>
      <c r="R7" s="16" t="n">
        <f aca="false">1</f>
        <v>1</v>
      </c>
      <c r="S7" s="16" t="n">
        <f aca="false">1</f>
        <v>1</v>
      </c>
      <c r="T7" s="16" t="n">
        <f aca="false">1</f>
        <v>1</v>
      </c>
      <c r="U7" s="16" t="n">
        <f aca="false">1+INDEX(Assumptions!$C$195:$E$195,2)*(12-MAX(0,MIN(12,INDEX(Assumptions!$C$162:$E$162,2)-13)))/12</f>
        <v>0.925</v>
      </c>
      <c r="V7" s="16" t="n">
        <f aca="false">1+INDEX(Assumptions!$C$195:$E$195,2)</f>
        <v>0.9</v>
      </c>
      <c r="W7" s="16" t="n">
        <f aca="false">1</f>
        <v>1</v>
      </c>
      <c r="X7" s="16" t="n">
        <f aca="false">1+INDEX(Assumptions!$C$196:$E$196,2)*(12-MAX(0,MIN(12,INDEX(Assumptions!$C$162:$E$162,2)-13)))/12</f>
        <v>0.85</v>
      </c>
      <c r="Y7" s="16" t="n">
        <f aca="false">1+INDEX(Assumptions!$C$196:$E$196,2)</f>
        <v>0.8</v>
      </c>
      <c r="Z7" s="16" t="n">
        <f aca="false">1</f>
        <v>1</v>
      </c>
      <c r="AA7" s="16" t="n">
        <f aca="false">1</f>
        <v>1</v>
      </c>
      <c r="AB7" s="16" t="n">
        <f aca="false">1</f>
        <v>1</v>
      </c>
      <c r="AC7" s="2" t="s">
        <v>1041</v>
      </c>
    </row>
    <row r="8" customFormat="false" ht="15" hidden="false" customHeight="false" outlineLevel="0" collapsed="false">
      <c r="A8" s="21" t="s">
        <v>1042</v>
      </c>
      <c r="B8" s="10" t="n">
        <f aca="false">B6*B7</f>
        <v>33.1370242805755</v>
      </c>
      <c r="C8" s="10" t="n">
        <f aca="false">C6*C7</f>
        <v>38.9892949640288</v>
      </c>
      <c r="D8" s="10" t="n">
        <f aca="false">D6*D7</f>
        <v>40.9387597122302</v>
      </c>
      <c r="E8" s="10" t="n">
        <f aca="false">E6*E7</f>
        <v>89.3117228168619</v>
      </c>
      <c r="F8" s="10" t="n">
        <f aca="false">F6*F7</f>
        <v>119.907027264889</v>
      </c>
      <c r="G8" s="10" t="n">
        <f aca="false">G6*G7</f>
        <v>131.897729991378</v>
      </c>
      <c r="H8" s="10" t="n">
        <f aca="false">H6*H7</f>
        <v>123.616323104723</v>
      </c>
      <c r="I8" s="10" t="n">
        <f aca="false">I6*I7</f>
        <v>161.423440970946</v>
      </c>
      <c r="J8" s="10" t="n">
        <f aca="false">J6*J7</f>
        <v>180.79425388746</v>
      </c>
      <c r="K8" s="10" t="n">
        <f aca="false">K6*K7</f>
        <v>90.85354334035</v>
      </c>
      <c r="L8" s="10" t="n">
        <f aca="false">L6*L7</f>
        <v>120.130613062783</v>
      </c>
      <c r="M8" s="10" t="n">
        <f aca="false">M6*M7</f>
        <v>132.143674369061</v>
      </c>
      <c r="N8" s="10" t="n">
        <f aca="false">N6*N7</f>
        <v>81.0218308581928</v>
      </c>
      <c r="O8" s="10" t="n">
        <f aca="false">O6*O7</f>
        <v>116.225305647402</v>
      </c>
      <c r="P8" s="10" t="n">
        <f aca="false">P6*P7</f>
        <v>127.847836212142</v>
      </c>
      <c r="Q8" s="10" t="n">
        <f aca="false">Q6*Q7</f>
        <v>81.0218308581928</v>
      </c>
      <c r="R8" s="10" t="n">
        <f aca="false">R6*R7</f>
        <v>116.225305647402</v>
      </c>
      <c r="S8" s="10" t="n">
        <f aca="false">S6*S7</f>
        <v>127.847836212142</v>
      </c>
      <c r="T8" s="10" t="n">
        <f aca="false">T6*T7</f>
        <v>81.0218308581928</v>
      </c>
      <c r="U8" s="10" t="n">
        <f aca="false">U6*U7</f>
        <v>107.508407723847</v>
      </c>
      <c r="V8" s="10" t="n">
        <f aca="false">V6*V7</f>
        <v>115.063052590928</v>
      </c>
      <c r="W8" s="10" t="n">
        <f aca="false">W6*W7</f>
        <v>81.0218308581928</v>
      </c>
      <c r="X8" s="10" t="n">
        <f aca="false">X6*X7</f>
        <v>98.7915098002916</v>
      </c>
      <c r="Y8" s="10" t="n">
        <f aca="false">Y6*Y7</f>
        <v>102.278268969714</v>
      </c>
      <c r="Z8" s="10" t="n">
        <f aca="false">Z6*Z7</f>
        <v>81.0218308581928</v>
      </c>
      <c r="AA8" s="10" t="n">
        <f aca="false">AA6*AA7</f>
        <v>116.225305647402</v>
      </c>
      <c r="AB8" s="10" t="n">
        <f aca="false">AB6*AB7</f>
        <v>127.847836212142</v>
      </c>
      <c r="AC8" s="2"/>
    </row>
    <row r="9" customFormat="false" ht="15" hidden="false" customHeight="false" outlineLevel="0" collapsed="false">
      <c r="A9" s="21" t="s">
        <v>1043</v>
      </c>
      <c r="B9" s="8" t="n">
        <f aca="false">INDEX(Assumptions!$C$26:$E$26,1)</f>
        <v>0.5</v>
      </c>
      <c r="C9" s="8" t="n">
        <f aca="false">INDEX(Assumptions!$C$26:$E$26,1)</f>
        <v>0.5</v>
      </c>
      <c r="D9" s="8" t="n">
        <f aca="false">INDEX(Assumptions!$C$26:$E$26,1)</f>
        <v>0.5</v>
      </c>
      <c r="E9" s="8" t="n">
        <f aca="false">INDEX(Assumptions!$C$26:$E$26,2)</f>
        <v>0.6</v>
      </c>
      <c r="F9" s="8" t="n">
        <f aca="false">INDEX(Assumptions!$C$26:$E$26,2)</f>
        <v>0.6</v>
      </c>
      <c r="G9" s="8" t="n">
        <f aca="false">INDEX(Assumptions!$C$26:$E$26,2)</f>
        <v>0.6</v>
      </c>
      <c r="H9" s="8" t="n">
        <f aca="false">INDEX(Assumptions!$C$26:$E$26,3)</f>
        <v>0.7</v>
      </c>
      <c r="I9" s="8" t="n">
        <f aca="false">INDEX(Assumptions!$C$26:$E$26,3)</f>
        <v>0.7</v>
      </c>
      <c r="J9" s="8" t="n">
        <f aca="false">INDEX(Assumptions!$C$26:$E$26,3)</f>
        <v>0.7</v>
      </c>
      <c r="K9" s="8" t="n">
        <f aca="false">INDEX(Assumptions!$C$26:$E$26,2)</f>
        <v>0.6</v>
      </c>
      <c r="L9" s="8" t="n">
        <f aca="false">INDEX(Assumptions!$C$26:$E$26,2)</f>
        <v>0.6</v>
      </c>
      <c r="M9" s="8" t="n">
        <f aca="false">INDEX(Assumptions!$C$26:$E$26,2)</f>
        <v>0.6</v>
      </c>
      <c r="N9" s="8" t="n">
        <f aca="false">INDEX(Assumptions!$C$26:$E$26,2)</f>
        <v>0.6</v>
      </c>
      <c r="O9" s="8" t="n">
        <f aca="false">INDEX(Assumptions!$C$26:$E$26,2)</f>
        <v>0.6</v>
      </c>
      <c r="P9" s="8" t="n">
        <f aca="false">INDEX(Assumptions!$C$26:$E$26,2)</f>
        <v>0.6</v>
      </c>
      <c r="Q9" s="8" t="n">
        <f aca="false">INDEX(Assumptions!$C$26:$E$26,2)</f>
        <v>0.6</v>
      </c>
      <c r="R9" s="8" t="n">
        <f aca="false">INDEX(Assumptions!$C$26:$E$26,2)</f>
        <v>0.6</v>
      </c>
      <c r="S9" s="8" t="n">
        <f aca="false">INDEX(Assumptions!$C$26:$E$26,2)</f>
        <v>0.6</v>
      </c>
      <c r="T9" s="8" t="n">
        <f aca="false">INDEX(Assumptions!$C$26:$E$26,2)</f>
        <v>0.6</v>
      </c>
      <c r="U9" s="8" t="n">
        <f aca="false">INDEX(Assumptions!$C$26:$E$26,2)</f>
        <v>0.6</v>
      </c>
      <c r="V9" s="8" t="n">
        <f aca="false">INDEX(Assumptions!$C$26:$E$26,2)</f>
        <v>0.6</v>
      </c>
      <c r="W9" s="8" t="n">
        <f aca="false">INDEX(Assumptions!$C$26:$E$26,2)</f>
        <v>0.6</v>
      </c>
      <c r="X9" s="8" t="n">
        <f aca="false">INDEX(Assumptions!$C$26:$E$26,2)</f>
        <v>0.6</v>
      </c>
      <c r="Y9" s="8" t="n">
        <f aca="false">INDEX(Assumptions!$C$26:$E$26,2)</f>
        <v>0.6</v>
      </c>
      <c r="Z9" s="8" t="n">
        <f aca="false">INDEX(Assumptions!$C$26:$E$26,2)</f>
        <v>0.6</v>
      </c>
      <c r="AA9" s="8" t="n">
        <f aca="false">INDEX(Assumptions!$C$26:$E$26,2)</f>
        <v>0.6</v>
      </c>
      <c r="AB9" s="8" t="n">
        <f aca="false">INDEX(Assumptions!$C$26:$E$26,2)</f>
        <v>0.6</v>
      </c>
      <c r="AC9" s="2"/>
    </row>
    <row r="10" customFormat="false" ht="15" hidden="false" customHeight="false" outlineLevel="0" collapsed="false">
      <c r="A10" s="21" t="s">
        <v>370</v>
      </c>
      <c r="B10" s="8" t="n">
        <f aca="false">INDEX(Assumptions!$C$74:$E$74,1)</f>
        <v>0.15</v>
      </c>
      <c r="C10" s="8" t="n">
        <f aca="false">INDEX(Assumptions!$C$243:$E$243,1)</f>
        <v>0.15</v>
      </c>
      <c r="D10" s="8" t="n">
        <f aca="false">INDEX(Assumptions!$C$244:$E$244,1)</f>
        <v>0.18</v>
      </c>
      <c r="E10" s="8" t="n">
        <f aca="false">INDEX(Assumptions!$C$74:$E$74,2)</f>
        <v>0.25</v>
      </c>
      <c r="F10" s="8" t="n">
        <f aca="false">INDEX(Assumptions!$C$243:$E$243,2)</f>
        <v>0.25</v>
      </c>
      <c r="G10" s="8" t="n">
        <f aca="false">INDEX(Assumptions!$C$244:$E$244,2)</f>
        <v>0.3</v>
      </c>
      <c r="H10" s="8" t="n">
        <f aca="false">INDEX(Assumptions!$C$74:$E$74,3)</f>
        <v>0.35</v>
      </c>
      <c r="I10" s="8" t="n">
        <f aca="false">INDEX(Assumptions!$C$243:$E$243,3)</f>
        <v>0.35</v>
      </c>
      <c r="J10" s="8" t="n">
        <f aca="false">INDEX(Assumptions!$C$244:$E$244,3)</f>
        <v>0.4</v>
      </c>
      <c r="K10" s="8" t="n">
        <f aca="false">INDEX(Assumptions!$C$74:$E$74,2)</f>
        <v>0.25</v>
      </c>
      <c r="L10" s="8" t="n">
        <f aca="false">INDEX(Assumptions!$C$243:$E$243,2)</f>
        <v>0.25</v>
      </c>
      <c r="M10" s="8" t="n">
        <f aca="false">INDEX(Assumptions!$C$244:$E$244,2)</f>
        <v>0.3</v>
      </c>
      <c r="N10" s="8" t="n">
        <f aca="false">INDEX(Assumptions!$C$74:$E$74,2)</f>
        <v>0.25</v>
      </c>
      <c r="O10" s="8" t="n">
        <f aca="false">INDEX(Assumptions!$C$243:$E$243,2)</f>
        <v>0.25</v>
      </c>
      <c r="P10" s="8" t="n">
        <f aca="false">INDEX(Assumptions!$C$244:$E$244,2)</f>
        <v>0.3</v>
      </c>
      <c r="Q10" s="8" t="n">
        <f aca="false">INDEX(Assumptions!$C$74:$E$74,2)</f>
        <v>0.25</v>
      </c>
      <c r="R10" s="8" t="n">
        <f aca="false">INDEX(Assumptions!$C$243:$E$243,2)</f>
        <v>0.25</v>
      </c>
      <c r="S10" s="8" t="n">
        <f aca="false">INDEX(Assumptions!$C$244:$E$244,2)</f>
        <v>0.3</v>
      </c>
      <c r="T10" s="8" t="n">
        <f aca="false">INDEX(Assumptions!$C$74:$E$74,2)</f>
        <v>0.25</v>
      </c>
      <c r="U10" s="8" t="n">
        <f aca="false">INDEX(Assumptions!$C$243:$E$243,2)</f>
        <v>0.25</v>
      </c>
      <c r="V10" s="8" t="n">
        <f aca="false">INDEX(Assumptions!$C$244:$E$244,2)</f>
        <v>0.3</v>
      </c>
      <c r="W10" s="8" t="n">
        <f aca="false">INDEX(Assumptions!$C$74:$E$74,2)</f>
        <v>0.25</v>
      </c>
      <c r="X10" s="8" t="n">
        <f aca="false">INDEX(Assumptions!$C$243:$E$243,2)</f>
        <v>0.25</v>
      </c>
      <c r="Y10" s="8" t="n">
        <f aca="false">INDEX(Assumptions!$C$244:$E$244,2)</f>
        <v>0.3</v>
      </c>
      <c r="Z10" s="8" t="n">
        <f aca="false">INDEX(Assumptions!$C$74:$E$74,2)</f>
        <v>0.25</v>
      </c>
      <c r="AA10" s="8" t="n">
        <f aca="false">INDEX(Assumptions!$C$243:$E$243,2)</f>
        <v>0.25</v>
      </c>
      <c r="AB10" s="8" t="n">
        <f aca="false">INDEX(Assumptions!$C$244:$E$244,2)</f>
        <v>0.3</v>
      </c>
      <c r="AC10" s="2"/>
    </row>
    <row r="11" customFormat="false" ht="15" hidden="false" customHeight="false" outlineLevel="0" collapsed="false">
      <c r="A11" s="21" t="s">
        <v>1044</v>
      </c>
      <c r="B11" s="10" t="n">
        <f aca="false">Outlook_Conservative!O35*0</f>
        <v>0</v>
      </c>
      <c r="C11" s="10" t="n">
        <f aca="false">INDEX(Assumptions!$C$245:$E$245,1)</f>
        <v>0</v>
      </c>
      <c r="D11" s="10" t="n">
        <f aca="false">INDEX(Assumptions!$C$246:$E$246,1)</f>
        <v>8</v>
      </c>
      <c r="E11" s="10" t="n">
        <f aca="false">Outlook_Base!O35*0</f>
        <v>0</v>
      </c>
      <c r="F11" s="10" t="n">
        <f aca="false">INDEX(Assumptions!$C$245:$E$245,2)</f>
        <v>15</v>
      </c>
      <c r="G11" s="10" t="n">
        <f aca="false">INDEX(Assumptions!$C$246:$E$246,2)</f>
        <v>35</v>
      </c>
      <c r="H11" s="10" t="n">
        <f aca="false">Outlook_Aggressive!O35*0</f>
        <v>0</v>
      </c>
      <c r="I11" s="10" t="n">
        <f aca="false">INDEX(Assumptions!$C$245:$E$245,3)</f>
        <v>30</v>
      </c>
      <c r="J11" s="10" t="n">
        <f aca="false">INDEX(Assumptions!$C$246:$E$246,3)</f>
        <v>60</v>
      </c>
      <c r="K11" s="10" t="n">
        <f aca="false">Staged_G1M6!O35*0</f>
        <v>0</v>
      </c>
      <c r="L11" s="10" t="n">
        <f aca="false">INDEX(Assumptions!$C$245:$E$245,2)</f>
        <v>15</v>
      </c>
      <c r="M11" s="10" t="n">
        <f aca="false">INDEX(Assumptions!$C$246:$E$246,2)</f>
        <v>35</v>
      </c>
      <c r="N11" s="10" t="n">
        <f aca="false">Staged_G1M9!O35*0</f>
        <v>0</v>
      </c>
      <c r="O11" s="10" t="n">
        <f aca="false">INDEX(Assumptions!$C$245:$E$245,2)</f>
        <v>15</v>
      </c>
      <c r="P11" s="10" t="n">
        <f aca="false">INDEX(Assumptions!$C$246:$E$246,2)</f>
        <v>35</v>
      </c>
      <c r="Q11" s="10" t="n">
        <f aca="false">Staged_G1M9!O35*0</f>
        <v>0</v>
      </c>
      <c r="R11" s="10" t="n">
        <f aca="false">INDEX(Assumptions!$C$245:$E$245,2)</f>
        <v>15</v>
      </c>
      <c r="S11" s="10" t="n">
        <f aca="false">INDEX(Assumptions!$C$246:$E$246,2)</f>
        <v>35</v>
      </c>
      <c r="T11" s="10" t="n">
        <f aca="false">Staged_G1M9!O35*0</f>
        <v>0</v>
      </c>
      <c r="U11" s="10" t="n">
        <f aca="false">INDEX(Assumptions!$C$245:$E$245,2)</f>
        <v>15</v>
      </c>
      <c r="V11" s="10" t="n">
        <f aca="false">INDEX(Assumptions!$C$246:$E$246,2)</f>
        <v>35</v>
      </c>
      <c r="W11" s="10" t="n">
        <f aca="false">Staged_G1M9!O35*0</f>
        <v>0</v>
      </c>
      <c r="X11" s="10" t="n">
        <f aca="false">INDEX(Assumptions!$C$245:$E$245,2)</f>
        <v>15</v>
      </c>
      <c r="Y11" s="10" t="n">
        <f aca="false">INDEX(Assumptions!$C$246:$E$246,2)</f>
        <v>35</v>
      </c>
      <c r="Z11" s="10" t="n">
        <f aca="false">Staged_G1M9!O35*0</f>
        <v>0</v>
      </c>
      <c r="AA11" s="10" t="n">
        <f aca="false">Staged_G1M9!O35*0</f>
        <v>0</v>
      </c>
      <c r="AB11" s="10" t="n">
        <f aca="false">Staged_G1M9!O35*0</f>
        <v>0</v>
      </c>
      <c r="AC11" s="2" t="s">
        <v>1045</v>
      </c>
    </row>
    <row r="12" customFormat="false" ht="15" hidden="false" customHeight="false" outlineLevel="0" collapsed="false">
      <c r="A12" s="21" t="s">
        <v>1046</v>
      </c>
      <c r="B12" s="10" t="n">
        <f aca="false">Outlook_Conservative!O37</f>
        <v>3.75532947392086</v>
      </c>
      <c r="C12" s="10" t="n">
        <f aca="false">C8*(1-INDEX(Assumptions!$C$26:$E$26,1))*INDEX(Assumptions!$C$89:$E$89,1)</f>
        <v>4.8736618705036</v>
      </c>
      <c r="D12" s="10" t="n">
        <f aca="false">D8*(1-INDEX(Assumptions!$C$26:$E$26,1))*INDEX(Assumptions!$C$89:$E$89,1)</f>
        <v>5.11734496402878</v>
      </c>
      <c r="E12" s="10" t="n">
        <f aca="false">Outlook_Base!O37</f>
        <v>8.77461858790449</v>
      </c>
      <c r="F12" s="10" t="n">
        <f aca="false">F8*(1-INDEX(Assumptions!$C$26:$E$26,2))*INDEX(Assumptions!$C$89:$E$89,2)</f>
        <v>14.3888432717867</v>
      </c>
      <c r="G12" s="10" t="n">
        <f aca="false">G8*(1-INDEX(Assumptions!$C$26:$E$26,2))*INDEX(Assumptions!$C$89:$E$89,2)</f>
        <v>15.8277275989654</v>
      </c>
      <c r="H12" s="10" t="n">
        <f aca="false">Outlook_Aggressive!O37</f>
        <v>11.1261254559534</v>
      </c>
      <c r="I12" s="10" t="n">
        <f aca="false">I8*(1-INDEX(Assumptions!$C$26:$E$26,3))*INDEX(Assumptions!$C$89:$E$89,3)</f>
        <v>19.3708129165136</v>
      </c>
      <c r="J12" s="10" t="n">
        <f aca="false">J8*(1-INDEX(Assumptions!$C$26:$E$26,3))*INDEX(Assumptions!$C$89:$E$89,3)</f>
        <v>21.6953104664952</v>
      </c>
      <c r="K12" s="10" t="n">
        <f aca="false">Staged_G1M6!O37</f>
        <v>8.62271985944503</v>
      </c>
      <c r="L12" s="10" t="n">
        <f aca="false">L8*(1-INDEX(Assumptions!$C$26:$E$26,2))*INDEX(Assumptions!$C$89:$E$89,2)</f>
        <v>14.415673567534</v>
      </c>
      <c r="M12" s="10" t="n">
        <f aca="false">M8*(1-INDEX(Assumptions!$C$26:$E$26,2))*INDEX(Assumptions!$C$89:$E$89,2)</f>
        <v>15.8572409242874</v>
      </c>
      <c r="N12" s="10" t="n">
        <f aca="false">Staged_G1M9!O37</f>
        <v>7.41682959446831</v>
      </c>
      <c r="O12" s="10" t="n">
        <f aca="false">O8*(1-INDEX(Assumptions!$C$26:$E$26,2))*INDEX(Assumptions!$C$89:$E$89,2)</f>
        <v>13.9470366776882</v>
      </c>
      <c r="P12" s="10" t="n">
        <f aca="false">P8*(1-INDEX(Assumptions!$C$26:$E$26,2))*INDEX(Assumptions!$C$89:$E$89,2)</f>
        <v>15.341740345457</v>
      </c>
      <c r="Q12" s="10" t="n">
        <f aca="false">Staged_G1M9!O37</f>
        <v>7.41682959446831</v>
      </c>
      <c r="R12" s="10" t="n">
        <f aca="false">R8*(1-INDEX(Assumptions!$C$26:$E$26,2))*INDEX(Assumptions!$C$89:$E$89,2)</f>
        <v>13.9470366776882</v>
      </c>
      <c r="S12" s="10" t="n">
        <f aca="false">S8*(1-INDEX(Assumptions!$C$26:$E$26,2))*INDEX(Assumptions!$C$89:$E$89,2)</f>
        <v>15.341740345457</v>
      </c>
      <c r="T12" s="10" t="n">
        <f aca="false">Staged_G1M9!O37</f>
        <v>7.41682959446831</v>
      </c>
      <c r="U12" s="10" t="n">
        <f aca="false">U8*(1-INDEX(Assumptions!$C$26:$E$26,2))*INDEX(Assumptions!$C$89:$E$89,2)</f>
        <v>12.9010089268616</v>
      </c>
      <c r="V12" s="10" t="n">
        <f aca="false">V8*(1-INDEX(Assumptions!$C$26:$E$26,2))*INDEX(Assumptions!$C$89:$E$89,2)</f>
        <v>13.8075663109113</v>
      </c>
      <c r="W12" s="10" t="n">
        <f aca="false">Staged_G1M9!O37</f>
        <v>7.41682959446831</v>
      </c>
      <c r="X12" s="10" t="n">
        <f aca="false">X8*(1-INDEX(Assumptions!$C$26:$E$26,2))*INDEX(Assumptions!$C$89:$E$89,2)</f>
        <v>11.854981176035</v>
      </c>
      <c r="Y12" s="10" t="n">
        <f aca="false">Y8*(1-INDEX(Assumptions!$C$26:$E$26,2))*INDEX(Assumptions!$C$89:$E$89,2)</f>
        <v>12.2733922763656</v>
      </c>
      <c r="Z12" s="10" t="n">
        <f aca="false">Staged_G1M9!O37</f>
        <v>7.41682959446831</v>
      </c>
      <c r="AA12" s="10" t="n">
        <f aca="false">AA8*(1-INDEX(Assumptions!$C$26:$E$26,2))*INDEX(Assumptions!$C$89:$E$89,2)</f>
        <v>13.9470366776882</v>
      </c>
      <c r="AB12" s="10" t="n">
        <f aca="false">AB8*(1-INDEX(Assumptions!$C$26:$E$26,2))*INDEX(Assumptions!$C$89:$E$89,2)</f>
        <v>15.341740345457</v>
      </c>
      <c r="AC12" s="2"/>
    </row>
    <row r="13" customFormat="false" ht="15" hidden="false" customHeight="false" outlineLevel="0" collapsed="false">
      <c r="A13" s="21" t="s">
        <v>1047</v>
      </c>
      <c r="B13" s="10" t="n">
        <f aca="false">Outlook_Conservative!N25</f>
        <v>8</v>
      </c>
      <c r="C13" s="10" t="n">
        <f aca="false">INDEX(Assumptions!$C$273:$E$273,1)</f>
        <v>8</v>
      </c>
      <c r="D13" s="10" t="n">
        <f aca="false">INDEX(Assumptions!$C$274:$E$274,1)</f>
        <v>10</v>
      </c>
      <c r="E13" s="10" t="n">
        <f aca="false">Outlook_Base!N25</f>
        <v>12</v>
      </c>
      <c r="F13" s="10" t="n">
        <f aca="false">INDEX(Assumptions!$C$273:$E$273,2)</f>
        <v>12</v>
      </c>
      <c r="G13" s="10" t="n">
        <f aca="false">INDEX(Assumptions!$C$274:$E$274,2)</f>
        <v>14</v>
      </c>
      <c r="H13" s="10" t="n">
        <f aca="false">Outlook_Aggressive!N25</f>
        <v>16</v>
      </c>
      <c r="I13" s="10" t="n">
        <f aca="false">INDEX(Assumptions!$C$273:$E$273,3)</f>
        <v>16</v>
      </c>
      <c r="J13" s="10" t="n">
        <f aca="false">INDEX(Assumptions!$C$274:$E$274,3)</f>
        <v>18</v>
      </c>
      <c r="K13" s="10" t="n">
        <f aca="false">Staged_G1M6!N25</f>
        <v>12</v>
      </c>
      <c r="L13" s="10" t="n">
        <f aca="false">INDEX(Assumptions!$C$273:$E$273,2)</f>
        <v>12</v>
      </c>
      <c r="M13" s="10" t="n">
        <f aca="false">INDEX(Assumptions!$C$274:$E$274,2)</f>
        <v>14</v>
      </c>
      <c r="N13" s="10" t="n">
        <f aca="false">Staged_G1M9!N25</f>
        <v>12</v>
      </c>
      <c r="O13" s="10" t="n">
        <f aca="false">INDEX(Assumptions!$C$273:$E$273,2)</f>
        <v>12</v>
      </c>
      <c r="P13" s="10" t="n">
        <f aca="false">INDEX(Assumptions!$C$274:$E$274,2)</f>
        <v>14</v>
      </c>
      <c r="Q13" s="10" t="n">
        <f aca="false">Staged_G1M9!N25</f>
        <v>12</v>
      </c>
      <c r="R13" s="10" t="n">
        <f aca="false">INDEX(Assumptions!$C$273:$E$273,2)</f>
        <v>12</v>
      </c>
      <c r="S13" s="10" t="n">
        <f aca="false">INDEX(Assumptions!$C$274:$E$274,2)</f>
        <v>14</v>
      </c>
      <c r="T13" s="10" t="n">
        <f aca="false">Staged_G1M9!N25</f>
        <v>12</v>
      </c>
      <c r="U13" s="10" t="n">
        <f aca="false">INDEX(Assumptions!$C$273:$E$273,2)</f>
        <v>12</v>
      </c>
      <c r="V13" s="10" t="n">
        <f aca="false">INDEX(Assumptions!$C$274:$E$274,2)</f>
        <v>14</v>
      </c>
      <c r="W13" s="10" t="n">
        <f aca="false">Staged_G1M9!N25</f>
        <v>12</v>
      </c>
      <c r="X13" s="10" t="n">
        <f aca="false">INDEX(Assumptions!$C$273:$E$273,2)</f>
        <v>12</v>
      </c>
      <c r="Y13" s="10" t="n">
        <f aca="false">INDEX(Assumptions!$C$274:$E$274,2)</f>
        <v>14</v>
      </c>
      <c r="Z13" s="10" t="n">
        <f aca="false">Staged_G1M9!N25</f>
        <v>12</v>
      </c>
      <c r="AA13" s="10" t="n">
        <f aca="false">INDEX(Assumptions!$C$273:$E$273,2)</f>
        <v>12</v>
      </c>
      <c r="AB13" s="10" t="n">
        <f aca="false">INDEX(Assumptions!$C$274:$E$274,2)</f>
        <v>14</v>
      </c>
      <c r="AC13" s="2"/>
    </row>
    <row r="14" customFormat="false" ht="15" hidden="false" customHeight="false" outlineLevel="0" collapsed="false">
      <c r="A14" s="21" t="s">
        <v>1048</v>
      </c>
      <c r="B14" s="6" t="n">
        <f aca="false">Outlook_Conservative!N26</f>
        <v>2</v>
      </c>
      <c r="C14" s="6" t="n">
        <f aca="false">INDEX(Assumptions!$C$271:$E$271,1)</f>
        <v>2.5</v>
      </c>
      <c r="D14" s="6" t="n">
        <f aca="false">INDEX(Assumptions!$C$272:$E$272,1)</f>
        <v>3</v>
      </c>
      <c r="E14" s="6" t="n">
        <f aca="false">Outlook_Base!N26</f>
        <v>2.5</v>
      </c>
      <c r="F14" s="6" t="n">
        <f aca="false">INDEX(Assumptions!$C$271:$E$271,2)</f>
        <v>3</v>
      </c>
      <c r="G14" s="6" t="n">
        <f aca="false">INDEX(Assumptions!$C$272:$E$272,2)</f>
        <v>3</v>
      </c>
      <c r="H14" s="6" t="n">
        <f aca="false">Outlook_Aggressive!N26</f>
        <v>2.5</v>
      </c>
      <c r="I14" s="6" t="n">
        <f aca="false">INDEX(Assumptions!$C$271:$E$271,3)</f>
        <v>3</v>
      </c>
      <c r="J14" s="6" t="n">
        <f aca="false">INDEX(Assumptions!$C$272:$E$272,3)</f>
        <v>3</v>
      </c>
      <c r="K14" s="6" t="n">
        <f aca="false">Staged_G1M6!N26</f>
        <v>2.5</v>
      </c>
      <c r="L14" s="6" t="n">
        <f aca="false">INDEX(Assumptions!$C$271:$E$271,2)</f>
        <v>3</v>
      </c>
      <c r="M14" s="6" t="n">
        <f aca="false">INDEX(Assumptions!$C$272:$E$272,2)</f>
        <v>3</v>
      </c>
      <c r="N14" s="6" t="n">
        <f aca="false">Staged_G1M9!N26</f>
        <v>2.5</v>
      </c>
      <c r="O14" s="6" t="n">
        <f aca="false">INDEX(Assumptions!$C$271:$E$271,2)</f>
        <v>3</v>
      </c>
      <c r="P14" s="6" t="n">
        <f aca="false">INDEX(Assumptions!$C$272:$E$272,2)</f>
        <v>3</v>
      </c>
      <c r="Q14" s="6" t="n">
        <f aca="false">Staged_G1M9!N26</f>
        <v>2.5</v>
      </c>
      <c r="R14" s="6" t="n">
        <f aca="false">INDEX(Assumptions!$C$271:$E$271,2)</f>
        <v>3</v>
      </c>
      <c r="S14" s="6" t="n">
        <f aca="false">INDEX(Assumptions!$C$272:$E$272,2)</f>
        <v>3</v>
      </c>
      <c r="T14" s="6" t="n">
        <f aca="false">Staged_G1M9!N26</f>
        <v>2.5</v>
      </c>
      <c r="U14" s="6" t="n">
        <f aca="false">INDEX(Assumptions!$C$271:$E$271,2)</f>
        <v>3</v>
      </c>
      <c r="V14" s="6" t="n">
        <f aca="false">INDEX(Assumptions!$C$272:$E$272,2)</f>
        <v>3</v>
      </c>
      <c r="W14" s="6" t="n">
        <f aca="false">Staged_G1M9!N26</f>
        <v>2.5</v>
      </c>
      <c r="X14" s="6" t="n">
        <f aca="false">INDEX(Assumptions!$C$271:$E$271,2)</f>
        <v>3</v>
      </c>
      <c r="Y14" s="6" t="n">
        <f aca="false">INDEX(Assumptions!$C$272:$E$272,2)</f>
        <v>3</v>
      </c>
      <c r="Z14" s="6" t="n">
        <f aca="false">Staged_G1M9!N26</f>
        <v>2.5</v>
      </c>
      <c r="AA14" s="6" t="n">
        <f aca="false">INDEX(Assumptions!$C$271:$E$271,2)</f>
        <v>3</v>
      </c>
      <c r="AB14" s="6" t="n">
        <f aca="false">INDEX(Assumptions!$C$272:$E$272,2)</f>
        <v>3</v>
      </c>
      <c r="AC14" s="2"/>
    </row>
    <row r="15" customFormat="false" ht="15" hidden="false" customHeight="false" outlineLevel="0" collapsed="false">
      <c r="A15" s="21" t="s">
        <v>1049</v>
      </c>
      <c r="B15" s="10" t="n">
        <f aca="false">B13*B14*12*INDEX(Assumptions!$C$220:$E$220,1)</f>
        <v>172.8</v>
      </c>
      <c r="C15" s="10" t="n">
        <f aca="false">C13*C14*12*INDEX(Assumptions!$C$220:$E$220,1)</f>
        <v>216</v>
      </c>
      <c r="D15" s="10" t="n">
        <f aca="false">D13*D14*12*INDEX(Assumptions!$C$220:$E$220,1)</f>
        <v>324</v>
      </c>
      <c r="E15" s="10" t="n">
        <f aca="false">E13*E14*12*INDEX(Assumptions!$C$220:$E$220,2)</f>
        <v>324</v>
      </c>
      <c r="F15" s="10" t="n">
        <f aca="false">F13*F14*12*INDEX(Assumptions!$C$220:$E$220,2)</f>
        <v>388.8</v>
      </c>
      <c r="G15" s="10" t="n">
        <f aca="false">G13*G14*12*INDEX(Assumptions!$C$220:$E$220,2)</f>
        <v>453.6</v>
      </c>
      <c r="H15" s="10" t="n">
        <f aca="false">H13*H14*12*INDEX(Assumptions!$C$220:$E$220,3)</f>
        <v>432</v>
      </c>
      <c r="I15" s="10" t="n">
        <f aca="false">I13*I14*12*INDEX(Assumptions!$C$220:$E$220,3)</f>
        <v>518.4</v>
      </c>
      <c r="J15" s="10" t="n">
        <f aca="false">J13*J14*12*INDEX(Assumptions!$C$220:$E$220,3)</f>
        <v>583.2</v>
      </c>
      <c r="K15" s="10" t="n">
        <f aca="false">K13*K14*12*INDEX(Assumptions!$C$220:$E$220,2)</f>
        <v>324</v>
      </c>
      <c r="L15" s="10" t="n">
        <f aca="false">L13*L14*12*INDEX(Assumptions!$C$220:$E$220,2)</f>
        <v>388.8</v>
      </c>
      <c r="M15" s="10" t="n">
        <f aca="false">M13*M14*12*INDEX(Assumptions!$C$220:$E$220,2)</f>
        <v>453.6</v>
      </c>
      <c r="N15" s="10" t="n">
        <f aca="false">N13*N14*12*INDEX(Assumptions!$C$220:$E$220,2)</f>
        <v>324</v>
      </c>
      <c r="O15" s="10" t="n">
        <f aca="false">O13*O14*12*INDEX(Assumptions!$C$220:$E$220,2)</f>
        <v>388.8</v>
      </c>
      <c r="P15" s="10" t="n">
        <f aca="false">P13*P14*12*INDEX(Assumptions!$C$220:$E$220,2)</f>
        <v>453.6</v>
      </c>
      <c r="Q15" s="10" t="n">
        <f aca="false">Q13*Q14*12*INDEX(Assumptions!$C$220:$E$220,2)</f>
        <v>324</v>
      </c>
      <c r="R15" s="10" t="n">
        <f aca="false">R13*R14*12*INDEX(Assumptions!$C$220:$E$220,2)</f>
        <v>388.8</v>
      </c>
      <c r="S15" s="10" t="n">
        <f aca="false">S13*S14*12*INDEX(Assumptions!$C$220:$E$220,2)</f>
        <v>453.6</v>
      </c>
      <c r="T15" s="10" t="n">
        <f aca="false">T13*T14*12*INDEX(Assumptions!$C$220:$E$220,2)</f>
        <v>324</v>
      </c>
      <c r="U15" s="10" t="n">
        <f aca="false">U13*U14*12*INDEX(Assumptions!$C$220:$E$220,2)</f>
        <v>388.8</v>
      </c>
      <c r="V15" s="10" t="n">
        <f aca="false">V13*V14*12*INDEX(Assumptions!$C$220:$E$220,2)</f>
        <v>453.6</v>
      </c>
      <c r="W15" s="10" t="n">
        <f aca="false">W13*W14*12*INDEX(Assumptions!$C$220:$E$220,2)</f>
        <v>324</v>
      </c>
      <c r="X15" s="10" t="n">
        <f aca="false">X13*X14*12*INDEX(Assumptions!$C$220:$E$220,2)</f>
        <v>388.8</v>
      </c>
      <c r="Y15" s="10" t="n">
        <f aca="false">Y13*Y14*12*INDEX(Assumptions!$C$220:$E$220,2)</f>
        <v>453.6</v>
      </c>
      <c r="Z15" s="10" t="n">
        <f aca="false">Z13*Z14*12*INDEX(Assumptions!$C$220:$E$220,2)</f>
        <v>324</v>
      </c>
      <c r="AA15" s="10" t="n">
        <f aca="false">AA13*AA14*12*INDEX(Assumptions!$C$220:$E$220,2)</f>
        <v>388.8</v>
      </c>
      <c r="AB15" s="10" t="n">
        <f aca="false">AB13*AB14*12*INDEX(Assumptions!$C$220:$E$220,2)</f>
        <v>453.6</v>
      </c>
      <c r="AC15" s="2"/>
    </row>
    <row r="16" customFormat="false" ht="15" hidden="false" customHeight="false" outlineLevel="0" collapsed="false">
      <c r="A16" s="21" t="s">
        <v>1050</v>
      </c>
      <c r="B16" s="10" t="n">
        <f aca="false">Outlook_Conservative!O42*12</f>
        <v>71.5833391411871</v>
      </c>
      <c r="C16" s="10" t="n">
        <f aca="false">C8*(C9*INDEX(Assumptions!$C$103:$E$103,1)+(1-C9))+C12*INDEX(Assumptions!$C$103:$E$103,1)+C11*INDEX(Assumptions!$C$104:$E$104,1)</f>
        <v>92.5995755395684</v>
      </c>
      <c r="D16" s="10" t="n">
        <f aca="false">D8*(D9*INDEX(Assumptions!$C$103:$E$103,1)+(1-D9))+D12*INDEX(Assumptions!$C$103:$E$103,1)+D11*INDEX(Assumptions!$C$104:$E$104,1)</f>
        <v>117.229554316547</v>
      </c>
      <c r="E16" s="10" t="n">
        <f aca="false">Outlook_Base!O42*12</f>
        <v>201.242871032898</v>
      </c>
      <c r="F16" s="10" t="n">
        <f aca="false">F8*(F9*INDEX(Assumptions!$C$103:$E$103,2)+(1-F9))+F12*INDEX(Assumptions!$C$103:$E$103,2)+F11*INDEX(Assumptions!$C$104:$E$104,2)</f>
        <v>344.461989798116</v>
      </c>
      <c r="G16" s="10" t="n">
        <f aca="false">G8*(G9*INDEX(Assumptions!$C$103:$E$103,2)+(1-G9))+G12*INDEX(Assumptions!$C$103:$E$103,2)+G11*INDEX(Assumptions!$C$104:$E$104,2)</f>
        <v>425.158188777928</v>
      </c>
      <c r="H16" s="10" t="n">
        <f aca="false">Outlook_Aggressive!O42*12</f>
        <v>295.559076977715</v>
      </c>
      <c r="I16" s="10" t="n">
        <f aca="false">I8*(I9*INDEX(Assumptions!$C$103:$E$103,3)+(1-I9))+I12*INDEX(Assumptions!$C$103:$E$103,3)+I11*INDEX(Assumptions!$C$104:$E$104,3)</f>
        <v>520.528697079812</v>
      </c>
      <c r="J16" s="10" t="n">
        <f aca="false">J8*(J9*INDEX(Assumptions!$C$103:$E$103,3)+(1-J9))+J12*INDEX(Assumptions!$C$103:$E$103,3)+J11*INDEX(Assumptions!$C$104:$E$104,3)</f>
        <v>648.992140729389</v>
      </c>
      <c r="K16" s="10" t="n">
        <f aca="false">Staged_G1M6!O42*12</f>
        <v>205.895936701524</v>
      </c>
      <c r="L16" s="10" t="n">
        <f aca="false">L8*(L9*INDEX(Assumptions!$C$103:$E$103,2)+(1-L9))+L12*INDEX(Assumptions!$C$103:$E$103,2)+L11*INDEX(Assumptions!$C$104:$E$104,2)</f>
        <v>345.034369440725</v>
      </c>
      <c r="M16" s="10" t="n">
        <f aca="false">M8*(M9*INDEX(Assumptions!$C$103:$E$103,2)+(1-M9))+M12*INDEX(Assumptions!$C$103:$E$103,2)+M11*INDEX(Assumptions!$C$104:$E$104,2)</f>
        <v>425.787806384797</v>
      </c>
      <c r="N16" s="10" t="n">
        <f aca="false">Staged_G1M9!O42*12</f>
        <v>180.373239373392</v>
      </c>
      <c r="O16" s="10" t="n">
        <f aca="false">O8*(O9*INDEX(Assumptions!$C$103:$E$103,2)+(1-O9))+O12*INDEX(Assumptions!$C$103:$E$103,2)+O11*INDEX(Assumptions!$C$104:$E$104,2)</f>
        <v>335.036782457349</v>
      </c>
      <c r="P16" s="10" t="n">
        <f aca="false">P8*(P9*INDEX(Assumptions!$C$103:$E$103,2)+(1-P9))+P12*INDEX(Assumptions!$C$103:$E$103,2)+P11*INDEX(Assumptions!$C$104:$E$104,2)</f>
        <v>414.790460703084</v>
      </c>
      <c r="Q16" s="10" t="n">
        <f aca="false">Staged_G1M9!O42*12</f>
        <v>180.373239373392</v>
      </c>
      <c r="R16" s="10" t="n">
        <f aca="false">R8*(R9*INDEX(Assumptions!$C$103:$E$103,2)+(1-R9))+R12*INDEX(Assumptions!$C$103:$E$103,2)+R11*INDEX(Assumptions!$C$104:$E$104,2)</f>
        <v>335.036782457349</v>
      </c>
      <c r="S16" s="10" t="n">
        <f aca="false">S8*(S9*INDEX(Assumptions!$C$103:$E$103,2)+(1-S9))+S12*INDEX(Assumptions!$C$103:$E$103,2)+S11*INDEX(Assumptions!$C$104:$E$104,2)</f>
        <v>414.790460703084</v>
      </c>
      <c r="T16" s="10" t="n">
        <f aca="false">Staged_G1M9!O42*12</f>
        <v>180.373239373392</v>
      </c>
      <c r="U16" s="10" t="n">
        <f aca="false">U8*(U9*INDEX(Assumptions!$C$103:$E$103,2)+(1-U9))+U12*INDEX(Assumptions!$C$103:$E$103,2)+U11*INDEX(Assumptions!$C$104:$E$104,2)</f>
        <v>312.721523773048</v>
      </c>
      <c r="V16" s="10" t="n">
        <f aca="false">V8*(V9*INDEX(Assumptions!$C$103:$E$103,2)+(1-V9))+V12*INDEX(Assumptions!$C$103:$E$103,2)+V11*INDEX(Assumptions!$C$104:$E$104,2)</f>
        <v>382.061414632775</v>
      </c>
      <c r="W16" s="10" t="n">
        <f aca="false">Staged_G1M9!O42*12</f>
        <v>180.373239373392</v>
      </c>
      <c r="X16" s="10" t="n">
        <f aca="false">X8*(X9*INDEX(Assumptions!$C$103:$E$103,2)+(1-X9))+X12*INDEX(Assumptions!$C$103:$E$103,2)+X11*INDEX(Assumptions!$C$104:$E$104,2)</f>
        <v>290.406265088746</v>
      </c>
      <c r="Y16" s="10" t="n">
        <f aca="false">Y8*(Y9*INDEX(Assumptions!$C$103:$E$103,2)+(1-Y9))+Y12*INDEX(Assumptions!$C$103:$E$103,2)+Y11*INDEX(Assumptions!$C$104:$E$104,2)</f>
        <v>349.332368562467</v>
      </c>
      <c r="Z16" s="10" t="n">
        <f aca="false">Staged_G1M9!O42*12</f>
        <v>180.373239373392</v>
      </c>
      <c r="AA16" s="10" t="n">
        <f aca="false">AA8*(AA9*INDEX(Assumptions!$C$103:$E$103,2)+(1-AA9))+AA12*INDEX(Assumptions!$C$103:$E$103,2)+AA11*INDEX(Assumptions!$C$104:$E$104,2)</f>
        <v>297.536782457349</v>
      </c>
      <c r="AB16" s="10" t="n">
        <f aca="false">AB8*(AB9*INDEX(Assumptions!$C$103:$E$103,2)+(1-AB9))+AB12*INDEX(Assumptions!$C$103:$E$103,2)+AB11*INDEX(Assumptions!$C$104:$E$104,2)</f>
        <v>327.290460703084</v>
      </c>
      <c r="AC16" s="2"/>
    </row>
    <row r="17" customFormat="false" ht="15" hidden="false" customHeight="false" outlineLevel="0" collapsed="false">
      <c r="A17" s="21" t="s">
        <v>1051</v>
      </c>
      <c r="B17" s="8" t="n">
        <f aca="false">1</f>
        <v>1</v>
      </c>
      <c r="C17" s="8" t="n">
        <f aca="false">MIN(1,C15/C16)</f>
        <v>1</v>
      </c>
      <c r="D17" s="8" t="n">
        <f aca="false">MIN(1,D15/D16)</f>
        <v>1</v>
      </c>
      <c r="E17" s="8" t="n">
        <f aca="false">1</f>
        <v>1</v>
      </c>
      <c r="F17" s="8" t="n">
        <f aca="false">MIN(1,F15/F16)</f>
        <v>1</v>
      </c>
      <c r="G17" s="8" t="n">
        <f aca="false">MIN(1,G15/G16)</f>
        <v>1</v>
      </c>
      <c r="H17" s="8" t="n">
        <f aca="false">1</f>
        <v>1</v>
      </c>
      <c r="I17" s="8" t="n">
        <f aca="false">MIN(1,I15/I16)</f>
        <v>0.995910509657289</v>
      </c>
      <c r="J17" s="8" t="n">
        <f aca="false">MIN(1,J15/J16)</f>
        <v>0.898624133328569</v>
      </c>
      <c r="K17" s="8" t="n">
        <f aca="false">1</f>
        <v>1</v>
      </c>
      <c r="L17" s="8" t="n">
        <f aca="false">MIN(1,L15/L16)</f>
        <v>1</v>
      </c>
      <c r="M17" s="8" t="n">
        <f aca="false">MIN(1,M15/M16)</f>
        <v>1</v>
      </c>
      <c r="N17" s="8" t="n">
        <f aca="false">1</f>
        <v>1</v>
      </c>
      <c r="O17" s="8" t="n">
        <f aca="false">MIN(1,O15/O16)</f>
        <v>1</v>
      </c>
      <c r="P17" s="8" t="n">
        <f aca="false">MIN(1,P15/P16)</f>
        <v>1</v>
      </c>
      <c r="Q17" s="8" t="n">
        <f aca="false">1</f>
        <v>1</v>
      </c>
      <c r="R17" s="8" t="n">
        <f aca="false">MIN(1,R15/R16)</f>
        <v>1</v>
      </c>
      <c r="S17" s="8" t="n">
        <f aca="false">MIN(1,S15/S16)</f>
        <v>1</v>
      </c>
      <c r="T17" s="8" t="n">
        <f aca="false">1</f>
        <v>1</v>
      </c>
      <c r="U17" s="8" t="n">
        <f aca="false">MIN(1,U15/U16)</f>
        <v>1</v>
      </c>
      <c r="V17" s="8" t="n">
        <f aca="false">MIN(1,V15/V16)</f>
        <v>1</v>
      </c>
      <c r="W17" s="8" t="n">
        <f aca="false">1</f>
        <v>1</v>
      </c>
      <c r="X17" s="8" t="n">
        <f aca="false">MIN(1,X15/X16)</f>
        <v>1</v>
      </c>
      <c r="Y17" s="8" t="n">
        <f aca="false">MIN(1,Y15/Y16)</f>
        <v>1</v>
      </c>
      <c r="Z17" s="8" t="n">
        <f aca="false">1</f>
        <v>1</v>
      </c>
      <c r="AA17" s="8" t="n">
        <f aca="false">MIN(1,AA15/AA16)</f>
        <v>1</v>
      </c>
      <c r="AB17" s="8" t="n">
        <f aca="false">MIN(1,AB15/AB16)</f>
        <v>1</v>
      </c>
      <c r="AC17" s="2"/>
    </row>
    <row r="18" customFormat="false" ht="15" hidden="false" customHeight="false" outlineLevel="0" collapsed="false">
      <c r="A18" s="21" t="s">
        <v>1052</v>
      </c>
      <c r="B18" s="8" t="n">
        <f aca="false">Outlook_Conservative!N43</f>
        <v>0.483498201438849</v>
      </c>
      <c r="C18" s="8" t="n">
        <f aca="false">MIN(1,C16/(C13*C14*12))</f>
        <v>0.385831564748202</v>
      </c>
      <c r="D18" s="8" t="n">
        <f aca="false">MIN(1,D16/(D13*D14*12))</f>
        <v>0.325637650879297</v>
      </c>
      <c r="E18" s="8" t="n">
        <f aca="false">Outlook_Base!N43</f>
        <v>0.828357899756937</v>
      </c>
      <c r="F18" s="8" t="n">
        <f aca="false">MIN(1,F16/(F13*F14*12))</f>
        <v>0.797365717125268</v>
      </c>
      <c r="G18" s="8" t="n">
        <f aca="false">MIN(1,G16/(G13*G14*12))</f>
        <v>0.84356783487684</v>
      </c>
      <c r="H18" s="8" t="n">
        <f aca="false">Outlook_Aggressive!N43</f>
        <v>0.9</v>
      </c>
      <c r="I18" s="8" t="n">
        <f aca="false">MIN(1,I16/(I13*I14*12))</f>
        <v>0.903695654652451</v>
      </c>
      <c r="J18" s="8" t="n">
        <f aca="false">MIN(1,J16/(J13*J14*12))</f>
        <v>1</v>
      </c>
      <c r="K18" s="8" t="n">
        <f aca="false">Staged_G1M6!N43</f>
        <v>0.835432556717462</v>
      </c>
      <c r="L18" s="8" t="n">
        <f aca="false">MIN(1,L16/(L13*L14*12))</f>
        <v>0.798690670001677</v>
      </c>
      <c r="M18" s="8" t="n">
        <f aca="false">MIN(1,M16/(M13*M14*12))</f>
        <v>0.844817076160312</v>
      </c>
      <c r="N18" s="8" t="n">
        <f aca="false">Staged_G1M9!N43</f>
        <v>0.861575179568179</v>
      </c>
      <c r="O18" s="8" t="n">
        <f aca="false">MIN(1,O16/(O13*O14*12))</f>
        <v>0.775548107540159</v>
      </c>
      <c r="P18" s="8" t="n">
        <f aca="false">MIN(1,P16/(P13*P14*12))</f>
        <v>0.822996945839452</v>
      </c>
      <c r="Q18" s="8" t="n">
        <f aca="false">Staged_G1M9!N43</f>
        <v>0.861575179568179</v>
      </c>
      <c r="R18" s="8" t="n">
        <f aca="false">MIN(1,R16/(R13*R14*12))</f>
        <v>0.775548107540159</v>
      </c>
      <c r="S18" s="8" t="n">
        <f aca="false">MIN(1,S16/(S13*S14*12))</f>
        <v>0.822996945839452</v>
      </c>
      <c r="T18" s="8" t="n">
        <f aca="false">Staged_G1M9!N43</f>
        <v>0.861575179568179</v>
      </c>
      <c r="U18" s="8" t="n">
        <f aca="false">MIN(1,U16/(U13*U14*12))</f>
        <v>0.723892416141314</v>
      </c>
      <c r="V18" s="8" t="n">
        <f aca="false">MIN(1,V16/(V13*V14*12))</f>
        <v>0.758058362366618</v>
      </c>
      <c r="W18" s="8" t="n">
        <f aca="false">Staged_G1M9!N43</f>
        <v>0.861575179568179</v>
      </c>
      <c r="X18" s="8" t="n">
        <f aca="false">MIN(1,X16/(X13*X14*12))</f>
        <v>0.672236724742468</v>
      </c>
      <c r="Y18" s="8" t="n">
        <f aca="false">MIN(1,Y16/(Y13*Y14*12))</f>
        <v>0.693119778893783</v>
      </c>
      <c r="Z18" s="8" t="n">
        <f aca="false">Staged_G1M9!N43</f>
        <v>0.861575179568179</v>
      </c>
      <c r="AA18" s="8" t="n">
        <f aca="false">MIN(1,AA16/(AA13*AA14*12))</f>
        <v>0.688742551984603</v>
      </c>
      <c r="AB18" s="8" t="n">
        <f aca="false">MIN(1,AB16/(AB13*AB14*12))</f>
        <v>0.64938583472834</v>
      </c>
      <c r="AC18" s="2"/>
    </row>
    <row r="19" customFormat="false" ht="15" hidden="false" customHeight="false" outlineLevel="0" collapsed="false">
      <c r="A19" s="3" t="s">
        <v>1053</v>
      </c>
      <c r="B19" s="11" t="n">
        <f aca="false">B8*B17</f>
        <v>33.1370242805755</v>
      </c>
      <c r="C19" s="11" t="n">
        <f aca="false">C8*C17</f>
        <v>38.9892949640288</v>
      </c>
      <c r="D19" s="11" t="n">
        <f aca="false">D8*D17</f>
        <v>40.9387597122302</v>
      </c>
      <c r="E19" s="11" t="n">
        <f aca="false">E8*E17</f>
        <v>89.3117228168619</v>
      </c>
      <c r="F19" s="11" t="n">
        <f aca="false">F8*F17</f>
        <v>119.907027264889</v>
      </c>
      <c r="G19" s="11" t="n">
        <f aca="false">G8*G17</f>
        <v>131.897729991378</v>
      </c>
      <c r="H19" s="11" t="n">
        <f aca="false">H8*H17</f>
        <v>123.616323104723</v>
      </c>
      <c r="I19" s="11" t="n">
        <f aca="false">I8*I17</f>
        <v>160.763301368008</v>
      </c>
      <c r="J19" s="11" t="n">
        <f aca="false">J8*J17</f>
        <v>162.466079710404</v>
      </c>
      <c r="K19" s="11" t="n">
        <f aca="false">K8*K17</f>
        <v>90.85354334035</v>
      </c>
      <c r="L19" s="11" t="n">
        <f aca="false">L8*L17</f>
        <v>120.130613062783</v>
      </c>
      <c r="M19" s="11" t="n">
        <f aca="false">M8*M17</f>
        <v>132.143674369061</v>
      </c>
      <c r="N19" s="11" t="n">
        <f aca="false">N8*N17</f>
        <v>81.0218308581928</v>
      </c>
      <c r="O19" s="11" t="n">
        <f aca="false">O8*O17</f>
        <v>116.225305647402</v>
      </c>
      <c r="P19" s="11" t="n">
        <f aca="false">P8*P17</f>
        <v>127.847836212142</v>
      </c>
      <c r="Q19" s="11" t="n">
        <f aca="false">Q8*Q17</f>
        <v>81.0218308581928</v>
      </c>
      <c r="R19" s="11" t="n">
        <f aca="false">R8*R17</f>
        <v>116.225305647402</v>
      </c>
      <c r="S19" s="11" t="n">
        <f aca="false">S8*S17</f>
        <v>127.847836212142</v>
      </c>
      <c r="T19" s="11" t="n">
        <f aca="false">T8*T17</f>
        <v>81.0218308581928</v>
      </c>
      <c r="U19" s="11" t="n">
        <f aca="false">U8*U17</f>
        <v>107.508407723847</v>
      </c>
      <c r="V19" s="11" t="n">
        <f aca="false">V8*V17</f>
        <v>115.063052590928</v>
      </c>
      <c r="W19" s="11" t="n">
        <f aca="false">W8*W17</f>
        <v>81.0218308581928</v>
      </c>
      <c r="X19" s="11" t="n">
        <f aca="false">X8*X17</f>
        <v>98.7915098002916</v>
      </c>
      <c r="Y19" s="11" t="n">
        <f aca="false">Y8*Y17</f>
        <v>102.278268969714</v>
      </c>
      <c r="Z19" s="11" t="n">
        <f aca="false">Z8*Z17</f>
        <v>81.0218308581928</v>
      </c>
      <c r="AA19" s="11" t="n">
        <f aca="false">AA8*AA17</f>
        <v>116.225305647402</v>
      </c>
      <c r="AB19" s="11" t="n">
        <f aca="false">AB8*AB17</f>
        <v>127.847836212142</v>
      </c>
      <c r="AC19" s="2"/>
    </row>
    <row r="20" customFormat="false" ht="15" hidden="false" customHeight="false" outlineLevel="0" collapsed="false">
      <c r="A20" s="21" t="s">
        <v>1054</v>
      </c>
      <c r="B20" s="10" t="n">
        <f aca="false">B11*B17</f>
        <v>0</v>
      </c>
      <c r="C20" s="10" t="n">
        <f aca="false">C11*C17</f>
        <v>0</v>
      </c>
      <c r="D20" s="10" t="n">
        <f aca="false">D11*D17</f>
        <v>8</v>
      </c>
      <c r="E20" s="10" t="n">
        <f aca="false">E11*E17</f>
        <v>0</v>
      </c>
      <c r="F20" s="10" t="n">
        <f aca="false">F11*F17</f>
        <v>15</v>
      </c>
      <c r="G20" s="10" t="n">
        <f aca="false">G11*G17</f>
        <v>35</v>
      </c>
      <c r="H20" s="10" t="n">
        <f aca="false">H11*H17</f>
        <v>0</v>
      </c>
      <c r="I20" s="10" t="n">
        <f aca="false">I11*I17</f>
        <v>29.8773152897187</v>
      </c>
      <c r="J20" s="10" t="n">
        <f aca="false">J11*J17</f>
        <v>53.9174479997141</v>
      </c>
      <c r="K20" s="10" t="n">
        <f aca="false">K11*K17</f>
        <v>0</v>
      </c>
      <c r="L20" s="10" t="n">
        <f aca="false">L11*L17</f>
        <v>15</v>
      </c>
      <c r="M20" s="10" t="n">
        <f aca="false">M11*M17</f>
        <v>35</v>
      </c>
      <c r="N20" s="10" t="n">
        <f aca="false">N11*N17</f>
        <v>0</v>
      </c>
      <c r="O20" s="10" t="n">
        <f aca="false">O11*O17</f>
        <v>15</v>
      </c>
      <c r="P20" s="10" t="n">
        <f aca="false">P11*P17</f>
        <v>35</v>
      </c>
      <c r="Q20" s="10" t="n">
        <f aca="false">Q11*Q17</f>
        <v>0</v>
      </c>
      <c r="R20" s="10" t="n">
        <f aca="false">R11*R17</f>
        <v>15</v>
      </c>
      <c r="S20" s="10" t="n">
        <f aca="false">S11*S17</f>
        <v>35</v>
      </c>
      <c r="T20" s="10" t="n">
        <f aca="false">T11*T17</f>
        <v>0</v>
      </c>
      <c r="U20" s="10" t="n">
        <f aca="false">U11*U17</f>
        <v>15</v>
      </c>
      <c r="V20" s="10" t="n">
        <f aca="false">V11*V17</f>
        <v>35</v>
      </c>
      <c r="W20" s="10" t="n">
        <f aca="false">W11*W17</f>
        <v>0</v>
      </c>
      <c r="X20" s="10" t="n">
        <f aca="false">X11*X17</f>
        <v>15</v>
      </c>
      <c r="Y20" s="10" t="n">
        <f aca="false">Y11*Y17</f>
        <v>35</v>
      </c>
      <c r="Z20" s="10" t="n">
        <f aca="false">Z11*Z17</f>
        <v>0</v>
      </c>
      <c r="AA20" s="10" t="n">
        <f aca="false">AA11*AA17</f>
        <v>0</v>
      </c>
      <c r="AB20" s="10" t="n">
        <f aca="false">AB11*AB17</f>
        <v>0</v>
      </c>
      <c r="AC20" s="2"/>
    </row>
    <row r="21" customFormat="false" ht="15" hidden="false" customHeight="false" outlineLevel="0" collapsed="false">
      <c r="A21" s="21" t="s">
        <v>1055</v>
      </c>
      <c r="B21" s="10" t="n">
        <f aca="false">Outlook_Conservative!O46</f>
        <v>67.5</v>
      </c>
      <c r="C21" s="10" t="n">
        <f aca="false">INDEX(Assumptions!$C$247:$E$247,1)</f>
        <v>110</v>
      </c>
      <c r="D21" s="10" t="n">
        <f aca="false">INDEX(Assumptions!$C$248:$E$248,1)</f>
        <v>130</v>
      </c>
      <c r="E21" s="10" t="n">
        <f aca="false">Outlook_Base!O46</f>
        <v>153</v>
      </c>
      <c r="F21" s="10" t="n">
        <f aca="false">INDEX(Assumptions!$C$247:$E$247,2)</f>
        <v>220</v>
      </c>
      <c r="G21" s="10" t="n">
        <f aca="false">INDEX(Assumptions!$C$248:$E$248,2)</f>
        <v>280</v>
      </c>
      <c r="H21" s="10" t="n">
        <f aca="false">Outlook_Aggressive!O46</f>
        <v>202.5</v>
      </c>
      <c r="I21" s="10" t="n">
        <f aca="false">INDEX(Assumptions!$C$247:$E$247,3)</f>
        <v>330</v>
      </c>
      <c r="J21" s="10" t="n">
        <f aca="false">INDEX(Assumptions!$C$248:$E$248,3)</f>
        <v>420</v>
      </c>
      <c r="K21" s="10" t="n">
        <f aca="false">Staged_G1M6!O46</f>
        <v>153</v>
      </c>
      <c r="L21" s="10" t="n">
        <f aca="false">INDEX(Assumptions!$C$247:$E$247,2)</f>
        <v>220</v>
      </c>
      <c r="M21" s="10" t="n">
        <f aca="false">INDEX(Assumptions!$C$248:$E$248,2)</f>
        <v>280</v>
      </c>
      <c r="N21" s="10" t="n">
        <f aca="false">Staged_G1M9!O46</f>
        <v>153</v>
      </c>
      <c r="O21" s="10" t="n">
        <f aca="false">INDEX(Assumptions!$C$247:$E$247,2)</f>
        <v>220</v>
      </c>
      <c r="P21" s="10" t="n">
        <f aca="false">INDEX(Assumptions!$C$248:$E$248,2)</f>
        <v>280</v>
      </c>
      <c r="Q21" s="10" t="n">
        <f aca="false">Staged_G1M9!O46</f>
        <v>153</v>
      </c>
      <c r="R21" s="10" t="n">
        <f aca="false">INDEX(Assumptions!$C$247:$E$247,2)</f>
        <v>220</v>
      </c>
      <c r="S21" s="10" t="n">
        <f aca="false">INDEX(Assumptions!$C$248:$E$248,2)</f>
        <v>280</v>
      </c>
      <c r="T21" s="10" t="n">
        <f aca="false">Staged_G1M9!O46</f>
        <v>153</v>
      </c>
      <c r="U21" s="10" t="n">
        <f aca="false">INDEX(Assumptions!$C$247:$E$247,2)</f>
        <v>220</v>
      </c>
      <c r="V21" s="10" t="n">
        <f aca="false">INDEX(Assumptions!$C$248:$E$248,2)</f>
        <v>280</v>
      </c>
      <c r="W21" s="10" t="n">
        <f aca="false">Staged_G1M9!O46</f>
        <v>153</v>
      </c>
      <c r="X21" s="10" t="n">
        <f aca="false">INDEX(Assumptions!$C$247:$E$247,2)</f>
        <v>220</v>
      </c>
      <c r="Y21" s="10" t="n">
        <f aca="false">INDEX(Assumptions!$C$248:$E$248,2)</f>
        <v>280</v>
      </c>
      <c r="Z21" s="10" t="n">
        <f aca="false">Staged_G1M9!O46</f>
        <v>153</v>
      </c>
      <c r="AA21" s="10" t="n">
        <f aca="false">INDEX(Assumptions!$C$247:$E$247,2)</f>
        <v>220</v>
      </c>
      <c r="AB21" s="10" t="n">
        <f aca="false">INDEX(Assumptions!$C$248:$E$248,2)</f>
        <v>280</v>
      </c>
      <c r="AC21" s="2"/>
    </row>
    <row r="22" customFormat="false" ht="15" hidden="false" customHeight="false" outlineLevel="0" collapsed="false">
      <c r="A22" s="21" t="s">
        <v>1056</v>
      </c>
      <c r="B22" s="10" t="n">
        <f aca="false">Outlook_Conservative!O47</f>
        <v>106.666666666667</v>
      </c>
      <c r="C22" s="10" t="n">
        <f aca="false">INDEX(Assumptions!$C$249:$E$249,1)</f>
        <v>110</v>
      </c>
      <c r="D22" s="10" t="n">
        <f aca="false">INDEX(Assumptions!$C$250:$E$250,1)</f>
        <v>120</v>
      </c>
      <c r="E22" s="10" t="n">
        <f aca="false">Outlook_Base!O47</f>
        <v>160</v>
      </c>
      <c r="F22" s="10" t="n">
        <f aca="false">INDEX(Assumptions!$C$249:$E$249,2)</f>
        <v>170</v>
      </c>
      <c r="G22" s="10" t="n">
        <f aca="false">INDEX(Assumptions!$C$250:$E$250,2)</f>
        <v>190</v>
      </c>
      <c r="H22" s="10" t="n">
        <f aca="false">Outlook_Aggressive!O47</f>
        <v>234.666666666667</v>
      </c>
      <c r="I22" s="10" t="n">
        <f aca="false">INDEX(Assumptions!$C$249:$E$249,3)</f>
        <v>250</v>
      </c>
      <c r="J22" s="10" t="n">
        <f aca="false">INDEX(Assumptions!$C$250:$E$250,3)</f>
        <v>280</v>
      </c>
      <c r="K22" s="10" t="n">
        <f aca="false">Staged_G1M6!O47</f>
        <v>160</v>
      </c>
      <c r="L22" s="10" t="n">
        <f aca="false">INDEX(Assumptions!$C$249:$E$249,2)</f>
        <v>170</v>
      </c>
      <c r="M22" s="10" t="n">
        <f aca="false">INDEX(Assumptions!$C$250:$E$250,2)</f>
        <v>190</v>
      </c>
      <c r="N22" s="10" t="n">
        <f aca="false">Staged_G1M9!O47</f>
        <v>160</v>
      </c>
      <c r="O22" s="10" t="n">
        <f aca="false">INDEX(Assumptions!$C$249:$E$249,2)</f>
        <v>170</v>
      </c>
      <c r="P22" s="10" t="n">
        <f aca="false">INDEX(Assumptions!$C$250:$E$250,2)</f>
        <v>190</v>
      </c>
      <c r="Q22" s="10" t="n">
        <f aca="false">Staged_G1M9!O47</f>
        <v>160</v>
      </c>
      <c r="R22" s="10" t="n">
        <f aca="false">INDEX(Assumptions!$C$249:$E$249,2)</f>
        <v>170</v>
      </c>
      <c r="S22" s="10" t="n">
        <f aca="false">INDEX(Assumptions!$C$250:$E$250,2)</f>
        <v>190</v>
      </c>
      <c r="T22" s="10" t="n">
        <f aca="false">Staged_G1M9!O47</f>
        <v>160</v>
      </c>
      <c r="U22" s="10" t="n">
        <f aca="false">INDEX(Assumptions!$C$249:$E$249,2)</f>
        <v>170</v>
      </c>
      <c r="V22" s="10" t="n">
        <f aca="false">INDEX(Assumptions!$C$250:$E$250,2)</f>
        <v>190</v>
      </c>
      <c r="W22" s="10" t="n">
        <f aca="false">Staged_G1M9!O47</f>
        <v>160</v>
      </c>
      <c r="X22" s="10" t="n">
        <f aca="false">INDEX(Assumptions!$C$249:$E$249,2)</f>
        <v>170</v>
      </c>
      <c r="Y22" s="10" t="n">
        <f aca="false">INDEX(Assumptions!$C$250:$E$250,2)</f>
        <v>190</v>
      </c>
      <c r="Z22" s="10" t="n">
        <f aca="false">Staged_G1M9!O47</f>
        <v>160</v>
      </c>
      <c r="AA22" s="10" t="n">
        <f aca="false">INDEX(Assumptions!$C$249:$E$249,2)</f>
        <v>170</v>
      </c>
      <c r="AB22" s="10" t="n">
        <f aca="false">INDEX(Assumptions!$C$250:$E$250,2)</f>
        <v>190</v>
      </c>
      <c r="AC22" s="2"/>
    </row>
    <row r="23" customFormat="false" ht="15" hidden="false" customHeight="false" outlineLevel="0" collapsed="false">
      <c r="A23" s="21" t="s">
        <v>1057</v>
      </c>
      <c r="B23" s="6" t="n">
        <f aca="false">Outlook_Conservative!O49</f>
        <v>0</v>
      </c>
      <c r="C23" s="6" t="n">
        <f aca="false">INDEX(Assumptions!$C$251:$E$251,1)</f>
        <v>0</v>
      </c>
      <c r="D23" s="6" t="n">
        <f aca="false">INDEX(Assumptions!$C$252:$E$252,1)</f>
        <v>2</v>
      </c>
      <c r="E23" s="6" t="n">
        <f aca="false">Outlook_Base!O49</f>
        <v>2</v>
      </c>
      <c r="F23" s="6" t="n">
        <f aca="false">INDEX(Assumptions!$C$251:$E$251,2)</f>
        <v>6</v>
      </c>
      <c r="G23" s="6" t="n">
        <f aca="false">INDEX(Assumptions!$C$252:$E$252,2)</f>
        <v>12</v>
      </c>
      <c r="H23" s="6" t="n">
        <f aca="false">Outlook_Aggressive!O49</f>
        <v>7</v>
      </c>
      <c r="I23" s="6" t="n">
        <f aca="false">INDEX(Assumptions!$C$251:$E$251,3)</f>
        <v>12</v>
      </c>
      <c r="J23" s="6" t="n">
        <f aca="false">INDEX(Assumptions!$C$252:$E$252,3)</f>
        <v>16</v>
      </c>
      <c r="K23" s="6" t="n">
        <f aca="false">Staged_G1M6!O49</f>
        <v>2</v>
      </c>
      <c r="L23" s="6" t="n">
        <f aca="false">INDEX(Assumptions!$C$251:$E$251,2)</f>
        <v>6</v>
      </c>
      <c r="M23" s="6" t="n">
        <f aca="false">INDEX(Assumptions!$C$252:$E$252,2)</f>
        <v>12</v>
      </c>
      <c r="N23" s="6" t="n">
        <f aca="false">Staged_G1M9!O49</f>
        <v>1.5</v>
      </c>
      <c r="O23" s="6" t="n">
        <f aca="false">INDEX(Assumptions!$C$251:$E$251,2)</f>
        <v>6</v>
      </c>
      <c r="P23" s="6" t="n">
        <f aca="false">INDEX(Assumptions!$C$252:$E$252,2)</f>
        <v>12</v>
      </c>
      <c r="Q23" s="6" t="n">
        <f aca="false">Staged_G1M9!O49</f>
        <v>1.5</v>
      </c>
      <c r="R23" s="6" t="n">
        <f aca="false">INDEX(Assumptions!$C$251:$E$251,2)</f>
        <v>6</v>
      </c>
      <c r="S23" s="6" t="n">
        <f aca="false">INDEX(Assumptions!$C$252:$E$252,2)</f>
        <v>12</v>
      </c>
      <c r="T23" s="6" t="n">
        <f aca="false">Staged_G1M9!O49</f>
        <v>1.5</v>
      </c>
      <c r="U23" s="6" t="n">
        <f aca="false">INDEX(Assumptions!$C$251:$E$251,2)</f>
        <v>6</v>
      </c>
      <c r="V23" s="6" t="n">
        <f aca="false">INDEX(Assumptions!$C$252:$E$252,2)</f>
        <v>12</v>
      </c>
      <c r="W23" s="6" t="n">
        <f aca="false">Staged_G1M9!O49</f>
        <v>1.5</v>
      </c>
      <c r="X23" s="6" t="n">
        <f aca="false">INDEX(Assumptions!$C$251:$E$251,2)</f>
        <v>6</v>
      </c>
      <c r="Y23" s="6" t="n">
        <f aca="false">INDEX(Assumptions!$C$252:$E$252,2)</f>
        <v>12</v>
      </c>
      <c r="Z23" s="6" t="n">
        <f aca="false">Staged_G1M9!O49</f>
        <v>1.5</v>
      </c>
      <c r="AA23" s="6" t="n">
        <f aca="false">INDEX(Assumptions!$C$251:$E$251,2)</f>
        <v>6</v>
      </c>
      <c r="AB23" s="6" t="n">
        <f aca="false">INDEX(Assumptions!$C$252:$E$252,2)</f>
        <v>12</v>
      </c>
      <c r="AC23" s="2"/>
    </row>
    <row r="24" customFormat="false" ht="15" hidden="false" customHeight="false" outlineLevel="0" collapsed="false">
      <c r="A24" s="21" t="s">
        <v>1058</v>
      </c>
      <c r="B24" s="10" t="n">
        <f aca="false">0</f>
        <v>0</v>
      </c>
      <c r="C24" s="10" t="n">
        <f aca="false">INDEX(Assumptions!$C$253:$E$253,1)</f>
        <v>0</v>
      </c>
      <c r="D24" s="10" t="n">
        <f aca="false">INDEX(Assumptions!$C$254:$E$254,1)</f>
        <v>150</v>
      </c>
      <c r="E24" s="10" t="n">
        <f aca="false">0</f>
        <v>0</v>
      </c>
      <c r="F24" s="10" t="n">
        <f aca="false">INDEX(Assumptions!$C$253:$E$253,2)</f>
        <v>300</v>
      </c>
      <c r="G24" s="10" t="n">
        <f aca="false">INDEX(Assumptions!$C$254:$E$254,2)</f>
        <v>900</v>
      </c>
      <c r="H24" s="10" t="n">
        <f aca="false">0</f>
        <v>0</v>
      </c>
      <c r="I24" s="10" t="n">
        <f aca="false">INDEX(Assumptions!$C$253:$E$253,3)</f>
        <v>800</v>
      </c>
      <c r="J24" s="10" t="n">
        <f aca="false">INDEX(Assumptions!$C$254:$E$254,3)</f>
        <v>2000</v>
      </c>
      <c r="K24" s="10" t="n">
        <f aca="false">0</f>
        <v>0</v>
      </c>
      <c r="L24" s="10" t="n">
        <f aca="false">INDEX(Assumptions!$C$253:$E$253,2)</f>
        <v>300</v>
      </c>
      <c r="M24" s="10" t="n">
        <f aca="false">INDEX(Assumptions!$C$254:$E$254,2)</f>
        <v>900</v>
      </c>
      <c r="N24" s="10" t="n">
        <f aca="false">0</f>
        <v>0</v>
      </c>
      <c r="O24" s="10" t="n">
        <f aca="false">INDEX(Assumptions!$C$253:$E$253,2)</f>
        <v>300</v>
      </c>
      <c r="P24" s="10" t="n">
        <f aca="false">INDEX(Assumptions!$C$254:$E$254,2)</f>
        <v>900</v>
      </c>
      <c r="Q24" s="10" t="n">
        <f aca="false">0</f>
        <v>0</v>
      </c>
      <c r="R24" s="10" t="n">
        <f aca="false">INDEX(Assumptions!$C$253:$E$253,2)</f>
        <v>300</v>
      </c>
      <c r="S24" s="10" t="n">
        <f aca="false">INDEX(Assumptions!$C$254:$E$254,2)</f>
        <v>900</v>
      </c>
      <c r="T24" s="10" t="n">
        <f aca="false">0</f>
        <v>0</v>
      </c>
      <c r="U24" s="10" t="n">
        <f aca="false">INDEX(Assumptions!$C$253:$E$253,2)</f>
        <v>300</v>
      </c>
      <c r="V24" s="10" t="n">
        <f aca="false">INDEX(Assumptions!$C$254:$E$254,2)</f>
        <v>900</v>
      </c>
      <c r="W24" s="10" t="n">
        <f aca="false">0</f>
        <v>0</v>
      </c>
      <c r="X24" s="10" t="n">
        <f aca="false">INDEX(Assumptions!$C$253:$E$253,2)</f>
        <v>300</v>
      </c>
      <c r="Y24" s="10" t="n">
        <f aca="false">INDEX(Assumptions!$C$254:$E$254,2)</f>
        <v>900</v>
      </c>
      <c r="Z24" s="10" t="n">
        <f aca="false">0</f>
        <v>0</v>
      </c>
      <c r="AA24" s="10" t="n">
        <f aca="false">0</f>
        <v>0</v>
      </c>
      <c r="AB24" s="10" t="n">
        <f aca="false">0</f>
        <v>0</v>
      </c>
      <c r="AC24" s="2" t="s">
        <v>1059</v>
      </c>
    </row>
    <row r="25" customFormat="false" ht="15" hidden="false" customHeight="false" outlineLevel="0" collapsed="false">
      <c r="A25" s="21" t="s">
        <v>1060</v>
      </c>
      <c r="B25" s="10" t="n">
        <f aca="false">Outlook_Conservative!O51</f>
        <v>2.3625</v>
      </c>
      <c r="C25" s="10" t="n">
        <f aca="false">B19*B9*INDEX(Assumptions!$C$67:$E$67,1)*INDEX(Assumptions!$C$72:$E$72,1)+C21*0.7*INDEX(Assumptions!$C$73:$E$73,1)</f>
        <v>6.66664706384892</v>
      </c>
      <c r="D25" s="10" t="n">
        <f aca="false">C19*C9*INDEX(Assumptions!$C$67:$E$67,1)*INDEX(Assumptions!$C$72:$E$72,1)+D21*0.7*INDEX(Assumptions!$C$73:$E$73,1)</f>
        <v>7.86409007194245</v>
      </c>
      <c r="E25" s="10" t="n">
        <f aca="false">Outlook_Base!O51</f>
        <v>10.71</v>
      </c>
      <c r="F25" s="10" t="n">
        <f aca="false">E19*E9*INDEX(Assumptions!$C$67:$E$67,2)*INDEX(Assumptions!$C$72:$E$72,2)+F21*0.7*INDEX(Assumptions!$C$73:$E$73,2)</f>
        <v>29.8684990963316</v>
      </c>
      <c r="G25" s="10" t="n">
        <f aca="false">F19*F9*INDEX(Assumptions!$C$67:$E$67,2)*INDEX(Assumptions!$C$72:$E$72,2)+G21*0.7*INDEX(Assumptions!$C$73:$E$73,2)</f>
        <v>39.024938416912</v>
      </c>
      <c r="H25" s="10" t="n">
        <f aca="false">Outlook_Aggressive!O51</f>
        <v>28.35</v>
      </c>
      <c r="I25" s="10" t="n">
        <f aca="false">H19*H9*INDEX(Assumptions!$C$67:$E$67,3)*INDEX(Assumptions!$C$72:$E$72,3)+I21*0.7*INDEX(Assumptions!$C$73:$E$73,3)</f>
        <v>83.1921846890882</v>
      </c>
      <c r="J25" s="10" t="n">
        <f aca="false">I19*I9*INDEX(Assumptions!$C$67:$E$67,3)*INDEX(Assumptions!$C$72:$E$72,3)+J21*0.7*INDEX(Assumptions!$C$73:$E$73,3)</f>
        <v>106.908417934377</v>
      </c>
      <c r="K25" s="10" t="n">
        <f aca="false">Staged_G1M6!O51</f>
        <v>10.71</v>
      </c>
      <c r="L25" s="10" t="n">
        <f aca="false">K19*K9*INDEX(Assumptions!$C$67:$E$67,2)*INDEX(Assumptions!$C$72:$E$72,2)+L21*0.7*INDEX(Assumptions!$C$73:$E$73,2)</f>
        <v>30.1182740211367</v>
      </c>
      <c r="M25" s="10" t="n">
        <f aca="false">L19*L9*INDEX(Assumptions!$C$67:$E$67,2)*INDEX(Assumptions!$C$72:$E$72,2)+M21*0.7*INDEX(Assumptions!$C$73:$E$73,2)</f>
        <v>39.0611593161709</v>
      </c>
      <c r="N25" s="10" t="n">
        <f aca="false">Staged_G1M9!O51</f>
        <v>10.71</v>
      </c>
      <c r="O25" s="10" t="n">
        <f aca="false">N19*N9*INDEX(Assumptions!$C$67:$E$67,2)*INDEX(Assumptions!$C$72:$E$72,2)+O21*0.7*INDEX(Assumptions!$C$73:$E$73,2)</f>
        <v>28.5255365990272</v>
      </c>
      <c r="P25" s="10" t="n">
        <f aca="false">O19*O9*INDEX(Assumptions!$C$67:$E$67,2)*INDEX(Assumptions!$C$72:$E$72,2)+P21*0.7*INDEX(Assumptions!$C$73:$E$73,2)</f>
        <v>38.4284995148791</v>
      </c>
      <c r="Q25" s="10" t="n">
        <f aca="false">Staged_G1M9!O51</f>
        <v>10.71</v>
      </c>
      <c r="R25" s="10" t="n">
        <f aca="false">Q19*Q9*INDEX(Assumptions!$C$67:$E$67,2)*INDEX(Assumptions!$C$72:$E$72,2)+R21*0.7*INDEX(Assumptions!$C$73:$E$73,2)</f>
        <v>28.5255365990272</v>
      </c>
      <c r="S25" s="10" t="n">
        <f aca="false">R19*R9*INDEX(Assumptions!$C$67:$E$67,2)*INDEX(Assumptions!$C$72:$E$72,2)+S21*0.7*INDEX(Assumptions!$C$73:$E$73,2)</f>
        <v>38.4284995148791</v>
      </c>
      <c r="T25" s="10" t="n">
        <f aca="false">Staged_G1M9!O51</f>
        <v>10.71</v>
      </c>
      <c r="U25" s="10" t="n">
        <f aca="false">T19*T9*INDEX(Assumptions!$C$67:$E$67,2)*INDEX(Assumptions!$C$72:$E$72,2)+U21*0.7*INDEX(Assumptions!$C$73:$E$73,2)</f>
        <v>28.5255365990272</v>
      </c>
      <c r="V25" s="10" t="n">
        <f aca="false">U19*U9*INDEX(Assumptions!$C$67:$E$67,2)*INDEX(Assumptions!$C$72:$E$72,2)+V21*0.7*INDEX(Assumptions!$C$73:$E$73,2)</f>
        <v>37.0163620512632</v>
      </c>
      <c r="W25" s="10" t="n">
        <f aca="false">Staged_G1M9!O51</f>
        <v>10.71</v>
      </c>
      <c r="X25" s="10" t="n">
        <f aca="false">W19*W9*INDEX(Assumptions!$C$67:$E$67,2)*INDEX(Assumptions!$C$72:$E$72,2)+X21*0.7*INDEX(Assumptions!$C$73:$E$73,2)</f>
        <v>28.5255365990272</v>
      </c>
      <c r="Y25" s="10" t="n">
        <f aca="false">X19*X9*INDEX(Assumptions!$C$67:$E$67,2)*INDEX(Assumptions!$C$72:$E$72,2)+Y21*0.7*INDEX(Assumptions!$C$73:$E$73,2)</f>
        <v>35.6042245876472</v>
      </c>
      <c r="Z25" s="10" t="n">
        <f aca="false">Staged_G1M9!O51</f>
        <v>10.71</v>
      </c>
      <c r="AA25" s="10" t="n">
        <f aca="false">Z19*Z9*INDEX(Assumptions!$C$67:$E$67,2)*INDEX(Assumptions!$C$72:$E$72,2)+AA21*0.7*INDEX(Assumptions!$C$73:$E$73,2)</f>
        <v>28.5255365990272</v>
      </c>
      <c r="AB25" s="10" t="n">
        <f aca="false">AA19*AA9*INDEX(Assumptions!$C$67:$E$67,2)*INDEX(Assumptions!$C$72:$E$72,2)+AB21*0.7*INDEX(Assumptions!$C$73:$E$73,2)</f>
        <v>38.4284995148791</v>
      </c>
      <c r="AC25" s="2"/>
    </row>
    <row r="26" customFormat="false" ht="15" hidden="false" customHeight="false" outlineLevel="0" collapsed="false">
      <c r="A26" s="21" t="s">
        <v>1061</v>
      </c>
      <c r="B26" s="10" t="n">
        <f aca="false">0</f>
        <v>0</v>
      </c>
      <c r="C26" s="10" t="n">
        <f aca="false">0</f>
        <v>0</v>
      </c>
      <c r="D26" s="10" t="n">
        <f aca="false">INDEX(Assumptions!$C$264:$E$264,1)</f>
        <v>0</v>
      </c>
      <c r="E26" s="10" t="n">
        <f aca="false">0</f>
        <v>0</v>
      </c>
      <c r="F26" s="10" t="n">
        <f aca="false">0</f>
        <v>0</v>
      </c>
      <c r="G26" s="10" t="n">
        <f aca="false">INDEX(Assumptions!$C$264:$E$264,2)</f>
        <v>0</v>
      </c>
      <c r="H26" s="10" t="n">
        <f aca="false">0</f>
        <v>0</v>
      </c>
      <c r="I26" s="10" t="n">
        <f aca="false">0</f>
        <v>0</v>
      </c>
      <c r="J26" s="10" t="n">
        <f aca="false">INDEX(Assumptions!$C$264:$E$264,3)</f>
        <v>30</v>
      </c>
      <c r="K26" s="10" t="n">
        <f aca="false">0</f>
        <v>0</v>
      </c>
      <c r="L26" s="10" t="n">
        <f aca="false">0</f>
        <v>0</v>
      </c>
      <c r="M26" s="10" t="n">
        <f aca="false">INDEX(Assumptions!$C$264:$E$264,2)</f>
        <v>0</v>
      </c>
      <c r="N26" s="10" t="n">
        <f aca="false">0</f>
        <v>0</v>
      </c>
      <c r="O26" s="10" t="n">
        <f aca="false">0</f>
        <v>0</v>
      </c>
      <c r="P26" s="10" t="n">
        <f aca="false">INDEX(Assumptions!$C$264:$E$264,2)</f>
        <v>0</v>
      </c>
      <c r="Q26" s="10" t="n">
        <f aca="false">0</f>
        <v>0</v>
      </c>
      <c r="R26" s="10" t="n">
        <f aca="false">0</f>
        <v>0</v>
      </c>
      <c r="S26" s="10" t="n">
        <f aca="false">INDEX(Assumptions!$C$264:$E$264,2)</f>
        <v>0</v>
      </c>
      <c r="T26" s="10" t="n">
        <f aca="false">0</f>
        <v>0</v>
      </c>
      <c r="U26" s="10" t="n">
        <f aca="false">0</f>
        <v>0</v>
      </c>
      <c r="V26" s="10" t="n">
        <f aca="false">INDEX(Assumptions!$C$264:$E$264,2)</f>
        <v>0</v>
      </c>
      <c r="W26" s="10" t="n">
        <f aca="false">0</f>
        <v>0</v>
      </c>
      <c r="X26" s="10" t="n">
        <f aca="false">0</f>
        <v>0</v>
      </c>
      <c r="Y26" s="10" t="n">
        <f aca="false">INDEX(Assumptions!$C$264:$E$264,2)</f>
        <v>0</v>
      </c>
      <c r="Z26" s="10" t="n">
        <f aca="false">0</f>
        <v>0</v>
      </c>
      <c r="AA26" s="10" t="n">
        <f aca="false">0</f>
        <v>0</v>
      </c>
      <c r="AB26" s="10" t="n">
        <f aca="false">INDEX(Assumptions!$C$264:$E$264,2)</f>
        <v>0</v>
      </c>
      <c r="AC26" s="2"/>
    </row>
    <row r="27" customFormat="false" ht="15" hidden="false" customHeight="false" outlineLevel="0" collapsed="false">
      <c r="A27" s="21" t="s">
        <v>1062</v>
      </c>
      <c r="B27" s="8" t="n">
        <f aca="false">Outlook_Conservative!N12</f>
        <v>0.4</v>
      </c>
      <c r="C27" s="8" t="n">
        <f aca="false">INDEX(Assumptions!$C$159:$E$159,1)</f>
        <v>0.2</v>
      </c>
      <c r="D27" s="8" t="n">
        <f aca="false">INDEX(Assumptions!$C$160:$E$160,1)</f>
        <v>0.12</v>
      </c>
      <c r="E27" s="8" t="n">
        <f aca="false">Outlook_Base!N12</f>
        <v>0.3</v>
      </c>
      <c r="F27" s="8" t="n">
        <f aca="false">INDEX(Assumptions!$C$159:$E$159,2)</f>
        <v>0.15</v>
      </c>
      <c r="G27" s="8" t="n">
        <f aca="false">INDEX(Assumptions!$C$160:$E$160,2)</f>
        <v>0.1</v>
      </c>
      <c r="H27" s="8" t="n">
        <f aca="false">Outlook_Aggressive!N12</f>
        <v>0.25</v>
      </c>
      <c r="I27" s="8" t="n">
        <f aca="false">INDEX(Assumptions!$C$159:$E$159,3)</f>
        <v>0.12</v>
      </c>
      <c r="J27" s="8" t="n">
        <f aca="false">INDEX(Assumptions!$C$160:$E$160,3)</f>
        <v>0.08</v>
      </c>
      <c r="K27" s="8" t="n">
        <f aca="false">Staged_G1M6!N12</f>
        <v>0.4</v>
      </c>
      <c r="L27" s="8" t="n">
        <f aca="false">INDEX(Assumptions!$C$165:$E$165,2)</f>
        <v>0.29</v>
      </c>
      <c r="M27" s="8" t="n">
        <f aca="false">INDEX(Assumptions!$C$166:$E$166,2)</f>
        <v>0.125</v>
      </c>
      <c r="N27" s="8" t="n">
        <f aca="false">Staged_G1M9!N12</f>
        <v>0.4</v>
      </c>
      <c r="O27" s="8" t="n">
        <f aca="false">INDEX(Assumptions!$C$165:$E$165,2)</f>
        <v>0.29</v>
      </c>
      <c r="P27" s="8" t="n">
        <f aca="false">INDEX(Assumptions!$C$166:$E$166,2)</f>
        <v>0.125</v>
      </c>
      <c r="Q27" s="8" t="n">
        <f aca="false">Staged_G1M9!N12</f>
        <v>0.4</v>
      </c>
      <c r="R27" s="8" t="n">
        <f aca="false">INDEX(Assumptions!$C$165:$E$165,2)</f>
        <v>0.29</v>
      </c>
      <c r="S27" s="8" t="n">
        <f aca="false">INDEX(Assumptions!$C$166:$E$166,2)</f>
        <v>0.125</v>
      </c>
      <c r="T27" s="8" t="n">
        <f aca="false">Staged_G1M9!N12</f>
        <v>0.4</v>
      </c>
      <c r="U27" s="8" t="n">
        <f aca="false">INDEX(Assumptions!$C$165:$E$165,2)</f>
        <v>0.29</v>
      </c>
      <c r="V27" s="8" t="n">
        <f aca="false">INDEX(Assumptions!$C$166:$E$166,2)</f>
        <v>0.125</v>
      </c>
      <c r="W27" s="8" t="n">
        <f aca="false">Staged_G1M9!N12</f>
        <v>0.4</v>
      </c>
      <c r="X27" s="8" t="n">
        <f aca="false">INDEX(Assumptions!$C$165:$E$165,2)</f>
        <v>0.29</v>
      </c>
      <c r="Y27" s="8" t="n">
        <f aca="false">INDEX(Assumptions!$C$166:$E$166,2)</f>
        <v>0.125</v>
      </c>
      <c r="Z27" s="8" t="n">
        <f aca="false">Staged_G1M9!N12</f>
        <v>0.4</v>
      </c>
      <c r="AA27" s="8" t="n">
        <f aca="false">INDEX(Assumptions!$C$165:$E$165,2)</f>
        <v>0.29</v>
      </c>
      <c r="AB27" s="8" t="n">
        <f aca="false">INDEX(Assumptions!$C$166:$E$166,2)</f>
        <v>0.125</v>
      </c>
      <c r="AC27" s="2"/>
    </row>
    <row r="28" customFormat="false" ht="15" hidden="false" customHeight="false" outlineLevel="0" collapsed="false">
      <c r="A28" s="18" t="s">
        <v>1063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</row>
    <row r="29" customFormat="false" ht="15" hidden="false" customHeight="false" outlineLevel="0" collapsed="false">
      <c r="A29" s="21" t="s">
        <v>1064</v>
      </c>
      <c r="B29" s="10" t="n">
        <f aca="false">Outlook_Conservative!N53</f>
        <v>65000</v>
      </c>
      <c r="C29" s="10" t="n">
        <f aca="false">INDEX(Assumptions!$C$20:$E$20,1)</f>
        <v>65000</v>
      </c>
      <c r="D29" s="10" t="n">
        <f aca="false">C29*(1+INDEX(Assumptions!$C$268:$E$268,1))</f>
        <v>68250</v>
      </c>
      <c r="E29" s="10" t="n">
        <f aca="false">Outlook_Base!N53</f>
        <v>80000</v>
      </c>
      <c r="F29" s="10" t="n">
        <f aca="false">INDEX(Assumptions!$C$20:$E$20,2)</f>
        <v>80000</v>
      </c>
      <c r="G29" s="10" t="n">
        <f aca="false">F29*(1+INDEX(Assumptions!$C$268:$E$268,2))</f>
        <v>84800</v>
      </c>
      <c r="H29" s="10" t="n">
        <f aca="false">Outlook_Aggressive!N53</f>
        <v>100000</v>
      </c>
      <c r="I29" s="10" t="n">
        <f aca="false">INDEX(Assumptions!$C$20:$E$20,3)</f>
        <v>100000</v>
      </c>
      <c r="J29" s="10" t="n">
        <f aca="false">I29*(1+INDEX(Assumptions!$C$268:$E$268,3))</f>
        <v>108000</v>
      </c>
      <c r="K29" s="10" t="n">
        <f aca="false">Staged_G1M6!N53</f>
        <v>66666.6666666667</v>
      </c>
      <c r="L29" s="10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M29" s="10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$268:$E$268,2))</f>
        <v>84800</v>
      </c>
      <c r="N29" s="10" t="n">
        <f aca="false">Staged_G1M9!N53</f>
        <v>66666.6666666667</v>
      </c>
      <c r="O29" s="10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P29" s="10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$268:$E$268,2))</f>
        <v>84800</v>
      </c>
      <c r="Q29" s="10" t="n">
        <f aca="false">Staged_G1M9!N53</f>
        <v>66666.6666666667</v>
      </c>
      <c r="R29" s="10" t="n">
        <f aca="false">(12*MIN(INDEX(Assumptions!$C$163:$E$163,2),INDEX(Assumptions!$C$19:$E$19,2))*INDEX(Assumptions!$C$20:$E$20,2)/INDEX(Assumptions!$C$19:$E$19,2)+(12-12)*INDEX(Assumptions!$C$20:$E$20,2))/12</f>
        <v>66666.6666666667</v>
      </c>
      <c r="S29" s="10" t="n">
        <f aca="false">(12*MIN(INDEX(Assumptions!$C$163:$E$163,2),INDEX(Assumptions!$C$19:$E$19,2))*INDEX(Assumptions!$C$20:$E$20,2)/INDEX(Assumptions!$C$19:$E$19,2)+(12-12)*INDEX(Assumptions!$C$20:$E$20,2))/12*(1+INDEX(Assumptions!$C$268:$E$268,2))</f>
        <v>70666.6666666667</v>
      </c>
      <c r="T29" s="10" t="n">
        <f aca="false">Staged_G1M9!N53</f>
        <v>66666.6666666667</v>
      </c>
      <c r="U29" s="10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V29" s="10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$268:$E$268,2))</f>
        <v>84800</v>
      </c>
      <c r="W29" s="10" t="n">
        <f aca="false">Staged_G1M9!N53</f>
        <v>66666.6666666667</v>
      </c>
      <c r="X29" s="10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Y29" s="10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$268:$E$268,2))</f>
        <v>84800</v>
      </c>
      <c r="Z29" s="10" t="n">
        <f aca="false">Staged_G1M9!N53</f>
        <v>66666.6666666667</v>
      </c>
      <c r="AA29" s="10" t="n">
        <f aca="false">(12*MIN(INDEX(Assumptions!$C$163:$E$163,2),INDEX(Assumptions!$C$19:$E$19,2))*INDEX(Assumptions!$C$20:$E$20,2)/INDEX(Assumptions!$C$19:$E$19,2)+(12-12)*INDEX(Assumptions!$C$20:$E$20,2))/12</f>
        <v>66666.6666666667</v>
      </c>
      <c r="AB29" s="10" t="n">
        <f aca="false">(12*MIN(INDEX(Assumptions!$C$163:$E$163,2),INDEX(Assumptions!$C$19:$E$19,2))*INDEX(Assumptions!$C$20:$E$20,2)/INDEX(Assumptions!$C$19:$E$19,2)+(12-12)*INDEX(Assumptions!$C$20:$E$20,2))/12*(1+INDEX(Assumptions!$C$268:$E$268,2))</f>
        <v>70666.6666666667</v>
      </c>
      <c r="AC29" s="2"/>
    </row>
    <row r="30" customFormat="false" ht="15" hidden="false" customHeight="false" outlineLevel="0" collapsed="false">
      <c r="A30" s="21" t="s">
        <v>1065</v>
      </c>
      <c r="B30" s="10" t="n">
        <f aca="false">INDEX(Assumptions!$C$18:$E$18,1)</f>
        <v>30000</v>
      </c>
      <c r="C30" s="10" t="n">
        <f aca="false">INDEX(Assumptions!$C$18:$E$18,1)</f>
        <v>30000</v>
      </c>
      <c r="D30" s="10" t="n">
        <f aca="false">INDEX(Assumptions!$C$18:$E$18,1)*(1+INDEX(Assumptions!$C$268:$E$268,1))</f>
        <v>31500</v>
      </c>
      <c r="E30" s="10" t="n">
        <f aca="false">INDEX(Assumptions!$C$18:$E$18,2)</f>
        <v>39900</v>
      </c>
      <c r="F30" s="10" t="n">
        <f aca="false">INDEX(Assumptions!$C$18:$E$18,2)</f>
        <v>39900</v>
      </c>
      <c r="G30" s="10" t="n">
        <f aca="false">INDEX(Assumptions!$C$18:$E$18,2)*(1+INDEX(Assumptions!$C$268:$E$268,2))</f>
        <v>42294</v>
      </c>
      <c r="H30" s="10" t="n">
        <f aca="false">INDEX(Assumptions!$C$18:$E$18,3)</f>
        <v>45000</v>
      </c>
      <c r="I30" s="10" t="n">
        <f aca="false">INDEX(Assumptions!$C$18:$E$18,3)</f>
        <v>45000</v>
      </c>
      <c r="J30" s="10" t="n">
        <f aca="false">INDEX(Assumptions!$C$18:$E$18,3)*(1+INDEX(Assumptions!$C$268:$E$268,3))</f>
        <v>48600</v>
      </c>
      <c r="K30" s="10" t="n">
        <f aca="false">INDEX(Assumptions!$C$18:$E$18,2)</f>
        <v>39900</v>
      </c>
      <c r="L30" s="10" t="n">
        <f aca="false">INDEX(Assumptions!$C$18:$E$18,2)</f>
        <v>39900</v>
      </c>
      <c r="M30" s="10" t="n">
        <f aca="false">INDEX(Assumptions!$C$18:$E$18,2)*(1+INDEX(Assumptions!$C$268:$E$268,2))</f>
        <v>42294</v>
      </c>
      <c r="N30" s="10" t="n">
        <f aca="false">INDEX(Assumptions!$C$18:$E$18,2)</f>
        <v>39900</v>
      </c>
      <c r="O30" s="10" t="n">
        <f aca="false">INDEX(Assumptions!$C$18:$E$18,2)</f>
        <v>39900</v>
      </c>
      <c r="P30" s="10" t="n">
        <f aca="false">INDEX(Assumptions!$C$18:$E$18,2)*(1+INDEX(Assumptions!$C$268:$E$268,2))</f>
        <v>42294</v>
      </c>
      <c r="Q30" s="10" t="n">
        <f aca="false">INDEX(Assumptions!$C$18:$E$18,2)</f>
        <v>39900</v>
      </c>
      <c r="R30" s="10" t="n">
        <f aca="false">INDEX(Assumptions!$C$18:$E$18,2)</f>
        <v>39900</v>
      </c>
      <c r="S30" s="10" t="n">
        <f aca="false">INDEX(Assumptions!$C$18:$E$18,2)*(1+INDEX(Assumptions!$C$268:$E$268,2))</f>
        <v>42294</v>
      </c>
      <c r="T30" s="10" t="n">
        <f aca="false">INDEX(Assumptions!$C$18:$E$18,2)</f>
        <v>39900</v>
      </c>
      <c r="U30" s="10" t="n">
        <f aca="false">INDEX(Assumptions!$C$18:$E$18,2)</f>
        <v>39900</v>
      </c>
      <c r="V30" s="10" t="n">
        <f aca="false">INDEX(Assumptions!$C$18:$E$18,2)*(1+INDEX(Assumptions!$C$268:$E$268,2))</f>
        <v>42294</v>
      </c>
      <c r="W30" s="10" t="n">
        <f aca="false">INDEX(Assumptions!$C$18:$E$18,2)</f>
        <v>39900</v>
      </c>
      <c r="X30" s="10" t="n">
        <f aca="false">INDEX(Assumptions!$C$18:$E$18,2)</f>
        <v>39900</v>
      </c>
      <c r="Y30" s="10" t="n">
        <f aca="false">INDEX(Assumptions!$C$18:$E$18,2)*(1+INDEX(Assumptions!$C$268:$E$268,2))</f>
        <v>42294</v>
      </c>
      <c r="Z30" s="10" t="n">
        <f aca="false">INDEX(Assumptions!$C$18:$E$18,2)</f>
        <v>39900</v>
      </c>
      <c r="AA30" s="10" t="n">
        <f aca="false">INDEX(Assumptions!$C$18:$E$18,2)</f>
        <v>39900</v>
      </c>
      <c r="AB30" s="10" t="n">
        <f aca="false">INDEX(Assumptions!$C$18:$E$18,2)*(1+INDEX(Assumptions!$C$268:$E$268,2))</f>
        <v>42294</v>
      </c>
      <c r="AC30" s="2"/>
    </row>
    <row r="31" customFormat="false" ht="15" hidden="false" customHeight="false" outlineLevel="0" collapsed="false">
      <c r="A31" s="18" t="s">
        <v>1066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</row>
    <row r="32" customFormat="false" ht="15" hidden="false" customHeight="false" outlineLevel="0" collapsed="false">
      <c r="A32" s="21" t="s">
        <v>1067</v>
      </c>
      <c r="B32" s="6" t="n">
        <f aca="false">(Outlook_Conservative!O67)*(1-INDEX(Assumptions!$C$74:$E$74,1))/100000</f>
        <v>9.73947698022726</v>
      </c>
      <c r="C32" s="6" t="n">
        <f aca="false">(C19*(C9*C29+(1-C9)*C30)+C12*C17*(C29-C30))/(1+INDEX(Assumptions!$C$15:$E$15,1)*INDEX(Assumptions!$C$16:$E$16,1))*(1-C10)/100000</f>
        <v>14.5693578374589</v>
      </c>
      <c r="D32" s="6" t="n">
        <f aca="false">(D19*(D9*D29+(1-D9)*D30)+D12*D17*(D29-D30))/(1+INDEX(Assumptions!$C$15:$E$15,1)*INDEX(Assumptions!$C$16:$E$16,1))*(1-D10)/100000</f>
        <v>15.4957975917114</v>
      </c>
      <c r="E32" s="6" t="n">
        <f aca="false">(Outlook_Base!O67)*(1-INDEX(Assumptions!$C$74:$E$74,2))/100000</f>
        <v>36.340292502267</v>
      </c>
      <c r="F32" s="6" t="n">
        <f aca="false">(F19*(F9*F29+(1-F9)*F30)+F12*F17*(F29-F30))/(1+INDEX(Assumptions!$C$15:$E$15,2)*INDEX(Assumptions!$C$16:$E$16,2))*(1-F10)/100000</f>
        <v>52.4125810109806</v>
      </c>
      <c r="G32" s="6" t="n">
        <f aca="false">(G19*(G9*G29+(1-G9)*G30)+G12*G17*(G29-G30))/(1+INDEX(Assumptions!$C$15:$E$15,2)*INDEX(Assumptions!$C$16:$E$16,2))*(1-G10)/100000</f>
        <v>57.0388648282165</v>
      </c>
      <c r="H32" s="6" t="n">
        <f aca="false">(Outlook_Aggressive!O67)*(1-INDEX(Assumptions!$C$74:$E$74,3))/100000</f>
        <v>58.2872345047386</v>
      </c>
      <c r="I32" s="6" t="n">
        <f aca="false">(I19*(I9*I29+(1-I9)*I30)+I12*I17*(I29-I30))/(1+INDEX(Assumptions!$C$15:$E$15,3)*INDEX(Assumptions!$C$16:$E$16,3))*(1-I10)/100000</f>
        <v>79.7890063103171</v>
      </c>
      <c r="J32" s="6" t="n">
        <f aca="false">(J19*(J9*J29+(1-J9)*J30)+J12*J17*(J29-J30))/(1+INDEX(Assumptions!$C$15:$E$15,3)*INDEX(Assumptions!$C$16:$E$16,3))*(1-J10)/100000</f>
        <v>80.3860133108135</v>
      </c>
      <c r="K32" s="6" t="n">
        <f aca="false">(Staged_G1M6!O67)*(1-INDEX(Assumptions!$C$74:$E$74,2))/100000</f>
        <v>33.1666688272783</v>
      </c>
      <c r="L32" s="6" t="n">
        <f aca="false">(L19*(L9*L29+(1-L9)*L30)+L12*L17*(L29-L30))/(1+INDEX(Assumptions!$C$15:$E$15,2)*INDEX(Assumptions!$C$16:$E$16,2))*(1-L10)/100000</f>
        <v>50.6778117597651</v>
      </c>
      <c r="M32" s="6" t="n">
        <f aca="false">(M19*(M9*M29+(1-M9)*M30)+M12*M17*(M29-M30))/(1+INDEX(Assumptions!$C$15:$E$15,2)*INDEX(Assumptions!$C$16:$E$16,2))*(1-M10)/100000</f>
        <v>57.145222899086</v>
      </c>
      <c r="N32" s="6" t="n">
        <f aca="false">(Staged_G1M9!O67)*(1-INDEX(Assumptions!$C$74:$E$74,2))/100000</f>
        <v>28.8599685787104</v>
      </c>
      <c r="O32" s="6" t="n">
        <f aca="false">(O19*(O9*O29+(1-O9)*O30)+O12*O17*(O29-O30))/(1+INDEX(Assumptions!$C$15:$E$15,2)*INDEX(Assumptions!$C$16:$E$16,2))*(1-O10)/100000</f>
        <v>49.0303346595086</v>
      </c>
      <c r="P32" s="6" t="n">
        <f aca="false">(P19*(P9*P29+(1-P9)*P30)+P12*P17*(P29-P30))/(1+INDEX(Assumptions!$C$15:$E$15,2)*INDEX(Assumptions!$C$16:$E$16,2))*(1-P10)/100000</f>
        <v>55.2874977360188</v>
      </c>
      <c r="Q32" s="6" t="n">
        <f aca="false">(Staged_G1M9!O67)*(1-INDEX(Assumptions!$C$74:$E$74,2))/100000</f>
        <v>28.8599685787104</v>
      </c>
      <c r="R32" s="6" t="n">
        <f aca="false">(R19*(R9*R29+(1-R9)*R30)+R12*R17*(R29-R30))/(1+INDEX(Assumptions!$C$15:$E$15,2)*INDEX(Assumptions!$C$16:$E$16,2))*(1-R10)/100000</f>
        <v>43.711549485814</v>
      </c>
      <c r="S32" s="6" t="n">
        <f aca="false">(S19*(S9*S29+(1-S9)*S30)+S12*S17*(S29-S30))/(1+INDEX(Assumptions!$C$15:$E$15,2)*INDEX(Assumptions!$C$16:$E$16,2))*(1-S10)/100000</f>
        <v>47.5698222537618</v>
      </c>
      <c r="T32" s="6" t="n">
        <f aca="false">(Staged_G1M9!O67)*(1-INDEX(Assumptions!$C$74:$E$74,2))/100000</f>
        <v>28.8599685787104</v>
      </c>
      <c r="U32" s="6" t="n">
        <f aca="false">(U19*(U9*U29+(1-U9)*U30)+U12*U17*(U29-U30))/(1+INDEX(Assumptions!$C$15:$E$15,2)*INDEX(Assumptions!$C$16:$E$16,2))*(1-U10)/100000</f>
        <v>45.3530595600455</v>
      </c>
      <c r="V32" s="6" t="n">
        <f aca="false">(V19*(V9*V29+(1-V9)*V30)+V12*V17*(V29-V30))/(1+INDEX(Assumptions!$C$15:$E$15,2)*INDEX(Assumptions!$C$16:$E$16,2))*(1-V10)/100000</f>
        <v>49.758747962417</v>
      </c>
      <c r="W32" s="6" t="n">
        <f aca="false">(Staged_G1M9!O67)*(1-INDEX(Assumptions!$C$74:$E$74,2))/100000</f>
        <v>28.8599685787104</v>
      </c>
      <c r="X32" s="6" t="n">
        <f aca="false">(X19*(X9*X29+(1-X9)*X30)+X12*X17*(X29-X30))/(1+INDEX(Assumptions!$C$15:$E$15,2)*INDEX(Assumptions!$C$16:$E$16,2))*(1-X10)/100000</f>
        <v>41.6757844605823</v>
      </c>
      <c r="Y32" s="6" t="n">
        <f aca="false">(Y19*(Y9*Y29+(1-Y9)*Y30)+Y12*Y17*(Y29-Y30))/(1+INDEX(Assumptions!$C$15:$E$15,2)*INDEX(Assumptions!$C$16:$E$16,2))*(1-Y10)/100000</f>
        <v>44.2299981888151</v>
      </c>
      <c r="Z32" s="6" t="n">
        <f aca="false">(Staged_G1M9!O67)*(1-INDEX(Assumptions!$C$74:$E$74,2))/100000</f>
        <v>28.8599685787104</v>
      </c>
      <c r="AA32" s="6" t="n">
        <f aca="false">(AA19*(AA9*AA29+(1-AA9)*AA30)+AA12*AA17*(AA29-AA30))/(1+INDEX(Assumptions!$C$15:$E$15,2)*INDEX(Assumptions!$C$16:$E$16,2))*(1-AA10)/100000</f>
        <v>43.711549485814</v>
      </c>
      <c r="AB32" s="6" t="n">
        <f aca="false">(AB19*(AB9*AB29+(1-AB9)*AB30)+AB12*AB17*(AB29-AB30))/(1+INDEX(Assumptions!$C$15:$E$15,2)*INDEX(Assumptions!$C$16:$E$16,2))*(1-AB10)/100000</f>
        <v>47.5698222537618</v>
      </c>
      <c r="AC32" s="2" t="s">
        <v>1068</v>
      </c>
    </row>
    <row r="33" customFormat="false" ht="15" hidden="false" customHeight="false" outlineLevel="0" collapsed="false">
      <c r="A33" s="21" t="s">
        <v>1069</v>
      </c>
      <c r="B33" s="6" t="n">
        <f aca="false">(Outlook_Conservative!O67)*INDEX(Assumptions!$C$74:$E$74,1)/100000</f>
        <v>1.71873123180481</v>
      </c>
      <c r="C33" s="6" t="n">
        <f aca="false">(C19*(C9*C29+(1-C9)*C30)+C12*C17*(C29-C30))/(1+INDEX(Assumptions!$C$15:$E$15,1)*INDEX(Assumptions!$C$16:$E$16,1))*C10/100000</f>
        <v>2.57106314778686</v>
      </c>
      <c r="D33" s="6" t="n">
        <f aca="false">(D19*(D9*D29+(1-D9)*D30)+D12*D17*(D29-D30))/(1+INDEX(Assumptions!$C$15:$E$15,1)*INDEX(Assumptions!$C$16:$E$16,1))*D10/100000</f>
        <v>3.40151654452201</v>
      </c>
      <c r="E33" s="6" t="n">
        <f aca="false">(Outlook_Base!O67)*INDEX(Assumptions!$C$74:$E$74,2)/100000</f>
        <v>12.113430834089</v>
      </c>
      <c r="F33" s="6" t="n">
        <f aca="false">(F19*(F9*F29+(1-F9)*F30)+F12*F17*(F29-F30))/(1+INDEX(Assumptions!$C$15:$E$15,2)*INDEX(Assumptions!$C$16:$E$16,2))*F10/100000</f>
        <v>17.4708603369935</v>
      </c>
      <c r="G33" s="6" t="n">
        <f aca="false">(G19*(G9*G29+(1-G9)*G30)+G12*G17*(G29-G30))/(1+INDEX(Assumptions!$C$15:$E$15,2)*INDEX(Assumptions!$C$16:$E$16,2))*G10/100000</f>
        <v>24.4452277835214</v>
      </c>
      <c r="H33" s="6" t="n">
        <f aca="false">(Outlook_Aggressive!O67)*INDEX(Assumptions!$C$74:$E$74,3)/100000</f>
        <v>31.38543396409</v>
      </c>
      <c r="I33" s="6" t="n">
        <f aca="false">(I19*(I9*I29+(1-I9)*I30)+I12*I17*(I29-I30))/(1+INDEX(Assumptions!$C$15:$E$15,3)*INDEX(Assumptions!$C$16:$E$16,3))*I10/100000</f>
        <v>42.9633110901707</v>
      </c>
      <c r="J33" s="6" t="n">
        <f aca="false">(J19*(J9*J29+(1-J9)*J30)+J12*J17*(J29-J30))/(1+INDEX(Assumptions!$C$15:$E$15,3)*INDEX(Assumptions!$C$16:$E$16,3))*J10/100000</f>
        <v>53.5906755405423</v>
      </c>
      <c r="K33" s="6" t="n">
        <f aca="false">(Staged_G1M6!O67)*INDEX(Assumptions!$C$74:$E$74,2)/100000</f>
        <v>11.0555562757594</v>
      </c>
      <c r="L33" s="6" t="n">
        <f aca="false">(L19*(L9*L29+(1-L9)*L30)+L12*L17*(L29-L30))/(1+INDEX(Assumptions!$C$15:$E$15,2)*INDEX(Assumptions!$C$16:$E$16,2))*L10/100000</f>
        <v>16.8926039199217</v>
      </c>
      <c r="M33" s="6" t="n">
        <f aca="false">(M19*(M9*M29+(1-M9)*M30)+M12*M17*(M29-M30))/(1+INDEX(Assumptions!$C$15:$E$15,2)*INDEX(Assumptions!$C$16:$E$16,2))*M10/100000</f>
        <v>24.490809813894</v>
      </c>
      <c r="N33" s="6" t="n">
        <f aca="false">(Staged_G1M9!O67)*INDEX(Assumptions!$C$74:$E$74,2)/100000</f>
        <v>9.6199895262368</v>
      </c>
      <c r="O33" s="6" t="n">
        <f aca="false">(O19*(O9*O29+(1-O9)*O30)+O12*O17*(O29-O30))/(1+INDEX(Assumptions!$C$15:$E$15,2)*INDEX(Assumptions!$C$16:$E$16,2))*O10/100000</f>
        <v>16.3434448865029</v>
      </c>
      <c r="P33" s="6" t="n">
        <f aca="false">(P19*(P9*P29+(1-P9)*P30)+P12*P17*(P29-P30))/(1+INDEX(Assumptions!$C$15:$E$15,2)*INDEX(Assumptions!$C$16:$E$16,2))*P10/100000</f>
        <v>23.6946418868652</v>
      </c>
      <c r="Q33" s="6" t="n">
        <f aca="false">(Staged_G1M9!O67)*INDEX(Assumptions!$C$74:$E$74,2)/100000</f>
        <v>9.6199895262368</v>
      </c>
      <c r="R33" s="6" t="n">
        <f aca="false">(R19*(R9*R29+(1-R9)*R30)+R12*R17*(R29-R30))/(1+INDEX(Assumptions!$C$15:$E$15,2)*INDEX(Assumptions!$C$16:$E$16,2))*R10/100000</f>
        <v>14.5705164952713</v>
      </c>
      <c r="S33" s="6" t="n">
        <f aca="false">(S19*(S9*S29+(1-S9)*S30)+S12*S17*(S29-S30))/(1+INDEX(Assumptions!$C$15:$E$15,2)*INDEX(Assumptions!$C$16:$E$16,2))*S10/100000</f>
        <v>20.3870666801836</v>
      </c>
      <c r="T33" s="6" t="n">
        <f aca="false">(Staged_G1M9!O67)*INDEX(Assumptions!$C$74:$E$74,2)/100000</f>
        <v>9.6199895262368</v>
      </c>
      <c r="U33" s="6" t="n">
        <f aca="false">(U19*(U9*U29+(1-U9)*U30)+U12*U17*(U29-U30))/(1+INDEX(Assumptions!$C$15:$E$15,2)*INDEX(Assumptions!$C$16:$E$16,2))*U10/100000</f>
        <v>15.1176865200152</v>
      </c>
      <c r="V33" s="6" t="n">
        <f aca="false">(V19*(V9*V29+(1-V9)*V30)+V12*V17*(V29-V30))/(1+INDEX(Assumptions!$C$15:$E$15,2)*INDEX(Assumptions!$C$16:$E$16,2))*V10/100000</f>
        <v>21.3251776981787</v>
      </c>
      <c r="W33" s="6" t="n">
        <f aca="false">(Staged_G1M9!O67)*INDEX(Assumptions!$C$74:$E$74,2)/100000</f>
        <v>9.6199895262368</v>
      </c>
      <c r="X33" s="6" t="n">
        <f aca="false">(X19*(X9*X29+(1-X9)*X30)+X12*X17*(X29-X30))/(1+INDEX(Assumptions!$C$15:$E$15,2)*INDEX(Assumptions!$C$16:$E$16,2))*X10/100000</f>
        <v>13.8919281535274</v>
      </c>
      <c r="Y33" s="6" t="n">
        <f aca="false">(Y19*(Y9*Y29+(1-Y9)*Y30)+Y12*Y17*(Y29-Y30))/(1+INDEX(Assumptions!$C$15:$E$15,2)*INDEX(Assumptions!$C$16:$E$16,2))*Y10/100000</f>
        <v>18.9557135094922</v>
      </c>
      <c r="Z33" s="6" t="n">
        <f aca="false">(Staged_G1M9!O67)*INDEX(Assumptions!$C$74:$E$74,2)/100000</f>
        <v>9.6199895262368</v>
      </c>
      <c r="AA33" s="6" t="n">
        <f aca="false">(AA19*(AA9*AA29+(1-AA9)*AA30)+AA12*AA17*(AA29-AA30))/(1+INDEX(Assumptions!$C$15:$E$15,2)*INDEX(Assumptions!$C$16:$E$16,2))*AA10/100000</f>
        <v>14.5705164952713</v>
      </c>
      <c r="AB33" s="6" t="n">
        <f aca="false">(AB19*(AB9*AB29+(1-AB9)*AB30)+AB12*AB17*(AB29-AB30))/(1+INDEX(Assumptions!$C$15:$E$15,2)*INDEX(Assumptions!$C$16:$E$16,2))*AB10/100000</f>
        <v>20.3870666801836</v>
      </c>
      <c r="AC33" s="2"/>
    </row>
    <row r="34" customFormat="false" ht="15" hidden="false" customHeight="false" outlineLevel="0" collapsed="false">
      <c r="A34" s="21" t="s">
        <v>1070</v>
      </c>
      <c r="B34" s="6" t="n">
        <f aca="false">0</f>
        <v>0</v>
      </c>
      <c r="C34" s="6" t="n">
        <f aca="false">C20*C29/(1+INDEX(Assumptions!$C$15:$E$15,1)*INDEX(Assumptions!$C$16:$E$16,1))/100000</f>
        <v>0</v>
      </c>
      <c r="D34" s="6" t="n">
        <f aca="false">D20*D29/(1+INDEX(Assumptions!$C$15:$E$15,1)*INDEX(Assumptions!$C$16:$E$16,1))/100000</f>
        <v>4.6271186440678</v>
      </c>
      <c r="E34" s="6" t="n">
        <f aca="false">0</f>
        <v>0</v>
      </c>
      <c r="F34" s="6" t="n">
        <f aca="false">F20*F29/(1+INDEX(Assumptions!$C$15:$E$15,2)*INDEX(Assumptions!$C$16:$E$16,2))/100000</f>
        <v>10.1694915254237</v>
      </c>
      <c r="G34" s="6" t="n">
        <f aca="false">G20*G29/(1+INDEX(Assumptions!$C$15:$E$15,2)*INDEX(Assumptions!$C$16:$E$16,2))/100000</f>
        <v>25.1525423728814</v>
      </c>
      <c r="H34" s="6" t="n">
        <f aca="false">0</f>
        <v>0</v>
      </c>
      <c r="I34" s="6" t="n">
        <f aca="false">I20*I29/(1+INDEX(Assumptions!$C$15:$E$15,3)*INDEX(Assumptions!$C$16:$E$16,3))/100000</f>
        <v>25.3197587201006</v>
      </c>
      <c r="J34" s="6" t="n">
        <f aca="false">J20*J29/(1+INDEX(Assumptions!$C$15:$E$15,3)*INDEX(Assumptions!$C$16:$E$16,3))/100000</f>
        <v>49.3481727455011</v>
      </c>
      <c r="K34" s="6" t="n">
        <f aca="false">0</f>
        <v>0</v>
      </c>
      <c r="L34" s="6" t="n">
        <f aca="false">L20*L29/(1+INDEX(Assumptions!$C$15:$E$15,2)*INDEX(Assumptions!$C$16:$E$16,2))/100000</f>
        <v>9.74576271186441</v>
      </c>
      <c r="M34" s="6" t="n">
        <f aca="false">M20*M29/(1+INDEX(Assumptions!$C$15:$E$15,2)*INDEX(Assumptions!$C$16:$E$16,2))/100000</f>
        <v>25.1525423728814</v>
      </c>
      <c r="N34" s="6" t="n">
        <f aca="false">0</f>
        <v>0</v>
      </c>
      <c r="O34" s="6" t="n">
        <f aca="false">O20*O29/(1+INDEX(Assumptions!$C$15:$E$15,2)*INDEX(Assumptions!$C$16:$E$16,2))/100000</f>
        <v>9.74576271186441</v>
      </c>
      <c r="P34" s="6" t="n">
        <f aca="false">P20*P29/(1+INDEX(Assumptions!$C$15:$E$15,2)*INDEX(Assumptions!$C$16:$E$16,2))/100000</f>
        <v>25.1525423728814</v>
      </c>
      <c r="Q34" s="6" t="n">
        <f aca="false">0</f>
        <v>0</v>
      </c>
      <c r="R34" s="6" t="n">
        <f aca="false">R20*R29/(1+INDEX(Assumptions!$C$15:$E$15,2)*INDEX(Assumptions!$C$16:$E$16,2))/100000</f>
        <v>8.47457627118644</v>
      </c>
      <c r="S34" s="6" t="n">
        <f aca="false">S20*S29/(1+INDEX(Assumptions!$C$15:$E$15,2)*INDEX(Assumptions!$C$16:$E$16,2))/100000</f>
        <v>20.9604519774011</v>
      </c>
      <c r="T34" s="6" t="n">
        <f aca="false">0</f>
        <v>0</v>
      </c>
      <c r="U34" s="6" t="n">
        <f aca="false">U20*U29/(1+INDEX(Assumptions!$C$15:$E$15,2)*INDEX(Assumptions!$C$16:$E$16,2))/100000</f>
        <v>9.74576271186441</v>
      </c>
      <c r="V34" s="6" t="n">
        <f aca="false">V20*V29/(1+INDEX(Assumptions!$C$15:$E$15,2)*INDEX(Assumptions!$C$16:$E$16,2))/100000</f>
        <v>25.1525423728814</v>
      </c>
      <c r="W34" s="6" t="n">
        <f aca="false">0</f>
        <v>0</v>
      </c>
      <c r="X34" s="6" t="n">
        <f aca="false">X20*X29/(1+INDEX(Assumptions!$C$15:$E$15,2)*INDEX(Assumptions!$C$16:$E$16,2))/100000</f>
        <v>9.74576271186441</v>
      </c>
      <c r="Y34" s="6" t="n">
        <f aca="false">Y20*Y29/(1+INDEX(Assumptions!$C$15:$E$15,2)*INDEX(Assumptions!$C$16:$E$16,2))/100000</f>
        <v>25.1525423728814</v>
      </c>
      <c r="Z34" s="6" t="n">
        <f aca="false">0</f>
        <v>0</v>
      </c>
      <c r="AA34" s="6" t="n">
        <f aca="false">AA20*AA29/(1+INDEX(Assumptions!$C$15:$E$15,2)*INDEX(Assumptions!$C$16:$E$16,2))/100000</f>
        <v>0</v>
      </c>
      <c r="AB34" s="6" t="n">
        <f aca="false">AB20*AB29/(1+INDEX(Assumptions!$C$15:$E$15,2)*INDEX(Assumptions!$C$16:$E$16,2))/100000</f>
        <v>0</v>
      </c>
      <c r="AC34" s="2"/>
    </row>
    <row r="35" customFormat="false" ht="15" hidden="false" customHeight="false" outlineLevel="0" collapsed="false">
      <c r="A35" s="21" t="s">
        <v>1071</v>
      </c>
      <c r="B35" s="6" t="n">
        <f aca="false">(Outlook_Conservative!O60+Outlook_Conservative!O62+Outlook_Conservative!O63)/100000</f>
        <v>3.15137929408075</v>
      </c>
      <c r="C35" s="6" t="n">
        <f aca="false">(C22*INDEX(Assumptions!$C$22:$E$22,1)+C23*INDEX(Assumptions!$C$82:$E$82,1)*INDEX(Assumptions!$C$83:$E$83,1)+C19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3.3137469961712</v>
      </c>
      <c r="D35" s="6" t="n">
        <f aca="false">(D22*INDEX(Assumptions!$C$22:$E$22,1)+D23*INDEX(Assumptions!$C$82:$E$82,1)*INDEX(Assumptions!$C$83:$E$83,1)+D19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4.01714621038654</v>
      </c>
      <c r="E35" s="6" t="n">
        <f aca="false">(Outlook_Base!O60+Outlook_Base!O62+Outlook_Base!O63)/100000</f>
        <v>8.26986825543355</v>
      </c>
      <c r="F35" s="6" t="n">
        <f aca="false">(F22*INDEX(Assumptions!$C$22:$E$22,2)+F23*INDEX(Assumptions!$C$82:$E$82,2)*INDEX(Assumptions!$C$83:$E$83,2)+F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10.4917791937251</v>
      </c>
      <c r="G35" s="6" t="n">
        <f aca="false">(G22*INDEX(Assumptions!$C$22:$E$22,2)+G23*INDEX(Assumptions!$C$82:$E$82,2)*INDEX(Assumptions!$C$83:$E$83,2)+G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13.8631960961485</v>
      </c>
      <c r="H35" s="6" t="n">
        <f aca="false">(Outlook_Aggressive!O60+Outlook_Aggressive!O62+Outlook_Aggressive!O63)/100000</f>
        <v>17.0500637570621</v>
      </c>
      <c r="I35" s="6" t="n">
        <f aca="false">(I22*INDEX(Assumptions!$C$22:$E$22,3)+I23*INDEX(Assumptions!$C$82:$E$82,3)*INDEX(Assumptions!$C$83:$E$83,3)+I19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20.4888421902761</v>
      </c>
      <c r="J35" s="6" t="n">
        <f aca="false">(J22*INDEX(Assumptions!$C$22:$E$22,3)+J23*INDEX(Assumptions!$C$82:$E$82,3)*INDEX(Assumptions!$C$83:$E$83,3)+J19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24.180494176917</v>
      </c>
      <c r="K35" s="6" t="n">
        <f aca="false">(Staged_G1M6!O60+Staged_G1M6!O62+Staged_G1M6!O63)/100000</f>
        <v>8.26986825543355</v>
      </c>
      <c r="L35" s="6" t="n">
        <f aca="false">(L22*INDEX(Assumptions!$C$22:$E$22,2)+L23*INDEX(Assumptions!$C$82:$E$82,2)*INDEX(Assumptions!$C$83:$E$83,2)+L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10.4933656073757</v>
      </c>
      <c r="M35" s="6" t="n">
        <f aca="false">(M22*INDEX(Assumptions!$C$22:$E$22,2)+M23*INDEX(Assumptions!$C$82:$E$82,2)*INDEX(Assumptions!$C$83:$E$83,2)+M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13.8649411511642</v>
      </c>
      <c r="N35" s="6" t="n">
        <f aca="false">(Staged_G1M9!O60+Staged_G1M9!O62+Staged_G1M9!O63)/100000</f>
        <v>8.00190466437558</v>
      </c>
      <c r="O35" s="6" t="n">
        <f aca="false">(O22*INDEX(Assumptions!$C$22:$E$22,2)+O23*INDEX(Assumptions!$C$82:$E$82,2)*INDEX(Assumptions!$C$83:$E$83,2)+O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10.4656561864194</v>
      </c>
      <c r="P35" s="6" t="n">
        <f aca="false">(P22*INDEX(Assumptions!$C$22:$E$22,2)+P23*INDEX(Assumptions!$C$82:$E$82,2)*INDEX(Assumptions!$C$83:$E$83,2)+P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13.8344607881122</v>
      </c>
      <c r="Q35" s="6" t="n">
        <f aca="false">(Staged_G1M9!O60+Staged_G1M9!O62+Staged_G1M9!O63)/100000</f>
        <v>8.00190466437558</v>
      </c>
      <c r="R35" s="6" t="n">
        <f aca="false">(R22*INDEX(Assumptions!$C$22:$E$22,2)+R23*INDEX(Assumptions!$C$82:$E$82,2)*INDEX(Assumptions!$C$83:$E$83,2)+R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10.4656561864194</v>
      </c>
      <c r="S35" s="6" t="n">
        <f aca="false">(S22*INDEX(Assumptions!$C$22:$E$22,2)+S23*INDEX(Assumptions!$C$82:$E$82,2)*INDEX(Assumptions!$C$83:$E$83,2)+S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13.8344607881122</v>
      </c>
      <c r="T35" s="6" t="n">
        <f aca="false">(Staged_G1M9!O60+Staged_G1M9!O62+Staged_G1M9!O63)/100000</f>
        <v>8.00190466437558</v>
      </c>
      <c r="U35" s="6" t="n">
        <f aca="false">(U22*INDEX(Assumptions!$C$22:$E$22,2)+U23*INDEX(Assumptions!$C$82:$E$82,2)*INDEX(Assumptions!$C$83:$E$83,2)+U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10.4038069724379</v>
      </c>
      <c r="V35" s="6" t="n">
        <f aca="false">(V22*INDEX(Assumptions!$C$22:$E$22,2)+V23*INDEX(Assumptions!$C$82:$E$82,2)*INDEX(Assumptions!$C$83:$E$83,2)+V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13.7437486076061</v>
      </c>
      <c r="W35" s="6" t="n">
        <f aca="false">(Staged_G1M9!O60+Staged_G1M9!O62+Staged_G1M9!O63)/100000</f>
        <v>8.00190466437558</v>
      </c>
      <c r="X35" s="6" t="n">
        <f aca="false">(X22*INDEX(Assumptions!$C$22:$E$22,2)+X23*INDEX(Assumptions!$C$82:$E$82,2)*INDEX(Assumptions!$C$83:$E$83,2)+X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10.3419577584565</v>
      </c>
      <c r="Y35" s="6" t="n">
        <f aca="false">(Y22*INDEX(Assumptions!$C$22:$E$22,2)+Y23*INDEX(Assumptions!$C$82:$E$82,2)*INDEX(Assumptions!$C$83:$E$83,2)+Y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13.6530364270999</v>
      </c>
      <c r="Z35" s="6" t="n">
        <f aca="false">(Staged_G1M9!O60+Staged_G1M9!O62+Staged_G1M9!O63)/100000</f>
        <v>8.00190466437558</v>
      </c>
      <c r="AA35" s="6" t="n">
        <f aca="false">(AA22*INDEX(Assumptions!$C$22:$E$22,2)+AA23*INDEX(Assumptions!$C$82:$E$82,2)*INDEX(Assumptions!$C$83:$E$83,2)+AA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10.4656561864194</v>
      </c>
      <c r="AB35" s="6" t="n">
        <f aca="false">(AB22*INDEX(Assumptions!$C$22:$E$22,2)+AB23*INDEX(Assumptions!$C$82:$E$82,2)*INDEX(Assumptions!$C$83:$E$83,2)+AB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13.8344607881122</v>
      </c>
      <c r="AC35" s="2"/>
    </row>
    <row r="36" customFormat="false" ht="15" hidden="false" customHeight="false" outlineLevel="0" collapsed="false">
      <c r="A36" s="21" t="s">
        <v>1072</v>
      </c>
      <c r="B36" s="6" t="n">
        <f aca="false">(Outlook_Conservative!O61+Outlook_Conservative!O64)/100000</f>
        <v>2.96025540254237</v>
      </c>
      <c r="C36" s="6" t="n">
        <f aca="false">(C21*INDEX(Assumptions!$C$21:$E$21,1)+C25*INDEX(Assumptions!$C$23:$E$23,1))/(1+INDEX(Assumptions!$C$15:$E$15,1)*INDEX(Assumptions!$C$16:$E$16,1))/100000</f>
        <v>4.94344549722187</v>
      </c>
      <c r="D36" s="6" t="n">
        <f aca="false">(D21*INDEX(Assumptions!$C$21:$E$21,1)+D25*INDEX(Assumptions!$C$23:$E$23,1))/(1+INDEX(Assumptions!$C$15:$E$15,1)*INDEX(Assumptions!$C$16:$E$16,1))/100000</f>
        <v>5.84163208703085</v>
      </c>
      <c r="E36" s="6" t="n">
        <f aca="false">(Outlook_Base!O61+Outlook_Base!O64)/100000</f>
        <v>13.8736380508475</v>
      </c>
      <c r="F36" s="6" t="n">
        <f aca="false">(F21*INDEX(Assumptions!$C$21:$E$21,2)+F25*INDEX(Assumptions!$C$23:$E$23,2))/(1+INDEX(Assumptions!$C$15:$E$15,2)*INDEX(Assumptions!$C$16:$E$16,2))/100000</f>
        <v>21.1750434107137</v>
      </c>
      <c r="G36" s="6" t="n">
        <f aca="false">(G21*INDEX(Assumptions!$C$21:$E$21,2)+G25*INDEX(Assumptions!$C$23:$E$23,2))/(1+INDEX(Assumptions!$C$15:$E$15,2)*INDEX(Assumptions!$C$16:$E$16,2))/100000</f>
        <v>27.0356810104297</v>
      </c>
      <c r="H36" s="6" t="n">
        <f aca="false">(Outlook_Aggressive!O61+Outlook_Aggressive!O64)/100000</f>
        <v>27.028361440678</v>
      </c>
      <c r="I36" s="6" t="n">
        <f aca="false">(I21*INDEX(Assumptions!$C$21:$E$21,3)+I25*INDEX(Assumptions!$C$23:$E$23,3))/(1+INDEX(Assumptions!$C$15:$E$15,3)*INDEX(Assumptions!$C$16:$E$16,3))/100000</f>
        <v>47.9645687832959</v>
      </c>
      <c r="J36" s="6" t="n">
        <f aca="false">(J21*INDEX(Assumptions!$C$21:$E$21,3)+J25*INDEX(Assumptions!$C$23:$E$23,3))/(1+INDEX(Assumptions!$C$15:$E$15,3)*INDEX(Assumptions!$C$16:$E$16,3))/100000</f>
        <v>61.1546467437438</v>
      </c>
      <c r="K36" s="6" t="n">
        <f aca="false">(Staged_G1M6!O61+Staged_G1M6!O64)/100000</f>
        <v>13.8736380508475</v>
      </c>
      <c r="L36" s="6" t="n">
        <f aca="false">(L21*INDEX(Assumptions!$C$21:$E$21,2)+L25*INDEX(Assumptions!$C$23:$E$23,2))/(1+INDEX(Assumptions!$C$15:$E$15,2)*INDEX(Assumptions!$C$16:$E$16,2))/100000</f>
        <v>21.196208660486</v>
      </c>
      <c r="M36" s="6" t="n">
        <f aca="false">(M21*INDEX(Assumptions!$C$21:$E$21,2)+M25*INDEX(Assumptions!$C$23:$E$23,2))/(1+INDEX(Assumptions!$C$15:$E$15,2)*INDEX(Assumptions!$C$16:$E$16,2))/100000</f>
        <v>27.0387502712067</v>
      </c>
      <c r="N36" s="6" t="n">
        <f aca="false">(Staged_G1M9!O61+Staged_G1M9!O64)/100000</f>
        <v>13.8736380508475</v>
      </c>
      <c r="O36" s="6" t="n">
        <f aca="false">(O21*INDEX(Assumptions!$C$21:$E$21,2)+O25*INDEX(Assumptions!$C$23:$E$23,2))/(1+INDEX(Assumptions!$C$15:$E$15,2)*INDEX(Assumptions!$C$16:$E$16,2))/100000</f>
        <v>21.0612444106244</v>
      </c>
      <c r="P36" s="6" t="n">
        <f aca="false">(P21*INDEX(Assumptions!$C$21:$E$21,2)+P25*INDEX(Assumptions!$C$23:$E$23,2))/(1+INDEX(Assumptions!$C$15:$E$15,2)*INDEX(Assumptions!$C$16:$E$16,2))/100000</f>
        <v>26.9851403953329</v>
      </c>
      <c r="Q36" s="6" t="n">
        <f aca="false">(Staged_G1M9!O61+Staged_G1M9!O64)/100000</f>
        <v>13.8736380508475</v>
      </c>
      <c r="R36" s="6" t="n">
        <f aca="false">(R21*INDEX(Assumptions!$C$21:$E$21,2)+R25*INDEX(Assumptions!$C$23:$E$23,2))/(1+INDEX(Assumptions!$C$15:$E$15,2)*INDEX(Assumptions!$C$16:$E$16,2))/100000</f>
        <v>21.0612444106244</v>
      </c>
      <c r="S36" s="6" t="n">
        <f aca="false">(S21*INDEX(Assumptions!$C$21:$E$21,2)+S25*INDEX(Assumptions!$C$23:$E$23,2))/(1+INDEX(Assumptions!$C$15:$E$15,2)*INDEX(Assumptions!$C$16:$E$16,2))/100000</f>
        <v>26.9851403953329</v>
      </c>
      <c r="T36" s="6" t="n">
        <f aca="false">(Staged_G1M9!O61+Staged_G1M9!O64)/100000</f>
        <v>13.8736380508475</v>
      </c>
      <c r="U36" s="6" t="n">
        <f aca="false">(U21*INDEX(Assumptions!$C$21:$E$21,2)+U25*INDEX(Assumptions!$C$23:$E$23,2))/(1+INDEX(Assumptions!$C$15:$E$15,2)*INDEX(Assumptions!$C$16:$E$16,2))/100000</f>
        <v>21.0612444106244</v>
      </c>
      <c r="V36" s="6" t="n">
        <f aca="false">(V21*INDEX(Assumptions!$C$21:$E$21,2)+V25*INDEX(Assumptions!$C$23:$E$23,2))/(1+INDEX(Assumptions!$C$15:$E$15,2)*INDEX(Assumptions!$C$16:$E$16,2))/100000</f>
        <v>26.8654796961914</v>
      </c>
      <c r="W36" s="6" t="n">
        <f aca="false">(Staged_G1M9!O61+Staged_G1M9!O64)/100000</f>
        <v>13.8736380508475</v>
      </c>
      <c r="X36" s="6" t="n">
        <f aca="false">(X21*INDEX(Assumptions!$C$21:$E$21,2)+X25*INDEX(Assumptions!$C$23:$E$23,2))/(1+INDEX(Assumptions!$C$15:$E$15,2)*INDEX(Assumptions!$C$16:$E$16,2))/100000</f>
        <v>21.0612444106244</v>
      </c>
      <c r="Y36" s="6" t="n">
        <f aca="false">(Y21*INDEX(Assumptions!$C$21:$E$21,2)+Y25*INDEX(Assumptions!$C$23:$E$23,2))/(1+INDEX(Assumptions!$C$15:$E$15,2)*INDEX(Assumptions!$C$16:$E$16,2))/100000</f>
        <v>26.7458189970499</v>
      </c>
      <c r="Z36" s="6" t="n">
        <f aca="false">(Staged_G1M9!O61+Staged_G1M9!O64)/100000</f>
        <v>13.8736380508475</v>
      </c>
      <c r="AA36" s="6" t="n">
        <f aca="false">(AA21*INDEX(Assumptions!$C$21:$E$21,2)+AA25*INDEX(Assumptions!$C$23:$E$23,2))/(1+INDEX(Assumptions!$C$15:$E$15,2)*INDEX(Assumptions!$C$16:$E$16,2))/100000</f>
        <v>21.0612444106244</v>
      </c>
      <c r="AB36" s="6" t="n">
        <f aca="false">(AB21*INDEX(Assumptions!$C$21:$E$21,2)+AB25*INDEX(Assumptions!$C$23:$E$23,2))/(1+INDEX(Assumptions!$C$15:$E$15,2)*INDEX(Assumptions!$C$16:$E$16,2))/100000</f>
        <v>26.9851403953329</v>
      </c>
      <c r="AC36" s="2"/>
    </row>
    <row r="37" customFormat="false" ht="15" hidden="false" customHeight="false" outlineLevel="0" collapsed="false">
      <c r="A37" s="21" t="s">
        <v>1073</v>
      </c>
      <c r="B37" s="6" t="n">
        <f aca="false">0</f>
        <v>0</v>
      </c>
      <c r="C37" s="6" t="n">
        <f aca="false">C24*INDEX(Assumptions!$C$255:$E$255,1)/(1+INDEX(Assumptions!$C$15:$E$15,1)*INDEX(Assumptions!$C$16:$E$16,1))/100000</f>
        <v>0</v>
      </c>
      <c r="D37" s="6" t="n">
        <f aca="false">D24*INDEX(Assumptions!$C$255:$E$255,1)/(1+INDEX(Assumptions!$C$15:$E$15,1)*INDEX(Assumptions!$C$16:$E$16,1))/100000</f>
        <v>1.26991525423729</v>
      </c>
      <c r="E37" s="6" t="n">
        <f aca="false">0</f>
        <v>0</v>
      </c>
      <c r="F37" s="6" t="n">
        <f aca="false">F24*INDEX(Assumptions!$C$255:$E$255,2)/(1+INDEX(Assumptions!$C$15:$E$15,2)*INDEX(Assumptions!$C$16:$E$16,2))/100000</f>
        <v>3.81101694915254</v>
      </c>
      <c r="G37" s="6" t="n">
        <f aca="false">G24*INDEX(Assumptions!$C$255:$E$255,2)/(1+INDEX(Assumptions!$C$15:$E$15,2)*INDEX(Assumptions!$C$16:$E$16,2))/100000</f>
        <v>11.4330508474576</v>
      </c>
      <c r="H37" s="6" t="n">
        <f aca="false">0</f>
        <v>0</v>
      </c>
      <c r="I37" s="6" t="n">
        <f aca="false">I24*INDEX(Assumptions!$C$255:$E$255,3)/(1+INDEX(Assumptions!$C$15:$E$15,3)*INDEX(Assumptions!$C$16:$E$16,3))/100000</f>
        <v>13.5525423728814</v>
      </c>
      <c r="J37" s="6" t="n">
        <f aca="false">J24*INDEX(Assumptions!$C$255:$E$255,3)/(1+INDEX(Assumptions!$C$15:$E$15,3)*INDEX(Assumptions!$C$16:$E$16,3))/100000</f>
        <v>33.8813559322034</v>
      </c>
      <c r="K37" s="6" t="n">
        <f aca="false">0</f>
        <v>0</v>
      </c>
      <c r="L37" s="6" t="n">
        <f aca="false">L24*INDEX(Assumptions!$C$255:$E$255,2)/(1+INDEX(Assumptions!$C$15:$E$15,2)*INDEX(Assumptions!$C$16:$E$16,2))/100000</f>
        <v>3.81101694915254</v>
      </c>
      <c r="M37" s="6" t="n">
        <f aca="false">M24*INDEX(Assumptions!$C$255:$E$255,2)/(1+INDEX(Assumptions!$C$15:$E$15,2)*INDEX(Assumptions!$C$16:$E$16,2))/100000</f>
        <v>11.4330508474576</v>
      </c>
      <c r="N37" s="6" t="n">
        <f aca="false">0</f>
        <v>0</v>
      </c>
      <c r="O37" s="6" t="n">
        <f aca="false">O24*INDEX(Assumptions!$C$255:$E$255,2)/(1+INDEX(Assumptions!$C$15:$E$15,2)*INDEX(Assumptions!$C$16:$E$16,2))/100000</f>
        <v>3.81101694915254</v>
      </c>
      <c r="P37" s="6" t="n">
        <f aca="false">P24*INDEX(Assumptions!$C$255:$E$255,2)/(1+INDEX(Assumptions!$C$15:$E$15,2)*INDEX(Assumptions!$C$16:$E$16,2))/100000</f>
        <v>11.4330508474576</v>
      </c>
      <c r="Q37" s="6" t="n">
        <f aca="false">0</f>
        <v>0</v>
      </c>
      <c r="R37" s="6" t="n">
        <f aca="false">R24*INDEX(Assumptions!$C$255:$E$255,2)/(1+INDEX(Assumptions!$C$15:$E$15,2)*INDEX(Assumptions!$C$16:$E$16,2))/100000</f>
        <v>3.81101694915254</v>
      </c>
      <c r="S37" s="6" t="n">
        <f aca="false">S24*INDEX(Assumptions!$C$255:$E$255,2)/(1+INDEX(Assumptions!$C$15:$E$15,2)*INDEX(Assumptions!$C$16:$E$16,2))/100000</f>
        <v>11.4330508474576</v>
      </c>
      <c r="T37" s="6" t="n">
        <f aca="false">0</f>
        <v>0</v>
      </c>
      <c r="U37" s="6" t="n">
        <f aca="false">U24*INDEX(Assumptions!$C$255:$E$255,2)/(1+INDEX(Assumptions!$C$15:$E$15,2)*INDEX(Assumptions!$C$16:$E$16,2))/100000</f>
        <v>3.81101694915254</v>
      </c>
      <c r="V37" s="6" t="n">
        <f aca="false">V24*INDEX(Assumptions!$C$255:$E$255,2)/(1+INDEX(Assumptions!$C$15:$E$15,2)*INDEX(Assumptions!$C$16:$E$16,2))/100000</f>
        <v>11.4330508474576</v>
      </c>
      <c r="W37" s="6" t="n">
        <f aca="false">0</f>
        <v>0</v>
      </c>
      <c r="X37" s="6" t="n">
        <f aca="false">X24*INDEX(Assumptions!$C$255:$E$255,2)/(1+INDEX(Assumptions!$C$15:$E$15,2)*INDEX(Assumptions!$C$16:$E$16,2))/100000</f>
        <v>3.81101694915254</v>
      </c>
      <c r="Y37" s="6" t="n">
        <f aca="false">Y24*INDEX(Assumptions!$C$255:$E$255,2)/(1+INDEX(Assumptions!$C$15:$E$15,2)*INDEX(Assumptions!$C$16:$E$16,2))/100000</f>
        <v>11.4330508474576</v>
      </c>
      <c r="Z37" s="6" t="n">
        <f aca="false">0</f>
        <v>0</v>
      </c>
      <c r="AA37" s="6" t="n">
        <f aca="false">AA24*INDEX(Assumptions!$C$255:$E$255,2)/(1+INDEX(Assumptions!$C$15:$E$15,2)*INDEX(Assumptions!$C$16:$E$16,2))/100000</f>
        <v>0</v>
      </c>
      <c r="AB37" s="6" t="n">
        <f aca="false">AB24*INDEX(Assumptions!$C$255:$E$255,2)/(1+INDEX(Assumptions!$C$15:$E$15,2)*INDEX(Assumptions!$C$16:$E$16,2))/100000</f>
        <v>0</v>
      </c>
      <c r="AC37" s="2"/>
    </row>
    <row r="38" customFormat="false" ht="15" hidden="false" customHeight="false" outlineLevel="0" collapsed="false">
      <c r="A38" s="21" t="s">
        <v>1074</v>
      </c>
      <c r="B38" s="6" t="n">
        <f aca="false">Outlook_Conservative!O65/100000</f>
        <v>0.0292419712230216</v>
      </c>
      <c r="C38" s="6" t="n">
        <f aca="false">(C19*C9*INDEX(Assumptions!$C$285:$E$285,1)+INDEX(Assumptions!$C$259:$E$259,1)*INDEX(Assumptions!$C$261:$E$261,1)/(1+INDEX(Assumptions!$C$15:$E$15,1)*INDEX(Assumptions!$C$16:$E$16,1))+INDEX(Assumptions!$C$262:$E$262,1))/100000</f>
        <v>1.24408652895988</v>
      </c>
      <c r="D38" s="6" t="n">
        <f aca="false">(D19*D9*INDEX(Assumptions!$C$285:$E$285,1)+INDEX(Assumptions!$C$260:$E$260,1)*INDEX(Assumptions!$C$261:$E$261,1)/(1+INDEX(Assumptions!$C$15:$E$15,1)*INDEX(Assumptions!$C$16:$E$16,1))+INDEX(Assumptions!$C$263:$E$263,1))/100000</f>
        <v>2.00417221134008</v>
      </c>
      <c r="E38" s="6" t="n">
        <f aca="false">Outlook_Base!O65/100000</f>
        <v>0.368877618422168</v>
      </c>
      <c r="F38" s="6" t="n">
        <f aca="false">(F19*F9*INDEX(Assumptions!$C$285:$E$285,2)+INDEX(Assumptions!$C$259:$E$259,2)*INDEX(Assumptions!$C$261:$E$261,2)/(1+INDEX(Assumptions!$C$15:$E$15,2)*INDEX(Assumptions!$C$16:$E$16,2))+INDEX(Assumptions!$C$262:$E$262,2))/100000</f>
        <v>3.28388481602881</v>
      </c>
      <c r="G38" s="6" t="n">
        <f aca="false">(G19*G9*INDEX(Assumptions!$C$285:$E$285,2)+INDEX(Assumptions!$C$260:$E$260,2)*INDEX(Assumptions!$C$261:$E$261,2)/(1+INDEX(Assumptions!$C$15:$E$15,2)*INDEX(Assumptions!$C$16:$E$16,2))+INDEX(Assumptions!$C$263:$E$263,2))/100000</f>
        <v>6.53939194169949</v>
      </c>
      <c r="H38" s="6" t="n">
        <f aca="false">Outlook_Aggressive!O65/100000</f>
        <v>1.03258996642628</v>
      </c>
      <c r="I38" s="6" t="n">
        <f aca="false">(I19*I9*INDEX(Assumptions!$C$285:$E$285,3)+INDEX(Assumptions!$C$259:$E$259,3)*INDEX(Assumptions!$C$261:$E$261,3)/(1+INDEX(Assumptions!$C$15:$E$15,3)*INDEX(Assumptions!$C$16:$E$16,3))+INDEX(Assumptions!$C$262:$E$262,3))/100000</f>
        <v>5.59242950594886</v>
      </c>
      <c r="J38" s="6" t="n">
        <f aca="false">(J19*J9*INDEX(Assumptions!$C$285:$E$285,3)+INDEX(Assumptions!$C$260:$E$260,3)*INDEX(Assumptions!$C$261:$E$261,3)/(1+INDEX(Assumptions!$C$15:$E$15,3)*INDEX(Assumptions!$C$16:$E$16,3))+INDEX(Assumptions!$C$263:$E$263,3))/100000</f>
        <v>10.1345404625179</v>
      </c>
      <c r="K38" s="6" t="n">
        <f aca="false">Staged_G1M6!O65/100000</f>
        <v>0.378712088837504</v>
      </c>
      <c r="L38" s="6" t="n">
        <f aca="false">(L19*L9*INDEX(Assumptions!$C$285:$E$285,2)+INDEX(Assumptions!$C$259:$E$259,2)*INDEX(Assumptions!$C$261:$E$261,2)/(1+INDEX(Assumptions!$C$15:$E$15,2)*INDEX(Assumptions!$C$16:$E$16,2))+INDEX(Assumptions!$C$262:$E$262,2))/100000</f>
        <v>3.28517267022468</v>
      </c>
      <c r="M38" s="6" t="n">
        <f aca="false">(M19*M9*INDEX(Assumptions!$C$285:$E$285,2)+INDEX(Assumptions!$C$260:$E$260,2)*INDEX(Assumptions!$C$261:$E$261,2)/(1+INDEX(Assumptions!$C$15:$E$15,2)*INDEX(Assumptions!$C$16:$E$16,2))+INDEX(Assumptions!$C$263:$E$263,2))/100000</f>
        <v>6.54080858131495</v>
      </c>
      <c r="N38" s="6" t="n">
        <f aca="false">Staged_G1M9!O65/100000</f>
        <v>0.197911701296104</v>
      </c>
      <c r="O38" s="6" t="n">
        <f aca="false">(O19*O9*INDEX(Assumptions!$C$285:$E$285,2)+INDEX(Assumptions!$C$259:$E$259,2)*INDEX(Assumptions!$C$261:$E$261,2)/(1+INDEX(Assumptions!$C$15:$E$15,2)*INDEX(Assumptions!$C$16:$E$16,2))+INDEX(Assumptions!$C$262:$E$262,2))/100000</f>
        <v>3.26267809951209</v>
      </c>
      <c r="P38" s="6" t="n">
        <f aca="false">(P19*P9*INDEX(Assumptions!$C$285:$E$285,2)+INDEX(Assumptions!$C$260:$E$260,2)*INDEX(Assumptions!$C$261:$E$261,2)/(1+INDEX(Assumptions!$C$15:$E$15,2)*INDEX(Assumptions!$C$16:$E$16,2))+INDEX(Assumptions!$C$263:$E$263,2))/100000</f>
        <v>6.51606455353109</v>
      </c>
      <c r="Q38" s="6" t="n">
        <f aca="false">Staged_G1M9!O65/100000</f>
        <v>0.197911701296104</v>
      </c>
      <c r="R38" s="6" t="n">
        <f aca="false">(R19*R9*INDEX(Assumptions!$C$285:$E$285,2)+INDEX(Assumptions!$C$259:$E$259,2)*INDEX(Assumptions!$C$261:$E$261,2)/(1+INDEX(Assumptions!$C$15:$E$15,2)*INDEX(Assumptions!$C$16:$E$16,2))+INDEX(Assumptions!$C$262:$E$262,2))/100000</f>
        <v>3.26267809951209</v>
      </c>
      <c r="S38" s="6" t="n">
        <f aca="false">(S19*S9*INDEX(Assumptions!$C$285:$E$285,2)+INDEX(Assumptions!$C$260:$E$260,2)*INDEX(Assumptions!$C$261:$E$261,2)/(1+INDEX(Assumptions!$C$15:$E$15,2)*INDEX(Assumptions!$C$16:$E$16,2))+INDEX(Assumptions!$C$263:$E$263,2))/100000</f>
        <v>6.51606455353109</v>
      </c>
      <c r="T38" s="6" t="n">
        <f aca="false">Staged_G1M9!O65/100000</f>
        <v>0.197911701296104</v>
      </c>
      <c r="U38" s="6" t="n">
        <f aca="false">(U19*U9*INDEX(Assumptions!$C$285:$E$285,2)+INDEX(Assumptions!$C$259:$E$259,2)*INDEX(Assumptions!$C$261:$E$261,2)/(1+INDEX(Assumptions!$C$15:$E$15,2)*INDEX(Assumptions!$C$16:$E$16,2))+INDEX(Assumptions!$C$262:$E$262,2))/100000</f>
        <v>3.21246876747241</v>
      </c>
      <c r="V38" s="6" t="n">
        <f aca="false">(V19*V9*INDEX(Assumptions!$C$285:$E$285,2)+INDEX(Assumptions!$C$260:$E$260,2)*INDEX(Assumptions!$C$261:$E$261,2)/(1+INDEX(Assumptions!$C$15:$E$15,2)*INDEX(Assumptions!$C$16:$E$16,2))+INDEX(Assumptions!$C$263:$E$263,2))/100000</f>
        <v>6.4424241998729</v>
      </c>
      <c r="W38" s="6" t="n">
        <f aca="false">Staged_G1M9!O65/100000</f>
        <v>0.197911701296104</v>
      </c>
      <c r="X38" s="6" t="n">
        <f aca="false">(X19*X9*INDEX(Assumptions!$C$285:$E$285,2)+INDEX(Assumptions!$C$259:$E$259,2)*INDEX(Assumptions!$C$261:$E$261,2)/(1+INDEX(Assumptions!$C$15:$E$15,2)*INDEX(Assumptions!$C$16:$E$16,2))+INDEX(Assumptions!$C$262:$E$262,2))/100000</f>
        <v>3.16225943543273</v>
      </c>
      <c r="Y38" s="6" t="n">
        <f aca="false">(Y19*Y9*INDEX(Assumptions!$C$285:$E$285,2)+INDEX(Assumptions!$C$260:$E$260,2)*INDEX(Assumptions!$C$261:$E$261,2)/(1+INDEX(Assumptions!$C$15:$E$15,2)*INDEX(Assumptions!$C$16:$E$16,2))+INDEX(Assumptions!$C$263:$E$263,2))/100000</f>
        <v>6.3687838462147</v>
      </c>
      <c r="Z38" s="6" t="n">
        <f aca="false">Staged_G1M9!O65/100000</f>
        <v>0.197911701296104</v>
      </c>
      <c r="AA38" s="6" t="n">
        <f aca="false">0</f>
        <v>0</v>
      </c>
      <c r="AB38" s="6" t="n">
        <f aca="false">0</f>
        <v>0</v>
      </c>
      <c r="AC38" s="2" t="s">
        <v>1075</v>
      </c>
    </row>
    <row r="39" customFormat="false" ht="15" hidden="false" customHeight="false" outlineLevel="0" collapsed="false">
      <c r="A39" s="21" t="s">
        <v>1076</v>
      </c>
      <c r="B39" s="6" t="n">
        <f aca="false">0</f>
        <v>0</v>
      </c>
      <c r="C39" s="6" t="n">
        <f aca="false">0</f>
        <v>0</v>
      </c>
      <c r="D39" s="6" t="n">
        <f aca="false">D26*D29/(1+INDEX(Assumptions!$C$15:$E$15,1)*INDEX(Assumptions!$C$16:$E$16,1))*(1-INDEX(Assumptions!$C$265:$E$265,1))/100000</f>
        <v>0</v>
      </c>
      <c r="E39" s="6" t="n">
        <f aca="false">0</f>
        <v>0</v>
      </c>
      <c r="F39" s="6" t="n">
        <f aca="false">0</f>
        <v>0</v>
      </c>
      <c r="G39" s="6" t="n">
        <f aca="false">G26*G29/(1+INDEX(Assumptions!$C$15:$E$15,2)*INDEX(Assumptions!$C$16:$E$16,2))*(1-INDEX(Assumptions!$C$265:$E$265,2))/100000</f>
        <v>0</v>
      </c>
      <c r="H39" s="6" t="n">
        <f aca="false">0</f>
        <v>0</v>
      </c>
      <c r="I39" s="6" t="n">
        <f aca="false">0</f>
        <v>0</v>
      </c>
      <c r="J39" s="6" t="n">
        <f aca="false">J26*J29/(1+INDEX(Assumptions!$C$15:$E$15,3)*INDEX(Assumptions!$C$16:$E$16,3))*(1-INDEX(Assumptions!$C$265:$E$265,3))/100000</f>
        <v>21.9661016949153</v>
      </c>
      <c r="K39" s="6" t="n">
        <f aca="false">0</f>
        <v>0</v>
      </c>
      <c r="L39" s="6" t="n">
        <f aca="false">0</f>
        <v>0</v>
      </c>
      <c r="M39" s="6" t="n">
        <f aca="false">M26*M29/(1+INDEX(Assumptions!$C$15:$E$15,2)*INDEX(Assumptions!$C$16:$E$16,2))*(1-INDEX(Assumptions!$C$265:$E$265,2))/100000</f>
        <v>0</v>
      </c>
      <c r="N39" s="6" t="n">
        <f aca="false">0</f>
        <v>0</v>
      </c>
      <c r="O39" s="6" t="n">
        <f aca="false">0</f>
        <v>0</v>
      </c>
      <c r="P39" s="6" t="n">
        <f aca="false">P26*P29/(1+INDEX(Assumptions!$C$15:$E$15,2)*INDEX(Assumptions!$C$16:$E$16,2))*(1-INDEX(Assumptions!$C$265:$E$265,2))/100000</f>
        <v>0</v>
      </c>
      <c r="Q39" s="6" t="n">
        <f aca="false">0</f>
        <v>0</v>
      </c>
      <c r="R39" s="6" t="n">
        <f aca="false">0</f>
        <v>0</v>
      </c>
      <c r="S39" s="6" t="n">
        <f aca="false">S26*S29/(1+INDEX(Assumptions!$C$15:$E$15,2)*INDEX(Assumptions!$C$16:$E$16,2))*(1-INDEX(Assumptions!$C$265:$E$265,2))/100000</f>
        <v>0</v>
      </c>
      <c r="T39" s="6" t="n">
        <f aca="false">0</f>
        <v>0</v>
      </c>
      <c r="U39" s="6" t="n">
        <f aca="false">0</f>
        <v>0</v>
      </c>
      <c r="V39" s="6" t="n">
        <f aca="false">V26*V29/(1+INDEX(Assumptions!$C$15:$E$15,2)*INDEX(Assumptions!$C$16:$E$16,2))*(1-INDEX(Assumptions!$C$265:$E$265,2))/100000</f>
        <v>0</v>
      </c>
      <c r="W39" s="6" t="n">
        <f aca="false">0</f>
        <v>0</v>
      </c>
      <c r="X39" s="6" t="n">
        <f aca="false">0</f>
        <v>0</v>
      </c>
      <c r="Y39" s="6" t="n">
        <f aca="false">Y26*Y29/(1+INDEX(Assumptions!$C$15:$E$15,2)*INDEX(Assumptions!$C$16:$E$16,2))*(1-INDEX(Assumptions!$C$265:$E$265,2))/100000</f>
        <v>0</v>
      </c>
      <c r="Z39" s="6" t="n">
        <f aca="false">0</f>
        <v>0</v>
      </c>
      <c r="AA39" s="6" t="n">
        <f aca="false">0</f>
        <v>0</v>
      </c>
      <c r="AB39" s="6" t="n">
        <f aca="false">AB26*AB29/(1+INDEX(Assumptions!$C$15:$E$15,2)*INDEX(Assumptions!$C$16:$E$16,2))*(1-INDEX(Assumptions!$C$265:$E$265,2))/100000</f>
        <v>0</v>
      </c>
      <c r="AC39" s="2"/>
    </row>
    <row r="40" customFormat="false" ht="15" hidden="false" customHeight="false" outlineLevel="0" collapsed="false">
      <c r="A40" s="3" t="s">
        <v>131</v>
      </c>
      <c r="B40" s="7" t="n">
        <f aca="false">SUM(B32:B39)</f>
        <v>17.5990848798782</v>
      </c>
      <c r="C40" s="7" t="n">
        <f aca="false">SUM(C32:C39)</f>
        <v>26.6417000075987</v>
      </c>
      <c r="D40" s="7" t="n">
        <f aca="false">SUM(D32:D39)</f>
        <v>36.6572985432959</v>
      </c>
      <c r="E40" s="7" t="n">
        <f aca="false">SUM(E32:E39)</f>
        <v>70.9661072610592</v>
      </c>
      <c r="F40" s="7" t="n">
        <f aca="false">SUM(F32:F39)</f>
        <v>118.814657243018</v>
      </c>
      <c r="G40" s="7" t="n">
        <f aca="false">SUM(G32:G39)</f>
        <v>165.507954880354</v>
      </c>
      <c r="H40" s="7" t="n">
        <f aca="false">SUM(H32:H39)</f>
        <v>134.783683632995</v>
      </c>
      <c r="I40" s="7" t="n">
        <f aca="false">SUM(I32:I39)</f>
        <v>235.670458972991</v>
      </c>
      <c r="J40" s="7" t="n">
        <f aca="false">SUM(J32:J39)</f>
        <v>334.642000607154</v>
      </c>
      <c r="K40" s="7" t="n">
        <f aca="false">SUM(K32:K39)</f>
        <v>66.7444434981563</v>
      </c>
      <c r="L40" s="7" t="n">
        <f aca="false">SUM(L32:L39)</f>
        <v>116.10194227879</v>
      </c>
      <c r="M40" s="7" t="n">
        <f aca="false">SUM(M32:M39)</f>
        <v>165.666125937005</v>
      </c>
      <c r="N40" s="7" t="n">
        <f aca="false">SUM(N32:N39)</f>
        <v>60.5534125214664</v>
      </c>
      <c r="O40" s="7" t="n">
        <f aca="false">SUM(O32:O39)</f>
        <v>113.720137903584</v>
      </c>
      <c r="P40" s="7" t="n">
        <f aca="false">SUM(P32:P39)</f>
        <v>162.903398580199</v>
      </c>
      <c r="Q40" s="7" t="n">
        <f aca="false">SUM(Q32:Q39)</f>
        <v>60.5534125214664</v>
      </c>
      <c r="R40" s="7" t="n">
        <f aca="false">SUM(R32:R39)</f>
        <v>105.35723789798</v>
      </c>
      <c r="S40" s="7" t="n">
        <f aca="false">SUM(S32:S39)</f>
        <v>147.68605749578</v>
      </c>
      <c r="T40" s="7" t="n">
        <f aca="false">SUM(T32:T39)</f>
        <v>60.5534125214664</v>
      </c>
      <c r="U40" s="7" t="n">
        <f aca="false">SUM(U32:U39)</f>
        <v>108.705045891612</v>
      </c>
      <c r="V40" s="7" t="n">
        <f aca="false">SUM(V32:V39)</f>
        <v>154.721171384605</v>
      </c>
      <c r="W40" s="7" t="n">
        <f aca="false">SUM(W32:W39)</f>
        <v>60.5534125214664</v>
      </c>
      <c r="X40" s="7" t="n">
        <f aca="false">SUM(X32:X39)</f>
        <v>103.68995387964</v>
      </c>
      <c r="Y40" s="7" t="n">
        <f aca="false">SUM(Y32:Y39)</f>
        <v>146.538944189011</v>
      </c>
      <c r="Z40" s="7" t="n">
        <f aca="false">SUM(Z32:Z39)</f>
        <v>60.5534125214664</v>
      </c>
      <c r="AA40" s="7" t="n">
        <f aca="false">SUM(AA32:AA39)</f>
        <v>89.808966578129</v>
      </c>
      <c r="AB40" s="7" t="n">
        <f aca="false">SUM(AB32:AB39)</f>
        <v>108.77649011739</v>
      </c>
      <c r="AC40" s="2"/>
    </row>
    <row r="41" customFormat="false" ht="15" hidden="false" customHeight="false" outlineLevel="0" collapsed="false">
      <c r="A41" s="21" t="s">
        <v>1077</v>
      </c>
      <c r="B41" s="8" t="n">
        <f aca="false">0</f>
        <v>0</v>
      </c>
      <c r="C41" s="8" t="n">
        <f aca="false">C40/B40-1</f>
        <v>0.513811666313358</v>
      </c>
      <c r="D41" s="8" t="n">
        <f aca="false">D40/C40-1</f>
        <v>0.375936915919054</v>
      </c>
      <c r="E41" s="8" t="n">
        <f aca="false">0</f>
        <v>0</v>
      </c>
      <c r="F41" s="8" t="n">
        <f aca="false">F40/E40-1</f>
        <v>0.674245098522045</v>
      </c>
      <c r="G41" s="8" t="n">
        <f aca="false">G40/F40-1</f>
        <v>0.392992739454966</v>
      </c>
      <c r="H41" s="8" t="n">
        <f aca="false">0</f>
        <v>0</v>
      </c>
      <c r="I41" s="8" t="n">
        <f aca="false">I40/H40-1</f>
        <v>0.748508815167139</v>
      </c>
      <c r="J41" s="8" t="n">
        <f aca="false">J40/I40-1</f>
        <v>0.419957350893548</v>
      </c>
      <c r="K41" s="8" t="n">
        <f aca="false">0</f>
        <v>0</v>
      </c>
      <c r="L41" s="8" t="n">
        <f aca="false">L40/K40-1</f>
        <v>0.739499742506614</v>
      </c>
      <c r="M41" s="8" t="n">
        <f aca="false">M40/L40-1</f>
        <v>0.426902278165153</v>
      </c>
      <c r="N41" s="8" t="n">
        <f aca="false">0</f>
        <v>0</v>
      </c>
      <c r="O41" s="8" t="n">
        <f aca="false">O40/N40-1</f>
        <v>0.878013693501917</v>
      </c>
      <c r="P41" s="8" t="n">
        <f aca="false">P40/O40-1</f>
        <v>0.432493853624361</v>
      </c>
      <c r="Q41" s="8" t="n">
        <f aca="false">0</f>
        <v>0</v>
      </c>
      <c r="R41" s="8" t="n">
        <f aca="false">R40/Q40-1</f>
        <v>0.739905870055311</v>
      </c>
      <c r="S41" s="8" t="n">
        <f aca="false">S40/R40-1</f>
        <v>0.401764704944033</v>
      </c>
      <c r="T41" s="8" t="n">
        <f aca="false">0</f>
        <v>0</v>
      </c>
      <c r="U41" s="8" t="n">
        <f aca="false">U40/T40-1</f>
        <v>0.795192729279725</v>
      </c>
      <c r="V41" s="8" t="n">
        <f aca="false">V40/U40-1</f>
        <v>0.423311770999798</v>
      </c>
      <c r="W41" s="8" t="n">
        <f aca="false">0</f>
        <v>0</v>
      </c>
      <c r="X41" s="8" t="n">
        <f aca="false">X40/W40-1</f>
        <v>0.712371765057533</v>
      </c>
      <c r="Y41" s="8" t="n">
        <f aca="false">Y40/X40-1</f>
        <v>0.413241482960905</v>
      </c>
      <c r="Z41" s="8" t="n">
        <f aca="false">0</f>
        <v>0</v>
      </c>
      <c r="AA41" s="8" t="n">
        <f aca="false">AA40/Z40-1</f>
        <v>0.483136339282142</v>
      </c>
      <c r="AB41" s="8" t="n">
        <f aca="false">AB40/AA40-1</f>
        <v>0.211198550233408</v>
      </c>
      <c r="AC41" s="2"/>
    </row>
    <row r="42" customFormat="false" ht="15" hidden="false" customHeight="false" outlineLevel="0" collapsed="false">
      <c r="A42" s="18" t="s">
        <v>1078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</row>
    <row r="43" customFormat="false" ht="15" hidden="false" customHeight="false" outlineLevel="0" collapsed="false">
      <c r="A43" s="21" t="s">
        <v>1079</v>
      </c>
      <c r="B43" s="6" t="n">
        <f aca="false">Outlook_Conservative!O77/100000</f>
        <v>6.28822115999345</v>
      </c>
      <c r="C43" s="6" t="n">
        <f aca="false">((C19*C9+C12*C17)*INDEX(Assumptions!$C$91:$E$91,1)+C20*(INDEX(Assumptions!$C$93:$E$93,1)+INDEX(Assumptions!$C$282:$E$282,1))+C19*(1-C9)*INDEX(Assumptions!$C$92:$E$92,1)+C21*INDEX(Assumptions!$C$94:$E$94,1)+C22*INDEX(Assumptions!$C$95:$E$95,1)+C23*INDEX(Assumptions!$C$84:$E$84,1)+C25*INDEX(Assumptions!$C$97:$E$97,1)+C19*INDEX(Assumptions!$C$240:$E$240,1)*INDEX(Assumptions!$C$69:$E$69,1)+C26*INDEX(Assumptions!$C$266:$E$266,1)+(C32+C33+C34)*100000*(1+INDEX(Assumptions!$C$15:$E$15,1)*INDEX(Assumptions!$C$16:$E$16,1))*INDEX(Assumptions!$C$70:$E$70,1)*INDEX(Assumptions!$C$71:$E$71,1)+C40*100000*(1+INDEX(Assumptions!$C$15:$E$15,1)*INDEX(Assumptions!$C$16:$E$16,1))*INDEX(Assumptions!$C$76:$E$76,1)+C37*100000*INDEX(Assumptions!$C$258:$E$258,1))/100000</f>
        <v>6.08209929886897</v>
      </c>
      <c r="D43" s="6" t="n">
        <f aca="false">((D19*D9+D12*D17)*INDEX(Assumptions!$C$91:$E$91,1)+D20*(INDEX(Assumptions!$C$93:$E$93,1)+INDEX(Assumptions!$C$282:$E$282,1))+D19*(1-D9)*INDEX(Assumptions!$C$92:$E$92,1)+D21*INDEX(Assumptions!$C$94:$E$94,1)+D22*INDEX(Assumptions!$C$95:$E$95,1)+D23*INDEX(Assumptions!$C$84:$E$84,1)+D25*INDEX(Assumptions!$C$97:$E$97,1)+D19*INDEX(Assumptions!$C$240:$E$240,1)*INDEX(Assumptions!$C$69:$E$69,1)+D26*INDEX(Assumptions!$C$266:$E$266,1)+(D32+D33+D34)*100000*(1+INDEX(Assumptions!$C$15:$E$15,1)*INDEX(Assumptions!$C$16:$E$16,1))*INDEX(Assumptions!$C$70:$E$70,1)*INDEX(Assumptions!$C$71:$E$71,1)+D40*100000*(1+INDEX(Assumptions!$C$15:$E$15,1)*INDEX(Assumptions!$C$16:$E$16,1))*INDEX(Assumptions!$C$76:$E$76,1)+D37*100000*INDEX(Assumptions!$C$258:$E$258,1))/100000</f>
        <v>9.32548037673012</v>
      </c>
      <c r="E43" s="6" t="n">
        <f aca="false">Outlook_Base!O77/100000</f>
        <v>12.9540937660154</v>
      </c>
      <c r="F43" s="6" t="n">
        <f aca="false">((F19*F9+F12*F17)*INDEX(Assumptions!$C$91:$E$91,2)+F20*(INDEX(Assumptions!$C$93:$E$93,2)+INDEX(Assumptions!$C$282:$E$282,2))+F19*(1-F9)*INDEX(Assumptions!$C$92:$E$92,2)+F21*INDEX(Assumptions!$C$94:$E$94,2)+F22*INDEX(Assumptions!$C$95:$E$95,2)+F23*INDEX(Assumptions!$C$84:$E$84,2)+F25*INDEX(Assumptions!$C$97:$E$97,2)+F19*INDEX(Assumptions!$C$240:$E$240,2)*INDEX(Assumptions!$C$69:$E$69,2)+F26*INDEX(Assumptions!$C$266:$E$266,2)+(F32+F33+F34)*100000*(1+INDEX(Assumptions!$C$15:$E$15,2)*INDEX(Assumptions!$C$16:$E$16,2))*INDEX(Assumptions!$C$70:$E$70,2)*INDEX(Assumptions!$C$71:$E$71,2)+F40*100000*(1+INDEX(Assumptions!$C$15:$E$15,2)*INDEX(Assumptions!$C$16:$E$16,2))*INDEX(Assumptions!$C$76:$E$76,2)+F37*100000*INDEX(Assumptions!$C$258:$E$258,2))/100000</f>
        <v>19.6430522721814</v>
      </c>
      <c r="G43" s="6" t="n">
        <f aca="false">((G19*G9+G12*G17)*INDEX(Assumptions!$C$91:$E$91,2)+G20*(INDEX(Assumptions!$C$93:$E$93,2)+INDEX(Assumptions!$C$282:$E$282,2))+G19*(1-G9)*INDEX(Assumptions!$C$92:$E$92,2)+G21*INDEX(Assumptions!$C$94:$E$94,2)+G22*INDEX(Assumptions!$C$95:$E$95,2)+G23*INDEX(Assumptions!$C$84:$E$84,2)+G25*INDEX(Assumptions!$C$97:$E$97,2)+G19*INDEX(Assumptions!$C$240:$E$240,2)*INDEX(Assumptions!$C$69:$E$69,2)+G26*INDEX(Assumptions!$C$266:$E$266,2)+(G32+G33+G34)*100000*(1+INDEX(Assumptions!$C$15:$E$15,2)*INDEX(Assumptions!$C$16:$E$16,2))*INDEX(Assumptions!$C$70:$E$70,2)*INDEX(Assumptions!$C$71:$E$71,2)+G40*100000*(1+INDEX(Assumptions!$C$15:$E$15,2)*INDEX(Assumptions!$C$16:$E$16,2))*INDEX(Assumptions!$C$76:$E$76,2)+G37*100000*INDEX(Assumptions!$C$258:$E$258,2))/100000</f>
        <v>28.4727272392504</v>
      </c>
      <c r="H43" s="6" t="n">
        <f aca="false">Outlook_Aggressive!O77/100000</f>
        <v>16.8325424382764</v>
      </c>
      <c r="I43" s="6" t="n">
        <f aca="false">((I19*I9+I12*I17)*INDEX(Assumptions!$C$91:$E$91,3)+I20*(INDEX(Assumptions!$C$93:$E$93,3)+INDEX(Assumptions!$C$282:$E$282,3))+I19*(1-I9)*INDEX(Assumptions!$C$92:$E$92,3)+I21*INDEX(Assumptions!$C$94:$E$94,3)+I22*INDEX(Assumptions!$C$95:$E$95,3)+I23*INDEX(Assumptions!$C$84:$E$84,3)+I25*INDEX(Assumptions!$C$97:$E$97,3)+I19*INDEX(Assumptions!$C$240:$E$240,3)*INDEX(Assumptions!$C$69:$E$69,3)+I26*INDEX(Assumptions!$C$266:$E$266,3)+(I32+I33+I34)*100000*(1+INDEX(Assumptions!$C$15:$E$15,3)*INDEX(Assumptions!$C$16:$E$16,3))*INDEX(Assumptions!$C$70:$E$70,3)*INDEX(Assumptions!$C$71:$E$71,3)+I40*100000*(1+INDEX(Assumptions!$C$15:$E$15,3)*INDEX(Assumptions!$C$16:$E$16,3))*INDEX(Assumptions!$C$76:$E$76,3)+I37*100000*INDEX(Assumptions!$C$258:$E$258,3))/100000</f>
        <v>27.1036082246746</v>
      </c>
      <c r="J43" s="6" t="n">
        <f aca="false">((J19*J9+J12*J17)*INDEX(Assumptions!$C$91:$E$91,3)+J20*(INDEX(Assumptions!$C$93:$E$93,3)+INDEX(Assumptions!$C$282:$E$282,3))+J19*(1-J9)*INDEX(Assumptions!$C$92:$E$92,3)+J21*INDEX(Assumptions!$C$94:$E$94,3)+J22*INDEX(Assumptions!$C$95:$E$95,3)+J23*INDEX(Assumptions!$C$84:$E$84,3)+J25*INDEX(Assumptions!$C$97:$E$97,3)+J19*INDEX(Assumptions!$C$240:$E$240,3)*INDEX(Assumptions!$C$69:$E$69,3)+J26*INDEX(Assumptions!$C$266:$E$266,3)+(J32+J33+J34)*100000*(1+INDEX(Assumptions!$C$15:$E$15,3)*INDEX(Assumptions!$C$16:$E$16,3))*INDEX(Assumptions!$C$70:$E$70,3)*INDEX(Assumptions!$C$71:$E$71,3)+J40*100000*(1+INDEX(Assumptions!$C$15:$E$15,3)*INDEX(Assumptions!$C$16:$E$16,3))*INDEX(Assumptions!$C$76:$E$76,3)+J37*100000*INDEX(Assumptions!$C$258:$E$258,3))/100000</f>
        <v>38.5281232835931</v>
      </c>
      <c r="K43" s="6" t="n">
        <f aca="false">Staged_G1M6!O77/100000</f>
        <v>13.1422270833599</v>
      </c>
      <c r="L43" s="6" t="n">
        <f aca="false">((L19*L9+L12*L17)*INDEX(Assumptions!$C$91:$E$91,2)+L20*(INDEX(Assumptions!$C$93:$E$93,2)+INDEX(Assumptions!$C$282:$E$282,2))+L19*(1-L9)*INDEX(Assumptions!$C$92:$E$92,2)+L21*INDEX(Assumptions!$C$94:$E$94,2)+L22*INDEX(Assumptions!$C$95:$E$95,2)+L23*INDEX(Assumptions!$C$84:$E$84,2)+L25*INDEX(Assumptions!$C$97:$E$97,2)+L19*INDEX(Assumptions!$C$240:$E$240,2)*INDEX(Assumptions!$C$69:$E$69,2)+L26*INDEX(Assumptions!$C$266:$E$266,2)+(L32+L33+L34)*100000*(1+INDEX(Assumptions!$C$15:$E$15,2)*INDEX(Assumptions!$C$16:$E$16,2))*INDEX(Assumptions!$C$70:$E$70,2)*INDEX(Assumptions!$C$71:$E$71,2)+L40*100000*(1+INDEX(Assumptions!$C$15:$E$15,2)*INDEX(Assumptions!$C$16:$E$16,2))*INDEX(Assumptions!$C$76:$E$76,2)+L37*100000*INDEX(Assumptions!$C$258:$E$258,2))/100000</f>
        <v>19.5403028251111</v>
      </c>
      <c r="M43" s="6" t="n">
        <f aca="false">((M19*M9+M12*M17)*INDEX(Assumptions!$C$91:$E$91,2)+M20*(INDEX(Assumptions!$C$93:$E$93,2)+INDEX(Assumptions!$C$282:$E$282,2))+M19*(1-M9)*INDEX(Assumptions!$C$92:$E$92,2)+M21*INDEX(Assumptions!$C$94:$E$94,2)+M22*INDEX(Assumptions!$C$95:$E$95,2)+M23*INDEX(Assumptions!$C$84:$E$84,2)+M25*INDEX(Assumptions!$C$97:$E$97,2)+M19*INDEX(Assumptions!$C$240:$E$240,2)*INDEX(Assumptions!$C$69:$E$69,2)+M26*INDEX(Assumptions!$C$266:$E$266,2)+(M32+M33+M34)*100000*(1+INDEX(Assumptions!$C$15:$E$15,2)*INDEX(Assumptions!$C$16:$E$16,2))*INDEX(Assumptions!$C$70:$E$70,2)*INDEX(Assumptions!$C$71:$E$71,2)+M40*100000*(1+INDEX(Assumptions!$C$15:$E$15,2)*INDEX(Assumptions!$C$16:$E$16,2))*INDEX(Assumptions!$C$76:$E$76,2)+M37*100000*INDEX(Assumptions!$C$258:$E$258,2))/100000</f>
        <v>28.4943900756667</v>
      </c>
      <c r="N43" s="6" t="n">
        <f aca="false">Staged_G1M9!O77/100000</f>
        <v>13.6692667212555</v>
      </c>
      <c r="O43" s="6" t="n">
        <f aca="false">((O19*O9+O12*O17)*INDEX(Assumptions!$C$91:$E$91,2)+O20*(INDEX(Assumptions!$C$93:$E$93,2)+INDEX(Assumptions!$C$282:$E$282,2))+O19*(1-O9)*INDEX(Assumptions!$C$92:$E$92,2)+O21*INDEX(Assumptions!$C$94:$E$94,2)+O22*INDEX(Assumptions!$C$95:$E$95,2)+O23*INDEX(Assumptions!$C$84:$E$84,2)+O25*INDEX(Assumptions!$C$97:$E$97,2)+O19*INDEX(Assumptions!$C$240:$E$240,2)*INDEX(Assumptions!$C$69:$E$69,2)+O26*INDEX(Assumptions!$C$266:$E$266,2)+(O32+O33+O34)*100000*(1+INDEX(Assumptions!$C$15:$E$15,2)*INDEX(Assumptions!$C$16:$E$16,2))*INDEX(Assumptions!$C$70:$E$70,2)*INDEX(Assumptions!$C$71:$E$71,2)+O40*100000*(1+INDEX(Assumptions!$C$15:$E$15,2)*INDEX(Assumptions!$C$16:$E$16,2))*INDEX(Assumptions!$C$76:$E$76,2)+O37*100000*INDEX(Assumptions!$C$258:$E$258,2))/100000</f>
        <v>19.1834933730939</v>
      </c>
      <c r="P43" s="6" t="n">
        <f aca="false">((P19*P9+P12*P17)*INDEX(Assumptions!$C$91:$E$91,2)+P20*(INDEX(Assumptions!$C$93:$E$93,2)+INDEX(Assumptions!$C$282:$E$282,2))+P19*(1-P9)*INDEX(Assumptions!$C$92:$E$92,2)+P21*INDEX(Assumptions!$C$94:$E$94,2)+P22*INDEX(Assumptions!$C$95:$E$95,2)+P23*INDEX(Assumptions!$C$84:$E$84,2)+P25*INDEX(Assumptions!$C$97:$E$97,2)+P19*INDEX(Assumptions!$C$240:$E$240,2)*INDEX(Assumptions!$C$69:$E$69,2)+P26*INDEX(Assumptions!$C$266:$E$266,2)+(P32+P33+P34)*100000*(1+INDEX(Assumptions!$C$15:$E$15,2)*INDEX(Assumptions!$C$16:$E$16,2))*INDEX(Assumptions!$C$70:$E$70,2)*INDEX(Assumptions!$C$71:$E$71,2)+P40*100000*(1+INDEX(Assumptions!$C$15:$E$15,2)*INDEX(Assumptions!$C$16:$E$16,2))*INDEX(Assumptions!$C$76:$E$76,2)+P37*100000*INDEX(Assumptions!$C$258:$E$258,2))/100000</f>
        <v>28.116011679134</v>
      </c>
      <c r="Q43" s="6" t="n">
        <f aca="false">Staged_G1M9!O77/100000</f>
        <v>13.6692667212555</v>
      </c>
      <c r="R43" s="6" t="n">
        <f aca="false">((R19*R9+R12*R17)*INDEX(Assumptions!$C$91:$E$91,2)+R20*(INDEX(Assumptions!$C$93:$E$93,2)+INDEX(Assumptions!$C$282:$E$282,2))+R19*(1-R9)*INDEX(Assumptions!$C$92:$E$92,2)+R21*INDEX(Assumptions!$C$94:$E$94,2)+R22*INDEX(Assumptions!$C$95:$E$95,2)+R23*INDEX(Assumptions!$C$84:$E$84,2)+R25*INDEX(Assumptions!$C$97:$E$97,2)+R19*INDEX(Assumptions!$C$240:$E$240,2)*INDEX(Assumptions!$C$69:$E$69,2)+R26*INDEX(Assumptions!$C$266:$E$266,2)+(R32+R33+R34)*100000*(1+INDEX(Assumptions!$C$15:$E$15,2)*INDEX(Assumptions!$C$16:$E$16,2))*INDEX(Assumptions!$C$70:$E$70,2)*INDEX(Assumptions!$C$71:$E$71,2)+R40*100000*(1+INDEX(Assumptions!$C$15:$E$15,2)*INDEX(Assumptions!$C$16:$E$16,2))*INDEX(Assumptions!$C$76:$E$76,2)+R37*100000*INDEX(Assumptions!$C$258:$E$258,2))/100000</f>
        <v>18.8134350478459</v>
      </c>
      <c r="S43" s="6" t="n">
        <f aca="false">((S19*S9+S12*S17)*INDEX(Assumptions!$C$91:$E$91,2)+S20*(INDEX(Assumptions!$C$93:$E$93,2)+INDEX(Assumptions!$C$282:$E$282,2))+S19*(1-S9)*INDEX(Assumptions!$C$92:$E$92,2)+S21*INDEX(Assumptions!$C$94:$E$94,2)+S22*INDEX(Assumptions!$C$95:$E$95,2)+S23*INDEX(Assumptions!$C$84:$E$84,2)+S25*INDEX(Assumptions!$C$97:$E$97,2)+S19*INDEX(Assumptions!$C$240:$E$240,2)*INDEX(Assumptions!$C$69:$E$69,2)+S26*INDEX(Assumptions!$C$266:$E$266,2)+(S32+S33+S34)*100000*(1+INDEX(Assumptions!$C$15:$E$15,2)*INDEX(Assumptions!$C$16:$E$16,2))*INDEX(Assumptions!$C$70:$E$70,2)*INDEX(Assumptions!$C$71:$E$71,2)+S40*100000*(1+INDEX(Assumptions!$C$15:$E$15,2)*INDEX(Assumptions!$C$16:$E$16,2))*INDEX(Assumptions!$C$76:$E$76,2)+S37*100000*INDEX(Assumptions!$C$258:$E$258,2))/100000</f>
        <v>27.4426443361484</v>
      </c>
      <c r="T43" s="6" t="n">
        <f aca="false">Staged_G1M9!O77/100000</f>
        <v>13.6692667212555</v>
      </c>
      <c r="U43" s="6" t="n">
        <f aca="false">((U19*U9+U12*U17)*INDEX(Assumptions!$C$91:$E$91,2)+U20*(INDEX(Assumptions!$C$93:$E$93,2)+INDEX(Assumptions!$C$282:$E$282,2))+U19*(1-U9)*INDEX(Assumptions!$C$92:$E$92,2)+U21*INDEX(Assumptions!$C$94:$E$94,2)+U22*INDEX(Assumptions!$C$95:$E$95,2)+U23*INDEX(Assumptions!$C$84:$E$84,2)+U25*INDEX(Assumptions!$C$97:$E$97,2)+U19*INDEX(Assumptions!$C$240:$E$240,2)*INDEX(Assumptions!$C$69:$E$69,2)+U26*INDEX(Assumptions!$C$266:$E$266,2)+(U32+U33+U34)*100000*(1+INDEX(Assumptions!$C$15:$E$15,2)*INDEX(Assumptions!$C$16:$E$16,2))*INDEX(Assumptions!$C$70:$E$70,2)*INDEX(Assumptions!$C$71:$E$71,2)+U40*100000*(1+INDEX(Assumptions!$C$15:$E$15,2)*INDEX(Assumptions!$C$16:$E$16,2))*INDEX(Assumptions!$C$76:$E$76,2)+U37*100000*INDEX(Assumptions!$C$258:$E$258,2))/100000</f>
        <v>18.4652829993121</v>
      </c>
      <c r="V43" s="6" t="n">
        <f aca="false">((V19*V9+V12*V17)*INDEX(Assumptions!$C$91:$E$91,2)+V20*(INDEX(Assumptions!$C$93:$E$93,2)+INDEX(Assumptions!$C$282:$E$282,2))+V19*(1-V9)*INDEX(Assumptions!$C$92:$E$92,2)+V21*INDEX(Assumptions!$C$94:$E$94,2)+V22*INDEX(Assumptions!$C$95:$E$95,2)+V23*INDEX(Assumptions!$C$84:$E$84,2)+V25*INDEX(Assumptions!$C$97:$E$97,2)+V19*INDEX(Assumptions!$C$240:$E$240,2)*INDEX(Assumptions!$C$69:$E$69,2)+V26*INDEX(Assumptions!$C$266:$E$266,2)+(V32+V33+V34)*100000*(1+INDEX(Assumptions!$C$15:$E$15,2)*INDEX(Assumptions!$C$16:$E$16,2))*INDEX(Assumptions!$C$70:$E$70,2)*INDEX(Assumptions!$C$71:$E$71,2)+V40*100000*(1+INDEX(Assumptions!$C$15:$E$15,2)*INDEX(Assumptions!$C$16:$E$16,2))*INDEX(Assumptions!$C$76:$E$76,2)+V37*100000*INDEX(Assumptions!$C$258:$E$258,2))/100000</f>
        <v>27.0002806265909</v>
      </c>
      <c r="W43" s="6" t="n">
        <f aca="false">Staged_G1M9!O77/100000</f>
        <v>13.6692667212555</v>
      </c>
      <c r="X43" s="6" t="n">
        <f aca="false">((X19*X9+X12*X17)*INDEX(Assumptions!$C$91:$E$91,2)+X20*(INDEX(Assumptions!$C$93:$E$93,2)+INDEX(Assumptions!$C$282:$E$282,2))+X19*(1-X9)*INDEX(Assumptions!$C$92:$E$92,2)+X21*INDEX(Assumptions!$C$94:$E$94,2)+X22*INDEX(Assumptions!$C$95:$E$95,2)+X23*INDEX(Assumptions!$C$84:$E$84,2)+X25*INDEX(Assumptions!$C$97:$E$97,2)+X19*INDEX(Assumptions!$C$240:$E$240,2)*INDEX(Assumptions!$C$69:$E$69,2)+X26*INDEX(Assumptions!$C$266:$E$266,2)+(X32+X33+X34)*100000*(1+INDEX(Assumptions!$C$15:$E$15,2)*INDEX(Assumptions!$C$16:$E$16,2))*INDEX(Assumptions!$C$70:$E$70,2)*INDEX(Assumptions!$C$71:$E$71,2)+X40*100000*(1+INDEX(Assumptions!$C$15:$E$15,2)*INDEX(Assumptions!$C$16:$E$16,2))*INDEX(Assumptions!$C$76:$E$76,2)+X37*100000*INDEX(Assumptions!$C$258:$E$258,2))/100000</f>
        <v>17.7470726255303</v>
      </c>
      <c r="Y43" s="6" t="n">
        <f aca="false">((Y19*Y9+Y12*Y17)*INDEX(Assumptions!$C$91:$E$91,2)+Y20*(INDEX(Assumptions!$C$93:$E$93,2)+INDEX(Assumptions!$C$282:$E$282,2))+Y19*(1-Y9)*INDEX(Assumptions!$C$92:$E$92,2)+Y21*INDEX(Assumptions!$C$94:$E$94,2)+Y22*INDEX(Assumptions!$C$95:$E$95,2)+Y23*INDEX(Assumptions!$C$84:$E$84,2)+Y25*INDEX(Assumptions!$C$97:$E$97,2)+Y19*INDEX(Assumptions!$C$240:$E$240,2)*INDEX(Assumptions!$C$69:$E$69,2)+Y26*INDEX(Assumptions!$C$266:$E$266,2)+(Y32+Y33+Y34)*100000*(1+INDEX(Assumptions!$C$15:$E$15,2)*INDEX(Assumptions!$C$16:$E$16,2))*INDEX(Assumptions!$C$70:$E$70,2)*INDEX(Assumptions!$C$71:$E$71,2)+Y40*100000*(1+INDEX(Assumptions!$C$15:$E$15,2)*INDEX(Assumptions!$C$16:$E$16,2))*INDEX(Assumptions!$C$76:$E$76,2)+Y37*100000*INDEX(Assumptions!$C$258:$E$258,2))/100000</f>
        <v>25.8845495740479</v>
      </c>
      <c r="Z43" s="6" t="n">
        <f aca="false">Staged_G1M9!O77/100000</f>
        <v>13.6692667212555</v>
      </c>
      <c r="AA43" s="6" t="n">
        <f aca="false">((AA19*AA9+AA12*AA17)*INDEX(Assumptions!$C$91:$E$91,2)+AA20*(INDEX(Assumptions!$C$93:$E$93,2)+INDEX(Assumptions!$C$282:$E$282,2))+AA19*(1-AA9)*INDEX(Assumptions!$C$92:$E$92,2)+AA21*INDEX(Assumptions!$C$94:$E$94,2)+AA22*INDEX(Assumptions!$C$95:$E$95,2)+AA23*INDEX(Assumptions!$C$84:$E$84,2)+AA25*INDEX(Assumptions!$C$97:$E$97,2)+AA19*INDEX(Assumptions!$C$240:$E$240,2)*INDEX(Assumptions!$C$69:$E$69,2)+AA26*INDEX(Assumptions!$C$266:$E$266,2)+(AA32+AA33+AA34)*100000*(1+INDEX(Assumptions!$C$15:$E$15,2)*INDEX(Assumptions!$C$16:$E$16,2))*INDEX(Assumptions!$C$70:$E$70,2)*INDEX(Assumptions!$C$71:$E$71,2)+AA40*100000*(1+INDEX(Assumptions!$C$15:$E$15,2)*INDEX(Assumptions!$C$16:$E$16,2))*INDEX(Assumptions!$C$76:$E$76,2)+AA37*100000*INDEX(Assumptions!$C$258:$E$258,2))/100000</f>
        <v>16.5416144887652</v>
      </c>
      <c r="AB43" s="6" t="n">
        <f aca="false">((AB19*AB9+AB12*AB17)*INDEX(Assumptions!$C$91:$E$91,2)+AB20*(INDEX(Assumptions!$C$93:$E$93,2)+INDEX(Assumptions!$C$282:$E$282,2))+AB19*(1-AB9)*INDEX(Assumptions!$C$92:$E$92,2)+AB21*INDEX(Assumptions!$C$94:$E$94,2)+AB22*INDEX(Assumptions!$C$95:$E$95,2)+AB23*INDEX(Assumptions!$C$84:$E$84,2)+AB25*INDEX(Assumptions!$C$97:$E$97,2)+AB19*INDEX(Assumptions!$C$240:$E$240,2)*INDEX(Assumptions!$C$69:$E$69,2)+AB26*INDEX(Assumptions!$C$266:$E$266,2)+(AB32+AB33+AB34)*100000*(1+INDEX(Assumptions!$C$15:$E$15,2)*INDEX(Assumptions!$C$16:$E$16,2))*INDEX(Assumptions!$C$70:$E$70,2)*INDEX(Assumptions!$C$71:$E$71,2)+AB40*100000*(1+INDEX(Assumptions!$C$15:$E$15,2)*INDEX(Assumptions!$C$16:$E$16,2))*INDEX(Assumptions!$C$76:$E$76,2)+AB37*100000*INDEX(Assumptions!$C$258:$E$258,2))/100000</f>
        <v>21.8519011448885</v>
      </c>
      <c r="AC43" s="2"/>
    </row>
    <row r="44" customFormat="false" ht="15" hidden="false" customHeight="false" outlineLevel="0" collapsed="false">
      <c r="A44" s="21" t="s">
        <v>1080</v>
      </c>
      <c r="B44" s="6" t="n">
        <f aca="false">SUM(Outlook_Conservative!C86:N86)/100000</f>
        <v>6.15</v>
      </c>
      <c r="C44" s="6" t="n">
        <f aca="false">(MAX(1,ROUNDUP(C16*C17/12/INDEX(Assumptions!$C$102:$E$102,1)*(1-C27)/INDEX(Assumptions!$C$101:$E$101,1),0))*(INDEX(Assumptions!$C$98:$E$98,1)+INDEX(Assumptions!$C$99:$E$99,1))/2+ROUNDUP(C16*C17/12/INDEX(Assumptions!$C$102:$E$102,1)/2,0)*INDEX(Assumptions!$C$100:$E$100,1))*12*(1+INDEX(Assumptions!$C$269:$E$269,1))^1/100000</f>
        <v>10.56</v>
      </c>
      <c r="D44" s="6" t="n">
        <f aca="false">(MAX(1,ROUNDUP(D16*D17/12/INDEX(Assumptions!$C$102:$E$102,1)*(1-D27)/INDEX(Assumptions!$C$101:$E$101,1),0))*(INDEX(Assumptions!$C$98:$E$98,1)+INDEX(Assumptions!$C$99:$E$99,1))/2+ROUNDUP(D16*D17/12/INDEX(Assumptions!$C$102:$E$102,1)/2,0)*INDEX(Assumptions!$C$100:$E$100,1))*12*(1+INDEX(Assumptions!$C$269:$E$269,1))^2/100000</f>
        <v>11.616</v>
      </c>
      <c r="E44" s="6" t="n">
        <f aca="false">SUM(Outlook_Base!C86:N86)/100000</f>
        <v>9.84</v>
      </c>
      <c r="F44" s="6" t="n">
        <f aca="false">(MAX(1,ROUNDUP(F16*F17/12/INDEX(Assumptions!$C$102:$E$102,2)*(1-F27)/INDEX(Assumptions!$C$101:$E$101,2),0))*(INDEX(Assumptions!$C$98:$E$98,2)+INDEX(Assumptions!$C$99:$E$99,2))/2+ROUNDUP(F16*F17/12/INDEX(Assumptions!$C$102:$E$102,2)/2,0)*INDEX(Assumptions!$C$100:$E$100,2))*12*(1+INDEX(Assumptions!$C$269:$E$269,2))^1/100000</f>
        <v>17.3664</v>
      </c>
      <c r="G44" s="6" t="n">
        <f aca="false">(MAX(1,ROUNDUP(G16*G17/12/INDEX(Assumptions!$C$102:$E$102,2)*(1-G27)/INDEX(Assumptions!$C$101:$E$101,2),0))*(INDEX(Assumptions!$C$98:$E$98,2)+INDEX(Assumptions!$C$99:$E$99,2))/2+ROUNDUP(G16*G17/12/INDEX(Assumptions!$C$102:$E$102,2)/2,0)*INDEX(Assumptions!$C$100:$E$100,2))*12*(1+INDEX(Assumptions!$C$269:$E$269,2))^2/100000</f>
        <v>18.755712</v>
      </c>
      <c r="H44" s="6" t="n">
        <f aca="false">SUM(Outlook_Aggressive!C86:N86)/100000</f>
        <v>11.56</v>
      </c>
      <c r="I44" s="6" t="n">
        <f aca="false">(MAX(1,ROUNDUP(I16*I17/12/INDEX(Assumptions!$C$102:$E$102,3)*(1-I27)/INDEX(Assumptions!$C$101:$E$101,3),0))*(INDEX(Assumptions!$C$98:$E$98,3)+INDEX(Assumptions!$C$99:$E$99,3))/2+ROUNDUP(I16*I17/12/INDEX(Assumptions!$C$102:$E$102,3)/2,0)*INDEX(Assumptions!$C$100:$E$100,3))*12*(1+INDEX(Assumptions!$C$269:$E$269,3))^1/100000</f>
        <v>15.4224</v>
      </c>
      <c r="J44" s="6" t="n">
        <f aca="false">(MAX(1,ROUNDUP(J16*J17/12/INDEX(Assumptions!$C$102:$E$102,3)*(1-J27)/INDEX(Assumptions!$C$101:$E$101,3),0))*(INDEX(Assumptions!$C$98:$E$98,3)+INDEX(Assumptions!$C$99:$E$99,3))/2+ROUNDUP(J16*J17/12/INDEX(Assumptions!$C$102:$E$102,3)/2,0)*INDEX(Assumptions!$C$100:$E$100,3))*12*(1+INDEX(Assumptions!$C$269:$E$269,3))^2/100000</f>
        <v>24.984288</v>
      </c>
      <c r="K44" s="6" t="n">
        <f aca="false">SUM(Staged_G1M6!C86:N86)/100000</f>
        <v>10.98</v>
      </c>
      <c r="L44" s="6" t="n">
        <f aca="false">(MAX(1,ROUNDUP(L16*L17/12/INDEX(Assumptions!$C$102:$E$102,2)*(1-L27)/INDEX(Assumptions!$C$101:$E$101,2),0))*(INDEX(Assumptions!$C$98:$E$98,2)+INDEX(Assumptions!$C$99:$E$99,2))/2+ROUNDUP(L16*L17/12/INDEX(Assumptions!$C$102:$E$102,2)/2,0)*INDEX(Assumptions!$C$100:$E$100,2))*12*(1+INDEX(Assumptions!$C$269:$E$269,2))^1/100000</f>
        <v>17.3664</v>
      </c>
      <c r="M44" s="6" t="n">
        <f aca="false">(MAX(1,ROUNDUP(M16*M17/12/INDEX(Assumptions!$C$102:$E$102,2)*(1-M27)/INDEX(Assumptions!$C$101:$E$101,2),0))*(INDEX(Assumptions!$C$98:$E$98,2)+INDEX(Assumptions!$C$99:$E$99,2))/2+ROUNDUP(M16*M17/12/INDEX(Assumptions!$C$102:$E$102,2)/2,0)*INDEX(Assumptions!$C$100:$E$100,2))*12*(1+INDEX(Assumptions!$C$269:$E$269,2))^2/100000</f>
        <v>18.755712</v>
      </c>
      <c r="N44" s="6" t="n">
        <f aca="false">SUM(Staged_G1M9!C86:N86)/100000</f>
        <v>10.44</v>
      </c>
      <c r="O44" s="6" t="n">
        <f aca="false">(MAX(1,ROUNDUP(O16*O17/12/INDEX(Assumptions!$C$102:$E$102,2)*(1-O27)/INDEX(Assumptions!$C$101:$E$101,2),0))*(INDEX(Assumptions!$C$98:$E$98,2)+INDEX(Assumptions!$C$99:$E$99,2))/2+ROUNDUP(O16*O17/12/INDEX(Assumptions!$C$102:$E$102,2)/2,0)*INDEX(Assumptions!$C$100:$E$100,2))*12*(1+INDEX(Assumptions!$C$269:$E$269,2))^1/100000</f>
        <v>11.016</v>
      </c>
      <c r="P44" s="6" t="n">
        <f aca="false">(MAX(1,ROUNDUP(P16*P17/12/INDEX(Assumptions!$C$102:$E$102,2)*(1-P27)/INDEX(Assumptions!$C$101:$E$101,2),0))*(INDEX(Assumptions!$C$98:$E$98,2)+INDEX(Assumptions!$C$99:$E$99,2))/2+ROUNDUP(P16*P17/12/INDEX(Assumptions!$C$102:$E$102,2)/2,0)*INDEX(Assumptions!$C$100:$E$100,2))*12*(1+INDEX(Assumptions!$C$269:$E$269,2))^2/100000</f>
        <v>18.755712</v>
      </c>
      <c r="Q44" s="6" t="n">
        <f aca="false">SUM(Staged_G1M9!C86:N86)/100000</f>
        <v>10.44</v>
      </c>
      <c r="R44" s="6" t="n">
        <f aca="false">(MAX(1,ROUNDUP(R16*R17/12/INDEX(Assumptions!$C$102:$E$102,2)*(1-R27)/INDEX(Assumptions!$C$101:$E$101,2),0))*(INDEX(Assumptions!$C$98:$E$98,2)+INDEX(Assumptions!$C$99:$E$99,2))/2+ROUNDUP(R16*R17/12/INDEX(Assumptions!$C$102:$E$102,2)/2,0)*INDEX(Assumptions!$C$100:$E$100,2))*12*(1+INDEX(Assumptions!$C$269:$E$269,2))^1/100000</f>
        <v>11.016</v>
      </c>
      <c r="S44" s="6" t="n">
        <f aca="false">(MAX(1,ROUNDUP(S16*S17/12/INDEX(Assumptions!$C$102:$E$102,2)*(1-S27)/INDEX(Assumptions!$C$101:$E$101,2),0))*(INDEX(Assumptions!$C$98:$E$98,2)+INDEX(Assumptions!$C$99:$E$99,2))/2+ROUNDUP(S16*S17/12/INDEX(Assumptions!$C$102:$E$102,2)/2,0)*INDEX(Assumptions!$C$100:$E$100,2))*12*(1+INDEX(Assumptions!$C$269:$E$269,2))^2/100000</f>
        <v>18.755712</v>
      </c>
      <c r="T44" s="6" t="n">
        <f aca="false">SUM(Staged_G1M9!C86:N86)/100000</f>
        <v>10.44</v>
      </c>
      <c r="U44" s="6" t="n">
        <f aca="false">(MAX(1,ROUNDUP(U16*U17/12/INDEX(Assumptions!$C$102:$E$102,2)*(1-U27)/INDEX(Assumptions!$C$101:$E$101,2),0))*(INDEX(Assumptions!$C$98:$E$98,2)+INDEX(Assumptions!$C$99:$E$99,2))/2+ROUNDUP(U16*U17/12/INDEX(Assumptions!$C$102:$E$102,2)/2,0)*INDEX(Assumptions!$C$100:$E$100,2))*12*(1+INDEX(Assumptions!$C$269:$E$269,2))^1/100000</f>
        <v>11.016</v>
      </c>
      <c r="V44" s="6" t="n">
        <f aca="false">(MAX(1,ROUNDUP(V16*V17/12/INDEX(Assumptions!$C$102:$E$102,2)*(1-V27)/INDEX(Assumptions!$C$101:$E$101,2),0))*(INDEX(Assumptions!$C$98:$E$98,2)+INDEX(Assumptions!$C$99:$E$99,2))/2+ROUNDUP(V16*V17/12/INDEX(Assumptions!$C$102:$E$102,2)/2,0)*INDEX(Assumptions!$C$100:$E$100,2))*12*(1+INDEX(Assumptions!$C$269:$E$269,2))^2/100000</f>
        <v>18.755712</v>
      </c>
      <c r="W44" s="6" t="n">
        <f aca="false">SUM(Staged_G1M9!C86:N86)/100000</f>
        <v>10.44</v>
      </c>
      <c r="X44" s="6" t="n">
        <f aca="false">(MAX(1,ROUNDUP(X16*X17/12/INDEX(Assumptions!$C$102:$E$102,2)*(1-X27)/INDEX(Assumptions!$C$101:$E$101,2),0))*(INDEX(Assumptions!$C$98:$E$98,2)+INDEX(Assumptions!$C$99:$E$99,2))/2+ROUNDUP(X16*X17/12/INDEX(Assumptions!$C$102:$E$102,2)/2,0)*INDEX(Assumptions!$C$100:$E$100,2))*12*(1+INDEX(Assumptions!$C$269:$E$269,2))^1/100000</f>
        <v>11.016</v>
      </c>
      <c r="Y44" s="6" t="n">
        <f aca="false">(MAX(1,ROUNDUP(Y16*Y17/12/INDEX(Assumptions!$C$102:$E$102,2)*(1-Y27)/INDEX(Assumptions!$C$101:$E$101,2),0))*(INDEX(Assumptions!$C$98:$E$98,2)+INDEX(Assumptions!$C$99:$E$99,2))/2+ROUNDUP(Y16*Y17/12/INDEX(Assumptions!$C$102:$E$102,2)/2,0)*INDEX(Assumptions!$C$100:$E$100,2))*12*(1+INDEX(Assumptions!$C$269:$E$269,2))^2/100000</f>
        <v>18.755712</v>
      </c>
      <c r="Z44" s="6" t="n">
        <f aca="false">SUM(Staged_G1M9!C86:N86)/100000</f>
        <v>10.44</v>
      </c>
      <c r="AA44" s="6" t="n">
        <f aca="false">(MAX(1,ROUNDUP(AA16*AA17/12/INDEX(Assumptions!$C$102:$E$102,2)*(1-AA27)/INDEX(Assumptions!$C$101:$E$101,2),0))*(INDEX(Assumptions!$C$98:$E$98,2)+INDEX(Assumptions!$C$99:$E$99,2))/2+ROUNDUP(AA16*AA17/12/INDEX(Assumptions!$C$102:$E$102,2)/2,0)*INDEX(Assumptions!$C$100:$E$100,2))*12*(1+INDEX(Assumptions!$C$269:$E$269,2))^1/100000</f>
        <v>11.016</v>
      </c>
      <c r="AB44" s="6" t="n">
        <f aca="false">(MAX(1,ROUNDUP(AB16*AB17/12/INDEX(Assumptions!$C$102:$E$102,2)*(1-AB27)/INDEX(Assumptions!$C$101:$E$101,2),0))*(INDEX(Assumptions!$C$98:$E$98,2)+INDEX(Assumptions!$C$99:$E$99,2))/2+ROUNDUP(AB16*AB17/12/INDEX(Assumptions!$C$102:$E$102,2)/2,0)*INDEX(Assumptions!$C$100:$E$100,2))*12*(1+INDEX(Assumptions!$C$269:$E$269,2))^2/100000</f>
        <v>18.755712</v>
      </c>
      <c r="AC44" s="2"/>
    </row>
    <row r="45" customFormat="false" ht="15" hidden="false" customHeight="false" outlineLevel="0" collapsed="false">
      <c r="A45" s="21" t="s">
        <v>1081</v>
      </c>
      <c r="B45" s="6" t="n">
        <f aca="false">SUM(Outlook_Conservative!C87:N88)/100000</f>
        <v>3.44</v>
      </c>
      <c r="C45" s="6" t="n">
        <f aca="false">(INDEX(Assumptions!$C$275:$E$275,1)*INDEX(Assumptions!$C$108:$E$108,1)+Outlook_Conservative!N88)*12*(1+INDEX(Assumptions!$C$269:$E$269,1))^1/100000</f>
        <v>4.224</v>
      </c>
      <c r="D45" s="6" t="n">
        <f aca="false">(INDEX(Assumptions!$C$276:$E$276,1)*INDEX(Assumptions!$C$108:$E$108,1)+Outlook_Conservative!N88)*12*(1+INDEX(Assumptions!$C$269:$E$269,1))^2/100000</f>
        <v>4.6464</v>
      </c>
      <c r="E45" s="6" t="n">
        <f aca="false">SUM(Outlook_Base!C87:N88)/100000</f>
        <v>13.5</v>
      </c>
      <c r="F45" s="6" t="n">
        <f aca="false">(INDEX(Assumptions!$C$275:$E$275,2)*INDEX(Assumptions!$C$108:$E$108,2)+Outlook_Base!N88)*12*(1+INDEX(Assumptions!$C$269:$E$269,2))^1/100000</f>
        <v>16.524</v>
      </c>
      <c r="G45" s="6" t="n">
        <f aca="false">(INDEX(Assumptions!$C$276:$E$276,2)*INDEX(Assumptions!$C$108:$E$108,2)+Outlook_Base!N88)*12*(1+INDEX(Assumptions!$C$269:$E$269,2))^2/100000</f>
        <v>19.59552</v>
      </c>
      <c r="H45" s="6" t="n">
        <f aca="false">SUM(Outlook_Aggressive!C87:N88)/100000</f>
        <v>22.85</v>
      </c>
      <c r="I45" s="6" t="n">
        <f aca="false">(INDEX(Assumptions!$C$275:$E$275,3)*INDEX(Assumptions!$C$108:$E$108,3)+Outlook_Aggressive!N88)*12*(1+INDEX(Assumptions!$C$269:$E$269,3))^1/100000</f>
        <v>27.216</v>
      </c>
      <c r="J45" s="6" t="n">
        <f aca="false">(INDEX(Assumptions!$C$276:$E$276,3)*INDEX(Assumptions!$C$108:$E$108,3)+Outlook_Aggressive!N88)*12*(1+INDEX(Assumptions!$C$269:$E$269,3))^2/100000</f>
        <v>31.14288</v>
      </c>
      <c r="K45" s="6" t="n">
        <f aca="false">SUM(Staged_G1M6!C87:N88)/100000</f>
        <v>13.5</v>
      </c>
      <c r="L45" s="6" t="n">
        <f aca="false">(INDEX(Assumptions!$C$275:$E$275,2)*INDEX(Assumptions!$C$108:$E$108,2)+Staged_G1M6!N88)*12*(1+INDEX(Assumptions!$C$269:$E$269,2))^1/100000</f>
        <v>16.524</v>
      </c>
      <c r="M45" s="6" t="n">
        <f aca="false">(INDEX(Assumptions!$C$276:$E$276,2)*INDEX(Assumptions!$C$108:$E$108,2)+Staged_G1M6!N88)*12*(1+INDEX(Assumptions!$C$269:$E$269,2))^2/100000</f>
        <v>19.59552</v>
      </c>
      <c r="N45" s="6" t="n">
        <f aca="false">SUM(Staged_G1M9!C87:N88)/100000</f>
        <v>13.125</v>
      </c>
      <c r="O45" s="6" t="n">
        <f aca="false">(INDEX(Assumptions!$C$275:$E$275,2)*INDEX(Assumptions!$C$108:$E$108,2)+Staged_G1M9!N88)*12*(1+INDEX(Assumptions!$C$269:$E$269,2))^1/100000</f>
        <v>16.524</v>
      </c>
      <c r="P45" s="6" t="n">
        <f aca="false">(INDEX(Assumptions!$C$276:$E$276,2)*INDEX(Assumptions!$C$108:$E$108,2)+Staged_G1M9!N88)*12*(1+INDEX(Assumptions!$C$269:$E$269,2))^2/100000</f>
        <v>19.59552</v>
      </c>
      <c r="Q45" s="6" t="n">
        <f aca="false">SUM(Staged_G1M9!C87:N88)/100000</f>
        <v>13.125</v>
      </c>
      <c r="R45" s="6" t="n">
        <f aca="false">(INDEX(Assumptions!$C$275:$E$275,2)*INDEX(Assumptions!$C$108:$E$108,2)+Staged_G1M9!N88)*12*(1+INDEX(Assumptions!$C$269:$E$269,2))^1/100000</f>
        <v>16.524</v>
      </c>
      <c r="S45" s="6" t="n">
        <f aca="false">(INDEX(Assumptions!$C$276:$E$276,2)*INDEX(Assumptions!$C$108:$E$108,2)+Staged_G1M9!N88)*12*(1+INDEX(Assumptions!$C$269:$E$269,2))^2/100000</f>
        <v>19.59552</v>
      </c>
      <c r="T45" s="6" t="n">
        <f aca="false">SUM(Staged_G1M9!C87:N88)/100000</f>
        <v>13.125</v>
      </c>
      <c r="U45" s="6" t="n">
        <f aca="false">(INDEX(Assumptions!$C$275:$E$275,2)*INDEX(Assumptions!$C$108:$E$108,2)+Staged_G1M9!N88)*12*(1+INDEX(Assumptions!$C$269:$E$269,2))^1/100000</f>
        <v>16.524</v>
      </c>
      <c r="V45" s="6" t="n">
        <f aca="false">(INDEX(Assumptions!$C$276:$E$276,2)*INDEX(Assumptions!$C$108:$E$108,2)+Staged_G1M9!N88)*12*(1+INDEX(Assumptions!$C$269:$E$269,2))^2/100000</f>
        <v>19.59552</v>
      </c>
      <c r="W45" s="6" t="n">
        <f aca="false">SUM(Staged_G1M9!C87:N88)/100000</f>
        <v>13.125</v>
      </c>
      <c r="X45" s="6" t="n">
        <f aca="false">(INDEX(Assumptions!$C$275:$E$275,2)*INDEX(Assumptions!$C$108:$E$108,2)+Staged_G1M9!N88)*12*(1+INDEX(Assumptions!$C$269:$E$269,2))^1/100000</f>
        <v>16.524</v>
      </c>
      <c r="Y45" s="6" t="n">
        <f aca="false">(INDEX(Assumptions!$C$276:$E$276,2)*INDEX(Assumptions!$C$108:$E$108,2)+Staged_G1M9!N88)*12*(1+INDEX(Assumptions!$C$269:$E$269,2))^2/100000</f>
        <v>19.59552</v>
      </c>
      <c r="Z45" s="6" t="n">
        <f aca="false">SUM(Staged_G1M9!C87:N88)/100000</f>
        <v>13.125</v>
      </c>
      <c r="AA45" s="6" t="n">
        <f aca="false">(INDEX(Assumptions!$C$275:$E$275,2)*INDEX(Assumptions!$C$108:$E$108,2)+Staged_G1M9!N88)*12*(1+INDEX(Assumptions!$C$269:$E$269,2))^1/100000</f>
        <v>16.524</v>
      </c>
      <c r="AB45" s="6" t="n">
        <f aca="false">(INDEX(Assumptions!$C$276:$E$276,2)*INDEX(Assumptions!$C$108:$E$108,2)+Staged_G1M9!N88)*12*(1+INDEX(Assumptions!$C$269:$E$269,2))^2/100000</f>
        <v>19.59552</v>
      </c>
      <c r="AC45" s="2"/>
    </row>
    <row r="46" customFormat="false" ht="15" hidden="false" customHeight="false" outlineLevel="0" collapsed="false">
      <c r="A46" s="21" t="s">
        <v>1082</v>
      </c>
      <c r="B46" s="6" t="n">
        <f aca="false">SUM(Outlook_Conservative!C89:N91)/100000</f>
        <v>0</v>
      </c>
      <c r="C46" s="6" t="n">
        <f aca="false">(INDEX(Assumptions!$C$277:$E$277,1)*INDEX(Assumptions!$C$228:$E$228,1)+Outlook_Conservative!N89+Outlook_Conservative!N91)*12*(1+INDEX(Assumptions!$C$269:$E$269,1))^1/100000</f>
        <v>0</v>
      </c>
      <c r="D46" s="6" t="n">
        <f aca="false">(INDEX(Assumptions!$C$278:$E$278,1)*INDEX(Assumptions!$C$228:$E$228,1)+Outlook_Conservative!N89+Outlook_Conservative!N91)*12*(1+INDEX(Assumptions!$C$269:$E$269,1))^2/100000</f>
        <v>4.719</v>
      </c>
      <c r="E46" s="6" t="n">
        <f aca="false">SUM(Outlook_Base!C89:N91)/100000</f>
        <v>1.08</v>
      </c>
      <c r="F46" s="6" t="n">
        <f aca="false">(INDEX(Assumptions!$C$277:$E$277,2)*INDEX(Assumptions!$C$228:$E$228,2)+Outlook_Base!N89+Outlook_Base!N91)*12*(1+INDEX(Assumptions!$C$269:$E$269,2))^1/100000</f>
        <v>10.7568</v>
      </c>
      <c r="G46" s="6" t="n">
        <f aca="false">(INDEX(Assumptions!$C$278:$E$278,2)*INDEX(Assumptions!$C$228:$E$228,2)+Outlook_Base!N89+Outlook_Base!N91)*12*(1+INDEX(Assumptions!$C$269:$E$269,2))^2/100000</f>
        <v>11.617344</v>
      </c>
      <c r="H46" s="6" t="n">
        <f aca="false">SUM(Outlook_Aggressive!C89:N91)/100000</f>
        <v>3.57</v>
      </c>
      <c r="I46" s="6" t="n">
        <f aca="false">(INDEX(Assumptions!$C$277:$E$277,3)*INDEX(Assumptions!$C$228:$E$228,3)+Outlook_Aggressive!N89+Outlook_Aggressive!N91)*12*(1+INDEX(Assumptions!$C$269:$E$269,3))^1/100000</f>
        <v>10.7568</v>
      </c>
      <c r="J46" s="6" t="n">
        <f aca="false">(INDEX(Assumptions!$C$278:$E$278,3)*INDEX(Assumptions!$C$228:$E$228,3)+Outlook_Aggressive!N89+Outlook_Aggressive!N91)*12*(1+INDEX(Assumptions!$C$269:$E$269,3))^2/100000</f>
        <v>11.617344</v>
      </c>
      <c r="K46" s="6" t="n">
        <f aca="false">SUM(Staged_G1M6!C89:N91)/100000</f>
        <v>2.88</v>
      </c>
      <c r="L46" s="6" t="n">
        <f aca="false">(INDEX(Assumptions!$C$277:$E$277,2)*INDEX(Assumptions!$C$228:$E$228,2)+Staged_G1M6!N89+Staged_G1M6!N91)*12*(1+INDEX(Assumptions!$C$269:$E$269,2))^1/100000</f>
        <v>12.7008</v>
      </c>
      <c r="M46" s="6" t="n">
        <f aca="false">(INDEX(Assumptions!$C$278:$E$278,2)*INDEX(Assumptions!$C$228:$E$228,2)+Staged_G1M6!N89+Staged_G1M6!N91)*12*(1+INDEX(Assumptions!$C$269:$E$269,2))^2/100000</f>
        <v>13.716864</v>
      </c>
      <c r="N46" s="6" t="n">
        <f aca="false">SUM(Staged_G1M9!C89:N91)/100000</f>
        <v>2.34</v>
      </c>
      <c r="O46" s="6" t="n">
        <f aca="false">(INDEX(Assumptions!$C$277:$E$277,2)*INDEX(Assumptions!$C$228:$E$228,2)+Staged_G1M9!N89+Staged_G1M9!N91)*12*(1+INDEX(Assumptions!$C$269:$E$269,2))^1/100000</f>
        <v>12.7008</v>
      </c>
      <c r="P46" s="6" t="n">
        <f aca="false">(INDEX(Assumptions!$C$278:$E$278,2)*INDEX(Assumptions!$C$228:$E$228,2)+Staged_G1M9!N89+Staged_G1M9!N91)*12*(1+INDEX(Assumptions!$C$269:$E$269,2))^2/100000</f>
        <v>13.716864</v>
      </c>
      <c r="Q46" s="6" t="n">
        <f aca="false">SUM(Staged_G1M9!C89:N91)/100000</f>
        <v>2.34</v>
      </c>
      <c r="R46" s="6" t="n">
        <f aca="false">(INDEX(Assumptions!$C$277:$E$277,2)*INDEX(Assumptions!$C$228:$E$228,2)+Staged_G1M9!N89+Staged_G1M9!N91)*12*(1+INDEX(Assumptions!$C$269:$E$269,2))^1/100000</f>
        <v>12.7008</v>
      </c>
      <c r="S46" s="6" t="n">
        <f aca="false">(INDEX(Assumptions!$C$278:$E$278,2)*INDEX(Assumptions!$C$228:$E$228,2)+Staged_G1M9!N89+Staged_G1M9!N91)*12*(1+INDEX(Assumptions!$C$269:$E$269,2))^2/100000</f>
        <v>13.716864</v>
      </c>
      <c r="T46" s="6" t="n">
        <f aca="false">SUM(Staged_G1M9!C89:N91)/100000</f>
        <v>2.34</v>
      </c>
      <c r="U46" s="6" t="n">
        <f aca="false">(INDEX(Assumptions!$C$277:$E$277,2)*INDEX(Assumptions!$C$228:$E$228,2)+Staged_G1M9!N89+Staged_G1M9!N91)*12*(1+INDEX(Assumptions!$C$269:$E$269,2))^1/100000</f>
        <v>12.7008</v>
      </c>
      <c r="V46" s="6" t="n">
        <f aca="false">(INDEX(Assumptions!$C$278:$E$278,2)*INDEX(Assumptions!$C$228:$E$228,2)+Staged_G1M9!N89+Staged_G1M9!N91)*12*(1+INDEX(Assumptions!$C$269:$E$269,2))^2/100000</f>
        <v>13.716864</v>
      </c>
      <c r="W46" s="6" t="n">
        <f aca="false">SUM(Staged_G1M9!C89:N91)/100000</f>
        <v>2.34</v>
      </c>
      <c r="X46" s="6" t="n">
        <f aca="false">(INDEX(Assumptions!$C$277:$E$277,2)*INDEX(Assumptions!$C$228:$E$228,2)+Staged_G1M9!N89+Staged_G1M9!N91)*12*(1+INDEX(Assumptions!$C$269:$E$269,2))^1/100000</f>
        <v>12.7008</v>
      </c>
      <c r="Y46" s="6" t="n">
        <f aca="false">(INDEX(Assumptions!$C$278:$E$278,2)*INDEX(Assumptions!$C$228:$E$228,2)+Staged_G1M9!N89+Staged_G1M9!N91)*12*(1+INDEX(Assumptions!$C$269:$E$269,2))^2/100000</f>
        <v>13.716864</v>
      </c>
      <c r="Z46" s="6" t="n">
        <f aca="false">SUM(Staged_G1M9!C89:N91)/100000</f>
        <v>2.34</v>
      </c>
      <c r="AA46" s="6" t="n">
        <f aca="false">(INDEX(Assumptions!$C$277:$E$277,2)*INDEX(Assumptions!$C$228:$E$228,2)+Staged_G1M9!N89+Staged_G1M9!N91)*12*(1+INDEX(Assumptions!$C$269:$E$269,2))^1/100000</f>
        <v>12.7008</v>
      </c>
      <c r="AB46" s="6" t="n">
        <f aca="false">(INDEX(Assumptions!$C$278:$E$278,2)*INDEX(Assumptions!$C$228:$E$228,2)+Staged_G1M9!N89+Staged_G1M9!N91)*12*(1+INDEX(Assumptions!$C$269:$E$269,2))^2/100000</f>
        <v>13.716864</v>
      </c>
      <c r="AC46" s="2" t="s">
        <v>1083</v>
      </c>
    </row>
    <row r="47" customFormat="false" ht="15" hidden="false" customHeight="false" outlineLevel="0" collapsed="false">
      <c r="A47" s="21" t="s">
        <v>1084</v>
      </c>
      <c r="B47" s="6" t="n">
        <f aca="false">(Outlook_Conservative!O94+Outlook_Conservative!O95)/100000</f>
        <v>6.84</v>
      </c>
      <c r="C47" s="6" t="n">
        <f aca="false">(Outlook_Conservative!N94+Outlook_Conservative!N95)*12*(1+INDEX(Assumptions!$C$270:$E$270,1))^1/100000</f>
        <v>7.182</v>
      </c>
      <c r="D47" s="6" t="n">
        <f aca="false">(Outlook_Conservative!N94+Outlook_Conservative!N95)*12*(1+INDEX(Assumptions!$C$270:$E$270,1))^2/100000</f>
        <v>7.5411</v>
      </c>
      <c r="E47" s="6" t="n">
        <f aca="false">(Outlook_Base!O94+Outlook_Base!O95)/100000</f>
        <v>9.876</v>
      </c>
      <c r="F47" s="6" t="n">
        <f aca="false">(Outlook_Base!N94+Outlook_Base!N95)*12*(1+INDEX(Assumptions!$C$270:$E$270,2))^1/100000</f>
        <v>15.0696</v>
      </c>
      <c r="G47" s="6" t="n">
        <f aca="false">(Outlook_Base!N94+Outlook_Base!N95)*12*(1+INDEX(Assumptions!$C$270:$E$270,2))^2/100000</f>
        <v>15.82308</v>
      </c>
      <c r="H47" s="6" t="n">
        <f aca="false">(Outlook_Aggressive!O94+Outlook_Aggressive!O95)/100000</f>
        <v>14.598</v>
      </c>
      <c r="I47" s="6" t="n">
        <f aca="false">(Outlook_Aggressive!N94+Outlook_Aggressive!N95)*12*(1+INDEX(Assumptions!$C$270:$E$270,3))^1/100000</f>
        <v>18.5472</v>
      </c>
      <c r="J47" s="6" t="n">
        <f aca="false">(Outlook_Aggressive!N94+Outlook_Aggressive!N95)*12*(1+INDEX(Assumptions!$C$270:$E$270,3))^2/100000</f>
        <v>19.47456</v>
      </c>
      <c r="K47" s="6" t="n">
        <f aca="false">(Staged_G1M6!O94+Staged_G1M6!O95)/100000</f>
        <v>10.036</v>
      </c>
      <c r="L47" s="6" t="n">
        <f aca="false">(Staged_G1M6!N94+Staged_G1M6!N95)*12*(1+INDEX(Assumptions!$C$270:$E$270,2))^1/100000</f>
        <v>15.0696</v>
      </c>
      <c r="M47" s="6" t="n">
        <f aca="false">(Staged_G1M6!N94+Staged_G1M6!N95)*12*(1+INDEX(Assumptions!$C$270:$E$270,2))^2/100000</f>
        <v>15.82308</v>
      </c>
      <c r="N47" s="6" t="n">
        <f aca="false">(Staged_G1M9!O94+Staged_G1M9!O95)/100000</f>
        <v>8.038</v>
      </c>
      <c r="O47" s="6" t="n">
        <f aca="false">(Staged_G1M9!N94+Staged_G1M9!N95)*12*(1+INDEX(Assumptions!$C$270:$E$270,2))^1/100000</f>
        <v>15.0696</v>
      </c>
      <c r="P47" s="6" t="n">
        <f aca="false">(Staged_G1M9!N94+Staged_G1M9!N95)*12*(1+INDEX(Assumptions!$C$270:$E$270,2))^2/100000</f>
        <v>15.82308</v>
      </c>
      <c r="Q47" s="6" t="n">
        <f aca="false">(Staged_G1M9!O94+Staged_G1M9!O95)/100000</f>
        <v>8.038</v>
      </c>
      <c r="R47" s="6" t="n">
        <f aca="false">(Staged_G1M9!N94+Staged_G1M9!N95)*12*(1+INDEX(Assumptions!$C$270:$E$270,2))^1/100000</f>
        <v>15.0696</v>
      </c>
      <c r="S47" s="6" t="n">
        <f aca="false">(Staged_G1M9!N94+Staged_G1M9!N95)*12*(1+INDEX(Assumptions!$C$270:$E$270,2))^2/100000</f>
        <v>15.82308</v>
      </c>
      <c r="T47" s="6" t="n">
        <f aca="false">(Staged_G1M9!O94+Staged_G1M9!O95)/100000</f>
        <v>8.038</v>
      </c>
      <c r="U47" s="6" t="n">
        <f aca="false">(Staged_G1M9!N94+Staged_G1M9!N95)*12*(1+INDEX(Assumptions!$C$270:$E$270,2))^1/100000</f>
        <v>15.0696</v>
      </c>
      <c r="V47" s="6" t="n">
        <f aca="false">(Staged_G1M9!N94+Staged_G1M9!N95)*12*(1+INDEX(Assumptions!$C$270:$E$270,2))^2/100000</f>
        <v>15.82308</v>
      </c>
      <c r="W47" s="6" t="n">
        <f aca="false">(Staged_G1M9!O94+Staged_G1M9!O95)/100000</f>
        <v>8.038</v>
      </c>
      <c r="X47" s="6" t="n">
        <f aca="false">(Staged_G1M9!N94+Staged_G1M9!N95)*12*(1+INDEX(Assumptions!$C$270:$E$270,2))^1/100000</f>
        <v>15.0696</v>
      </c>
      <c r="Y47" s="6" t="n">
        <f aca="false">(Staged_G1M9!N94+Staged_G1M9!N95)*12*(1+INDEX(Assumptions!$C$270:$E$270,2))^2/100000</f>
        <v>15.82308</v>
      </c>
      <c r="Z47" s="6" t="n">
        <f aca="false">(Staged_G1M9!O94+Staged_G1M9!O95)/100000</f>
        <v>8.038</v>
      </c>
      <c r="AA47" s="6" t="n">
        <f aca="false">(Staged_G1M9!N94+Staged_G1M9!N95)*12*(1+INDEX(Assumptions!$C$270:$E$270,2))^1/100000</f>
        <v>15.0696</v>
      </c>
      <c r="AB47" s="6" t="n">
        <f aca="false">(Staged_G1M9!N94+Staged_G1M9!N95)*12*(1+INDEX(Assumptions!$C$270:$E$270,2))^2/100000</f>
        <v>15.82308</v>
      </c>
      <c r="AC47" s="2"/>
    </row>
    <row r="48" customFormat="false" ht="15" hidden="false" customHeight="false" outlineLevel="0" collapsed="false">
      <c r="A48" s="21" t="s">
        <v>1085</v>
      </c>
      <c r="B48" s="6" t="n">
        <f aca="false">Outlook_Conservative!O97/100000</f>
        <v>4.1</v>
      </c>
      <c r="C48" s="6" t="n">
        <f aca="false">(INDEX(Assumptions!$C$279:$E$279,1)+C20*INDEX(Assumptions!$C$281:$E$281,1)+C24*INDEX(Assumptions!$C$256:$E$256,1)*0.5)/100000</f>
        <v>3</v>
      </c>
      <c r="D48" s="6" t="n">
        <f aca="false">(INDEX(Assumptions!$C$280:$E$280,1)+D20*INDEX(Assumptions!$C$281:$E$281,1)+D24*INDEX(Assumptions!$C$256:$E$256,1)*0.5)/100000</f>
        <v>4.65</v>
      </c>
      <c r="E48" s="6" t="n">
        <f aca="false">Outlook_Base!O97/100000</f>
        <v>8.2</v>
      </c>
      <c r="F48" s="6" t="n">
        <f aca="false">(INDEX(Assumptions!$C$279:$E$279,2)+F20*INDEX(Assumptions!$C$281:$E$281,2)+F24*INDEX(Assumptions!$C$256:$E$256,2)*0.5)/100000</f>
        <v>14.475</v>
      </c>
      <c r="G48" s="6" t="n">
        <f aca="false">(INDEX(Assumptions!$C$280:$E$280,2)+G20*INDEX(Assumptions!$C$281:$E$281,2)+G24*INDEX(Assumptions!$C$256:$E$256,2)*0.5)/100000</f>
        <v>19.175</v>
      </c>
      <c r="H48" s="6" t="n">
        <f aca="false">Outlook_Aggressive!O97/100000</f>
        <v>14.9</v>
      </c>
      <c r="I48" s="6" t="n">
        <f aca="false">(INDEX(Assumptions!$C$279:$E$279,3)+I20*INDEX(Assumptions!$C$281:$E$281,3)+I24*INDEX(Assumptions!$C$256:$E$256,3)*0.5)/100000</f>
        <v>27.9877315289719</v>
      </c>
      <c r="J48" s="6" t="n">
        <f aca="false">(INDEX(Assumptions!$C$280:$E$280,3)+J20*INDEX(Assumptions!$C$281:$E$281,3)+J24*INDEX(Assumptions!$C$256:$E$256,3)*0.5)/100000</f>
        <v>33.8917447999714</v>
      </c>
      <c r="K48" s="6" t="n">
        <f aca="false">Staged_G1M6!O97/100000</f>
        <v>8.2</v>
      </c>
      <c r="L48" s="6" t="n">
        <f aca="false">(INDEX(Assumptions!$C$279:$E$279,2)+L20*INDEX(Assumptions!$C$281:$E$281,2)+L24*INDEX(Assumptions!$C$256:$E$256,2)*0.5)/100000</f>
        <v>14.475</v>
      </c>
      <c r="M48" s="6" t="n">
        <f aca="false">(INDEX(Assumptions!$C$280:$E$280,2)+M20*INDEX(Assumptions!$C$281:$E$281,2)+M24*INDEX(Assumptions!$C$256:$E$256,2)*0.5)/100000</f>
        <v>19.175</v>
      </c>
      <c r="N48" s="6" t="n">
        <f aca="false">Staged_G1M9!O97/100000</f>
        <v>7</v>
      </c>
      <c r="O48" s="6" t="n">
        <f aca="false">(INDEX(Assumptions!$C$279:$E$279,2)+O20*INDEX(Assumptions!$C$281:$E$281,2)+O24*INDEX(Assumptions!$C$256:$E$256,2)*0.5)/100000</f>
        <v>14.475</v>
      </c>
      <c r="P48" s="6" t="n">
        <f aca="false">(INDEX(Assumptions!$C$280:$E$280,2)+P20*INDEX(Assumptions!$C$281:$E$281,2)+P24*INDEX(Assumptions!$C$256:$E$256,2)*0.5)/100000</f>
        <v>19.175</v>
      </c>
      <c r="Q48" s="6" t="n">
        <f aca="false">Staged_G1M9!O97/100000</f>
        <v>7</v>
      </c>
      <c r="R48" s="6" t="n">
        <f aca="false">(INDEX(Assumptions!$C$279:$E$279,2)+R20*INDEX(Assumptions!$C$281:$E$281,2)+R24*INDEX(Assumptions!$C$256:$E$256,2)*0.5)/100000</f>
        <v>14.475</v>
      </c>
      <c r="S48" s="6" t="n">
        <f aca="false">(INDEX(Assumptions!$C$280:$E$280,2)+S20*INDEX(Assumptions!$C$281:$E$281,2)+S24*INDEX(Assumptions!$C$256:$E$256,2)*0.5)/100000</f>
        <v>19.175</v>
      </c>
      <c r="T48" s="6" t="n">
        <f aca="false">Staged_G1M9!O97/100000</f>
        <v>7</v>
      </c>
      <c r="U48" s="6" t="n">
        <f aca="false">(INDEX(Assumptions!$C$279:$E$279,2)+U20*INDEX(Assumptions!$C$281:$E$281,2)+U24*INDEX(Assumptions!$C$256:$E$256,2)*0.5)/100000</f>
        <v>14.475</v>
      </c>
      <c r="V48" s="6" t="n">
        <f aca="false">(INDEX(Assumptions!$C$280:$E$280,2)+V20*INDEX(Assumptions!$C$281:$E$281,2)+V24*INDEX(Assumptions!$C$256:$E$256,2)*0.5)/100000</f>
        <v>19.175</v>
      </c>
      <c r="W48" s="6" t="n">
        <f aca="false">Staged_G1M9!O97/100000</f>
        <v>7</v>
      </c>
      <c r="X48" s="6" t="n">
        <f aca="false">(INDEX(Assumptions!$C$279:$E$279,2)+X20*INDEX(Assumptions!$C$281:$E$281,2)+X24*INDEX(Assumptions!$C$256:$E$256,2)*0.5)/100000</f>
        <v>14.475</v>
      </c>
      <c r="Y48" s="6" t="n">
        <f aca="false">(INDEX(Assumptions!$C$280:$E$280,2)+Y20*INDEX(Assumptions!$C$281:$E$281,2)+Y24*INDEX(Assumptions!$C$256:$E$256,2)*0.5)/100000</f>
        <v>19.175</v>
      </c>
      <c r="Z48" s="6" t="n">
        <f aca="false">Staged_G1M9!O97/100000</f>
        <v>7</v>
      </c>
      <c r="AA48" s="6" t="n">
        <f aca="false">(INDEX(Assumptions!$C$279:$E$279,2)+AA20*INDEX(Assumptions!$C$281:$E$281,2)+AA24*INDEX(Assumptions!$C$256:$E$256,2)*0.5)/100000</f>
        <v>12</v>
      </c>
      <c r="AB48" s="6" t="n">
        <f aca="false">(INDEX(Assumptions!$C$280:$E$280,2)+AB20*INDEX(Assumptions!$C$281:$E$281,2)+AB24*INDEX(Assumptions!$C$256:$E$256,2)*0.5)/100000</f>
        <v>13</v>
      </c>
      <c r="AC48" s="2"/>
    </row>
    <row r="49" customFormat="false" ht="15" hidden="false" customHeight="false" outlineLevel="0" collapsed="false">
      <c r="A49" s="21" t="s">
        <v>1086</v>
      </c>
      <c r="B49" s="6" t="n">
        <f aca="false">(Outlook_Conservative!O96+Outlook_Conservative!O98+Outlook_Conservative!O99+Outlook_Conservative!O100+Outlook_Conservative!O101)/100000</f>
        <v>3.79996</v>
      </c>
      <c r="C49" s="6" t="n">
        <f aca="false">((Outlook_Conservative!N96+INDEX(Assumptions!$C$212:$E$212,1)+INDEX(Assumptions!$C$237:$E$237,1))*12+IF(C24&gt;0,INDEX(Assumptions!$C$257:$E$257,1),0))/100000</f>
        <v>2.79996</v>
      </c>
      <c r="D49" s="6" t="n">
        <f aca="false">((Outlook_Conservative!N96+INDEX(Assumptions!$C$212:$E$212,1)+INDEX(Assumptions!$C$237:$E$237,1))*12+IF(D24&gt;0,INDEX(Assumptions!$C$257:$E$257,1),0))/100000</f>
        <v>3.79996</v>
      </c>
      <c r="E49" s="6" t="n">
        <f aca="false">(Outlook_Base!O96+Outlook_Base!O98+Outlook_Base!O99+Outlook_Base!O100+Outlook_Base!O101)/100000</f>
        <v>8.75996</v>
      </c>
      <c r="F49" s="6" t="n">
        <f aca="false">((Outlook_Base!N96+INDEX(Assumptions!$C$212:$E$212,2)+INDEX(Assumptions!$C$237:$E$237,2))*12+IF(F24&gt;0,INDEX(Assumptions!$C$257:$E$257,2),0))/100000</f>
        <v>8.45996</v>
      </c>
      <c r="G49" s="6" t="n">
        <f aca="false">((Outlook_Base!N96+INDEX(Assumptions!$C$212:$E$212,2)+INDEX(Assumptions!$C$237:$E$237,2))*12+IF(G24&gt;0,INDEX(Assumptions!$C$257:$E$257,2),0))/100000</f>
        <v>8.45996</v>
      </c>
      <c r="H49" s="6" t="n">
        <f aca="false">(Outlook_Aggressive!O96+Outlook_Aggressive!O98+Outlook_Aggressive!O99+Outlook_Aggressive!O100+Outlook_Aggressive!O101)/100000</f>
        <v>13.28004</v>
      </c>
      <c r="I49" s="6" t="n">
        <f aca="false">((Outlook_Aggressive!N96+INDEX(Assumptions!$C$212:$E$212,3)+INDEX(Assumptions!$C$237:$E$237,3))*12+IF(I24&gt;0,INDEX(Assumptions!$C$257:$E$257,3),0))/100000</f>
        <v>12.26004</v>
      </c>
      <c r="J49" s="6" t="n">
        <f aca="false">((Outlook_Aggressive!N96+INDEX(Assumptions!$C$212:$E$212,3)+INDEX(Assumptions!$C$237:$E$237,3))*12+IF(J24&gt;0,INDEX(Assumptions!$C$257:$E$257,3),0))/100000</f>
        <v>12.26004</v>
      </c>
      <c r="K49" s="6" t="n">
        <f aca="false">(Staged_G1M6!O96+Staged_G1M6!O98+Staged_G1M6!O99+Staged_G1M6!O100+Staged_G1M6!O101)/100000</f>
        <v>8.75996</v>
      </c>
      <c r="L49" s="6" t="n">
        <f aca="false">((Staged_G1M6!N96+INDEX(Assumptions!$C$212:$E$212,2)+INDEX(Assumptions!$C$237:$E$237,2))*12+IF(L24&gt;0,INDEX(Assumptions!$C$257:$E$257,2),0))/100000</f>
        <v>8.45996</v>
      </c>
      <c r="M49" s="6" t="n">
        <f aca="false">((Staged_G1M6!N96+INDEX(Assumptions!$C$212:$E$212,2)+INDEX(Assumptions!$C$237:$E$237,2))*12+IF(M24&gt;0,INDEX(Assumptions!$C$257:$E$257,2),0))/100000</f>
        <v>8.45996</v>
      </c>
      <c r="N49" s="6" t="n">
        <f aca="false">(Staged_G1M9!O96+Staged_G1M9!O98+Staged_G1M9!O99+Staged_G1M9!O100+Staged_G1M9!O101)/100000</f>
        <v>8.75996</v>
      </c>
      <c r="O49" s="6" t="n">
        <f aca="false">((Staged_G1M9!N96+INDEX(Assumptions!$C$212:$E$212,2)+INDEX(Assumptions!$C$237:$E$237,2))*12+IF(O24&gt;0,INDEX(Assumptions!$C$257:$E$257,2),0))/100000</f>
        <v>8.45996</v>
      </c>
      <c r="P49" s="6" t="n">
        <f aca="false">((Staged_G1M9!N96+INDEX(Assumptions!$C$212:$E$212,2)+INDEX(Assumptions!$C$237:$E$237,2))*12+IF(P24&gt;0,INDEX(Assumptions!$C$257:$E$257,2),0))/100000</f>
        <v>8.45996</v>
      </c>
      <c r="Q49" s="6" t="n">
        <f aca="false">(Staged_G1M9!O96+Staged_G1M9!O98+Staged_G1M9!O99+Staged_G1M9!O100+Staged_G1M9!O101)/100000</f>
        <v>8.75996</v>
      </c>
      <c r="R49" s="6" t="n">
        <f aca="false">((Staged_G1M9!N96+INDEX(Assumptions!$C$212:$E$212,2)+INDEX(Assumptions!$C$237:$E$237,2))*12+IF(R24&gt;0,INDEX(Assumptions!$C$257:$E$257,2),0))/100000</f>
        <v>8.45996</v>
      </c>
      <c r="S49" s="6" t="n">
        <f aca="false">((Staged_G1M9!N96+INDEX(Assumptions!$C$212:$E$212,2)+INDEX(Assumptions!$C$237:$E$237,2))*12+IF(S24&gt;0,INDEX(Assumptions!$C$257:$E$257,2),0))/100000</f>
        <v>8.45996</v>
      </c>
      <c r="T49" s="6" t="n">
        <f aca="false">(Staged_G1M9!O96+Staged_G1M9!O98+Staged_G1M9!O99+Staged_G1M9!O100+Staged_G1M9!O101)/100000</f>
        <v>8.75996</v>
      </c>
      <c r="U49" s="6" t="n">
        <f aca="false">((Staged_G1M9!N96+INDEX(Assumptions!$C$212:$E$212,2)+INDEX(Assumptions!$C$237:$E$237,2))*12+IF(U24&gt;0,INDEX(Assumptions!$C$257:$E$257,2),0))/100000</f>
        <v>8.45996</v>
      </c>
      <c r="V49" s="6" t="n">
        <f aca="false">((Staged_G1M9!N96+INDEX(Assumptions!$C$212:$E$212,2)+INDEX(Assumptions!$C$237:$E$237,2))*12+IF(V24&gt;0,INDEX(Assumptions!$C$257:$E$257,2),0))/100000</f>
        <v>8.45996</v>
      </c>
      <c r="W49" s="6" t="n">
        <f aca="false">(Staged_G1M9!O96+Staged_G1M9!O98+Staged_G1M9!O99+Staged_G1M9!O100+Staged_G1M9!O101)/100000</f>
        <v>8.75996</v>
      </c>
      <c r="X49" s="6" t="n">
        <f aca="false">((Staged_G1M9!N96+INDEX(Assumptions!$C$212:$E$212,2)+INDEX(Assumptions!$C$237:$E$237,2))*12+IF(X24&gt;0,INDEX(Assumptions!$C$257:$E$257,2),0))/100000</f>
        <v>8.45996</v>
      </c>
      <c r="Y49" s="6" t="n">
        <f aca="false">((Staged_G1M9!N96+INDEX(Assumptions!$C$212:$E$212,2)+INDEX(Assumptions!$C$237:$E$237,2))*12+IF(Y24&gt;0,INDEX(Assumptions!$C$257:$E$257,2),0))/100000</f>
        <v>8.45996</v>
      </c>
      <c r="Z49" s="6" t="n">
        <f aca="false">(Staged_G1M9!O96+Staged_G1M9!O98+Staged_G1M9!O99+Staged_G1M9!O100+Staged_G1M9!O101)/100000</f>
        <v>8.75996</v>
      </c>
      <c r="AA49" s="6" t="n">
        <f aca="false">((Staged_G1M9!N96+INDEX(Assumptions!$C$212:$E$212,2)+INDEX(Assumptions!$C$237:$E$237,2))*12+IF(AA24&gt;0,INDEX(Assumptions!$C$257:$E$257,2),0))/100000</f>
        <v>6.45996</v>
      </c>
      <c r="AB49" s="6" t="n">
        <f aca="false">((Staged_G1M9!N96+INDEX(Assumptions!$C$212:$E$212,2)+INDEX(Assumptions!$C$237:$E$237,2))*12+IF(AB24&gt;0,INDEX(Assumptions!$C$257:$E$257,2),0))/100000</f>
        <v>6.45996</v>
      </c>
      <c r="AC49" s="2"/>
    </row>
    <row r="50" customFormat="false" ht="15" hidden="false" customHeight="false" outlineLevel="0" collapsed="false">
      <c r="A50" s="3" t="s">
        <v>1087</v>
      </c>
      <c r="B50" s="7" t="n">
        <f aca="false">SUM(B43:B49)</f>
        <v>30.6181811599934</v>
      </c>
      <c r="C50" s="7" t="n">
        <f aca="false">SUM(C43:C49)</f>
        <v>33.848059298869</v>
      </c>
      <c r="D50" s="7" t="n">
        <f aca="false">SUM(D43:D49)</f>
        <v>46.2979403767301</v>
      </c>
      <c r="E50" s="7" t="n">
        <f aca="false">SUM(E43:E49)</f>
        <v>64.2100537660154</v>
      </c>
      <c r="F50" s="7" t="n">
        <f aca="false">SUM(F43:F49)</f>
        <v>102.294812272181</v>
      </c>
      <c r="G50" s="7" t="n">
        <f aca="false">SUM(G43:G49)</f>
        <v>121.89934323925</v>
      </c>
      <c r="H50" s="7" t="n">
        <f aca="false">SUM(H43:H49)</f>
        <v>97.5905824382764</v>
      </c>
      <c r="I50" s="7" t="n">
        <f aca="false">SUM(I43:I49)</f>
        <v>139.293779753646</v>
      </c>
      <c r="J50" s="7" t="n">
        <f aca="false">SUM(J43:J49)</f>
        <v>171.898980083565</v>
      </c>
      <c r="K50" s="7" t="n">
        <f aca="false">SUM(K43:K49)</f>
        <v>67.4981870833599</v>
      </c>
      <c r="L50" s="7" t="n">
        <f aca="false">SUM(L43:L49)</f>
        <v>104.136062825111</v>
      </c>
      <c r="M50" s="7" t="n">
        <f aca="false">SUM(M43:M49)</f>
        <v>124.020526075667</v>
      </c>
      <c r="N50" s="7" t="n">
        <f aca="false">SUM(N43:N49)</f>
        <v>63.3722267212555</v>
      </c>
      <c r="O50" s="7" t="n">
        <f aca="false">SUM(O43:O49)</f>
        <v>97.4288533730939</v>
      </c>
      <c r="P50" s="7" t="n">
        <f aca="false">SUM(P43:P49)</f>
        <v>123.642147679134</v>
      </c>
      <c r="Q50" s="7" t="n">
        <f aca="false">SUM(Q43:Q49)</f>
        <v>63.3722267212555</v>
      </c>
      <c r="R50" s="7" t="n">
        <f aca="false">SUM(R43:R49)</f>
        <v>97.0587950478459</v>
      </c>
      <c r="S50" s="7" t="n">
        <f aca="false">SUM(S43:S49)</f>
        <v>122.968780336148</v>
      </c>
      <c r="T50" s="7" t="n">
        <f aca="false">SUM(T43:T49)</f>
        <v>63.3722267212555</v>
      </c>
      <c r="U50" s="7" t="n">
        <f aca="false">SUM(U43:U49)</f>
        <v>96.7106429993121</v>
      </c>
      <c r="V50" s="7" t="n">
        <f aca="false">SUM(V43:V49)</f>
        <v>122.526416626591</v>
      </c>
      <c r="W50" s="7" t="n">
        <f aca="false">SUM(W43:W49)</f>
        <v>63.3722267212555</v>
      </c>
      <c r="X50" s="7" t="n">
        <f aca="false">SUM(X43:X49)</f>
        <v>95.9924326255303</v>
      </c>
      <c r="Y50" s="7" t="n">
        <f aca="false">SUM(Y43:Y49)</f>
        <v>121.410685574048</v>
      </c>
      <c r="Z50" s="7" t="n">
        <f aca="false">SUM(Z43:Z49)</f>
        <v>63.3722267212555</v>
      </c>
      <c r="AA50" s="7" t="n">
        <f aca="false">SUM(AA43:AA49)</f>
        <v>90.3119744887652</v>
      </c>
      <c r="AB50" s="7" t="n">
        <f aca="false">SUM(AB43:AB49)</f>
        <v>109.203037144889</v>
      </c>
      <c r="AC50" s="2"/>
    </row>
    <row r="51" customFormat="false" ht="15" hidden="false" customHeight="false" outlineLevel="0" collapsed="false">
      <c r="A51" s="3" t="s">
        <v>132</v>
      </c>
      <c r="B51" s="7" t="n">
        <f aca="false">B40-B50</f>
        <v>-13.0190962801152</v>
      </c>
      <c r="C51" s="7" t="n">
        <f aca="false">C40-C50</f>
        <v>-7.20635929127031</v>
      </c>
      <c r="D51" s="7" t="n">
        <f aca="false">D40-D50</f>
        <v>-9.64064183343418</v>
      </c>
      <c r="E51" s="7" t="n">
        <f aca="false">E40-E50</f>
        <v>6.75605349504379</v>
      </c>
      <c r="F51" s="7" t="n">
        <f aca="false">F40-F50</f>
        <v>16.5198449708367</v>
      </c>
      <c r="G51" s="7" t="n">
        <f aca="false">G40-G50</f>
        <v>43.6086116411041</v>
      </c>
      <c r="H51" s="7" t="n">
        <f aca="false">H40-H50</f>
        <v>37.1931011947186</v>
      </c>
      <c r="I51" s="7" t="n">
        <f aca="false">I40-I50</f>
        <v>96.3766792193441</v>
      </c>
      <c r="J51" s="7" t="n">
        <f aca="false">J40-J50</f>
        <v>162.74302052359</v>
      </c>
      <c r="K51" s="7" t="n">
        <f aca="false">K40-K50</f>
        <v>-0.753743585203637</v>
      </c>
      <c r="L51" s="7" t="n">
        <f aca="false">L40-L50</f>
        <v>11.965879453679</v>
      </c>
      <c r="M51" s="7" t="n">
        <f aca="false">M40-M50</f>
        <v>41.6455998613381</v>
      </c>
      <c r="N51" s="7" t="n">
        <f aca="false">N40-N50</f>
        <v>-2.81881419978914</v>
      </c>
      <c r="O51" s="7" t="n">
        <f aca="false">O40-O50</f>
        <v>16.2912845304904</v>
      </c>
      <c r="P51" s="7" t="n">
        <f aca="false">P40-P50</f>
        <v>39.2612509010652</v>
      </c>
      <c r="Q51" s="7" t="n">
        <f aca="false">Q40-Q50</f>
        <v>-2.81881419978914</v>
      </c>
      <c r="R51" s="7" t="n">
        <f aca="false">R40-R50</f>
        <v>8.29844285013424</v>
      </c>
      <c r="S51" s="7" t="n">
        <f aca="false">S40-S50</f>
        <v>24.7172771596319</v>
      </c>
      <c r="T51" s="7" t="n">
        <f aca="false">T40-T50</f>
        <v>-2.81881419978914</v>
      </c>
      <c r="U51" s="7" t="n">
        <f aca="false">U40-U50</f>
        <v>11.9944028923002</v>
      </c>
      <c r="V51" s="7" t="n">
        <f aca="false">V40-V50</f>
        <v>32.194754758014</v>
      </c>
      <c r="W51" s="7" t="n">
        <f aca="false">W40-W50</f>
        <v>-2.81881419978914</v>
      </c>
      <c r="X51" s="7" t="n">
        <f aca="false">X40-X50</f>
        <v>7.69752125410999</v>
      </c>
      <c r="Y51" s="7" t="n">
        <f aca="false">Y40-Y50</f>
        <v>25.1282586149628</v>
      </c>
      <c r="Z51" s="7" t="n">
        <f aca="false">Z40-Z50</f>
        <v>-2.81881419978914</v>
      </c>
      <c r="AA51" s="7" t="n">
        <f aca="false">AA40-AA50</f>
        <v>-0.503007910636143</v>
      </c>
      <c r="AB51" s="7" t="n">
        <f aca="false">AB40-AB50</f>
        <v>-0.426547027498032</v>
      </c>
      <c r="AC51" s="2"/>
    </row>
    <row r="52" customFormat="false" ht="15" hidden="false" customHeight="false" outlineLevel="0" collapsed="false">
      <c r="A52" s="3" t="s">
        <v>133</v>
      </c>
      <c r="B52" s="9" t="n">
        <f aca="false">IFERROR(B51/B40,0)</f>
        <v>-0.739759843706448</v>
      </c>
      <c r="C52" s="9" t="n">
        <f aca="false">IFERROR(C51/C40,0)</f>
        <v>-0.270491721219552</v>
      </c>
      <c r="D52" s="9" t="n">
        <f aca="false">IFERROR(D51/D40,0)</f>
        <v>-0.262993788864382</v>
      </c>
      <c r="E52" s="9" t="n">
        <f aca="false">IFERROR(E51/E40,0)</f>
        <v>0.0952011284794114</v>
      </c>
      <c r="F52" s="9" t="n">
        <f aca="false">IFERROR(F51/F40,0)</f>
        <v>0.139038779845552</v>
      </c>
      <c r="G52" s="9" t="n">
        <f aca="false">IFERROR(G51/G40,0)</f>
        <v>0.263483478317575</v>
      </c>
      <c r="H52" s="9" t="n">
        <f aca="false">IFERROR(H51/H40,0)</f>
        <v>0.275946614547147</v>
      </c>
      <c r="I52" s="9" t="n">
        <f aca="false">IFERROR(I51/I40,0)</f>
        <v>0.408946796468833</v>
      </c>
      <c r="J52" s="9" t="n">
        <f aca="false">IFERROR(J51/J40,0)</f>
        <v>0.486319769270799</v>
      </c>
      <c r="K52" s="9" t="n">
        <f aca="false">IFERROR(K51/K40,0)</f>
        <v>-0.0112929787964216</v>
      </c>
      <c r="L52" s="9" t="n">
        <f aca="false">IFERROR(L51/L40,0)</f>
        <v>0.103063559651275</v>
      </c>
      <c r="M52" s="9" t="n">
        <f aca="false">IFERROR(M51/M40,0)</f>
        <v>0.251382711014646</v>
      </c>
      <c r="N52" s="9" t="n">
        <f aca="false">IFERROR(N51/N40,0)</f>
        <v>-0.0465508727322322</v>
      </c>
      <c r="O52" s="9" t="n">
        <f aca="false">IFERROR(O51/O40,0)</f>
        <v>0.143257692356148</v>
      </c>
      <c r="P52" s="9" t="n">
        <f aca="false">IFERROR(P51/P40,0)</f>
        <v>0.241009403384156</v>
      </c>
      <c r="Q52" s="9" t="n">
        <f aca="false">IFERROR(Q51/Q40,0)</f>
        <v>-0.0465508727322322</v>
      </c>
      <c r="R52" s="9" t="n">
        <f aca="false">IFERROR(R51/R40,0)</f>
        <v>0.078764810237051</v>
      </c>
      <c r="S52" s="9" t="n">
        <f aca="false">IFERROR(S51/S40,0)</f>
        <v>0.167363646770367</v>
      </c>
      <c r="T52" s="9" t="n">
        <f aca="false">IFERROR(T51/T40,0)</f>
        <v>-0.0465508727322322</v>
      </c>
      <c r="U52" s="9" t="n">
        <f aca="false">IFERROR(U51/U40,0)</f>
        <v>0.110338970872241</v>
      </c>
      <c r="V52" s="9" t="n">
        <f aca="false">IFERROR(V51/V40,0)</f>
        <v>0.208082413479048</v>
      </c>
      <c r="W52" s="9" t="n">
        <f aca="false">IFERROR(W51/W40,0)</f>
        <v>-0.0465508727322322</v>
      </c>
      <c r="X52" s="9" t="n">
        <f aca="false">IFERROR(X51/X40,0)</f>
        <v>0.0742359405718803</v>
      </c>
      <c r="Y52" s="9" t="n">
        <f aca="false">IFERROR(Y51/Y40,0)</f>
        <v>0.17147836538628</v>
      </c>
      <c r="Z52" s="9" t="n">
        <f aca="false">IFERROR(Z51/Z40,0)</f>
        <v>-0.0465508727322322</v>
      </c>
      <c r="AA52" s="9" t="n">
        <f aca="false">IFERROR(AA51/AA40,0)</f>
        <v>-0.00560086514522526</v>
      </c>
      <c r="AB52" s="9" t="n">
        <f aca="false">IFERROR(AB51/AB40,0)</f>
        <v>-0.00392131633441846</v>
      </c>
      <c r="AC52" s="2"/>
    </row>
    <row r="53" customFormat="false" ht="15" hidden="false" customHeight="false" outlineLevel="0" collapsed="false">
      <c r="A53" s="3" t="s">
        <v>1088</v>
      </c>
      <c r="B53" s="7" t="n">
        <f aca="false">Outlook_Conservative!O105/100000</f>
        <v>-22.0190962801152</v>
      </c>
      <c r="C53" s="7" t="n">
        <f aca="false">C51-INDEX(Assumptions!$C$204:$E$204,1)*12*(1+INDEX(Assumptions!$C$269:$E$269,1))^1/100000</f>
        <v>-17.1063592912703</v>
      </c>
      <c r="D53" s="7" t="n">
        <f aca="false">D51-INDEX(Assumptions!$C$204:$E$204,1)*12*(1+INDEX(Assumptions!$C$269:$E$269,1))^2/100000</f>
        <v>-20.5306418334342</v>
      </c>
      <c r="E53" s="7" t="n">
        <f aca="false">Outlook_Base!O105/100000</f>
        <v>-2.24394650495622</v>
      </c>
      <c r="F53" s="7" t="n">
        <f aca="false">F51-INDEX(Assumptions!$C$204:$E$204,2)*12*(1+INDEX(Assumptions!$C$269:$E$269,2))^1/100000</f>
        <v>6.79984497083667</v>
      </c>
      <c r="G53" s="7" t="n">
        <f aca="false">G51-INDEX(Assumptions!$C$204:$E$204,2)*12*(1+INDEX(Assumptions!$C$269:$E$269,2))^2/100000</f>
        <v>33.1110116411041</v>
      </c>
      <c r="H53" s="7" t="n">
        <f aca="false">Outlook_Aggressive!O105/100000</f>
        <v>28.1931011947186</v>
      </c>
      <c r="I53" s="7" t="n">
        <f aca="false">I51-INDEX(Assumptions!$C$204:$E$204,3)*12*(1+INDEX(Assumptions!$C$269:$E$269,3))^1/100000</f>
        <v>86.6566792193441</v>
      </c>
      <c r="J53" s="7" t="n">
        <f aca="false">J51-INDEX(Assumptions!$C$204:$E$204,3)*12*(1+INDEX(Assumptions!$C$269:$E$269,3))^2/100000</f>
        <v>152.24542052359</v>
      </c>
      <c r="K53" s="7" t="n">
        <f aca="false">Staged_G1M6!O105/100000</f>
        <v>-9.75374358520364</v>
      </c>
      <c r="L53" s="7" t="n">
        <f aca="false">L51-INDEX(Assumptions!$C$204:$E$204,2)*12*(1+INDEX(Assumptions!$C$269:$E$269,2))^1/100000</f>
        <v>2.24587945367901</v>
      </c>
      <c r="M53" s="7" t="n">
        <f aca="false">M51-INDEX(Assumptions!$C$204:$E$204,2)*12*(1+INDEX(Assumptions!$C$269:$E$269,2))^2/100000</f>
        <v>31.1479998613381</v>
      </c>
      <c r="N53" s="7" t="n">
        <f aca="false">Staged_G1M9!O105/100000</f>
        <v>-11.8188141997891</v>
      </c>
      <c r="O53" s="7" t="n">
        <f aca="false">O51-INDEX(Assumptions!$C$204:$E$204,2)*12*(1+INDEX(Assumptions!$C$269:$E$269,2))^1/100000</f>
        <v>6.57128453049042</v>
      </c>
      <c r="P53" s="7" t="n">
        <f aca="false">P51-INDEX(Assumptions!$C$204:$E$204,2)*12*(1+INDEX(Assumptions!$C$269:$E$269,2))^2/100000</f>
        <v>28.7636509010652</v>
      </c>
      <c r="Q53" s="7" t="n">
        <f aca="false">Staged_G1M9!O105/100000</f>
        <v>-11.8188141997891</v>
      </c>
      <c r="R53" s="7" t="n">
        <f aca="false">R51-INDEX(Assumptions!$C$204:$E$204,2)*12*(1+INDEX(Assumptions!$C$269:$E$269,2))^1/100000</f>
        <v>-1.42155714986576</v>
      </c>
      <c r="S53" s="7" t="n">
        <f aca="false">S51-INDEX(Assumptions!$C$204:$E$204,2)*12*(1+INDEX(Assumptions!$C$269:$E$269,2))^2/100000</f>
        <v>14.2196771596319</v>
      </c>
      <c r="T53" s="7" t="n">
        <f aca="false">Staged_G1M9!O105/100000</f>
        <v>-11.8188141997891</v>
      </c>
      <c r="U53" s="7" t="n">
        <f aca="false">U51-INDEX(Assumptions!$C$204:$E$204,2)*12*(1+INDEX(Assumptions!$C$269:$E$269,2))^1/100000</f>
        <v>2.2744028923002</v>
      </c>
      <c r="V53" s="7" t="n">
        <f aca="false">V51-INDEX(Assumptions!$C$204:$E$204,2)*12*(1+INDEX(Assumptions!$C$269:$E$269,2))^2/100000</f>
        <v>21.697154758014</v>
      </c>
      <c r="W53" s="7" t="n">
        <f aca="false">Staged_G1M9!O105/100000</f>
        <v>-11.8188141997891</v>
      </c>
      <c r="X53" s="7" t="n">
        <f aca="false">X51-INDEX(Assumptions!$C$204:$E$204,2)*12*(1+INDEX(Assumptions!$C$269:$E$269,2))^1/100000</f>
        <v>-2.02247874589001</v>
      </c>
      <c r="Y53" s="7" t="n">
        <f aca="false">Y51-INDEX(Assumptions!$C$204:$E$204,2)*12*(1+INDEX(Assumptions!$C$269:$E$269,2))^2/100000</f>
        <v>14.6306586149628</v>
      </c>
      <c r="Z53" s="7" t="n">
        <f aca="false">Staged_G1M9!O105/100000</f>
        <v>-11.8188141997891</v>
      </c>
      <c r="AA53" s="7" t="n">
        <f aca="false">AA51-INDEX(Assumptions!$C$204:$E$204,2)*12*(1+INDEX(Assumptions!$C$269:$E$269,2))^1/100000</f>
        <v>-10.2230079106361</v>
      </c>
      <c r="AB53" s="7" t="n">
        <f aca="false">AB51-INDEX(Assumptions!$C$204:$E$204,2)*12*(1+INDEX(Assumptions!$C$269:$E$269,2))^2/100000</f>
        <v>-10.924147027498</v>
      </c>
      <c r="AC53" s="2"/>
    </row>
    <row r="54" customFormat="false" ht="15" hidden="false" customHeight="false" outlineLevel="0" collapsed="false">
      <c r="A54" s="21" t="s">
        <v>1089</v>
      </c>
      <c r="B54" s="8" t="n">
        <f aca="false">IFERROR(B53/B40,0)</f>
        <v>-1.25115007004089</v>
      </c>
      <c r="C54" s="8" t="n">
        <f aca="false">IFERROR(C53/C40,0)</f>
        <v>-0.642089629655439</v>
      </c>
      <c r="D54" s="8" t="n">
        <f aca="false">IFERROR(D53/D40,0)</f>
        <v>-0.560069690056004</v>
      </c>
      <c r="E54" s="8" t="n">
        <f aca="false">IFERROR(E53/E40,0)</f>
        <v>-0.0316199745422351</v>
      </c>
      <c r="F54" s="8" t="n">
        <f aca="false">IFERROR(F53/F40,0)</f>
        <v>0.0572306913020721</v>
      </c>
      <c r="G54" s="8" t="n">
        <f aca="false">IFERROR(G53/G40,0)</f>
        <v>0.200056919711442</v>
      </c>
      <c r="H54" s="8" t="n">
        <f aca="false">IFERROR(H53/H40,0)</f>
        <v>0.209172953541514</v>
      </c>
      <c r="I54" s="8" t="n">
        <f aca="false">IFERROR(I53/I40,0)</f>
        <v>0.367702764262345</v>
      </c>
      <c r="J54" s="8" t="n">
        <f aca="false">IFERROR(J53/J40,0)</f>
        <v>0.454950126545278</v>
      </c>
      <c r="K54" s="8" t="n">
        <f aca="false">IFERROR(K53/K40,0)</f>
        <v>-0.146135664244067</v>
      </c>
      <c r="L54" s="8" t="n">
        <f aca="false">IFERROR(L53/L40,0)</f>
        <v>0.0193440299929357</v>
      </c>
      <c r="M54" s="8" t="n">
        <f aca="false">IFERROR(M53/M40,0)</f>
        <v>0.18801670942183</v>
      </c>
      <c r="N54" s="8" t="n">
        <f aca="false">IFERROR(N53/N40,0)</f>
        <v>-0.195179985861232</v>
      </c>
      <c r="O54" s="8" t="n">
        <f aca="false">IFERROR(O53/O40,0)</f>
        <v>0.0577847042013066</v>
      </c>
      <c r="P54" s="8" t="n">
        <f aca="false">IFERROR(P53/P40,0)</f>
        <v>0.176568758858057</v>
      </c>
      <c r="Q54" s="8" t="n">
        <f aca="false">IFERROR(Q53/Q40,0)</f>
        <v>-0.195179985861232</v>
      </c>
      <c r="R54" s="8" t="n">
        <f aca="false">IFERROR(R53/R40,0)</f>
        <v>-0.0134927336576752</v>
      </c>
      <c r="S54" s="8" t="n">
        <f aca="false">IFERROR(S53/S40,0)</f>
        <v>0.0962831387115751</v>
      </c>
      <c r="T54" s="8" t="n">
        <f aca="false">IFERROR(T53/T40,0)</f>
        <v>-0.195179985861232</v>
      </c>
      <c r="U54" s="8" t="n">
        <f aca="false">IFERROR(U53/U40,0)</f>
        <v>0.0209226984234749</v>
      </c>
      <c r="V54" s="8" t="n">
        <f aca="false">IFERROR(V53/V40,0)</f>
        <v>0.1402339095797</v>
      </c>
      <c r="W54" s="8" t="n">
        <f aca="false">IFERROR(W53/W40,0)</f>
        <v>-0.195179985861232</v>
      </c>
      <c r="X54" s="8" t="n">
        <f aca="false">IFERROR(X53/X40,0)</f>
        <v>-0.0195050597499314</v>
      </c>
      <c r="Y54" s="8" t="n">
        <f aca="false">IFERROR(Y53/Y40,0)</f>
        <v>0.0998414359809481</v>
      </c>
      <c r="Z54" s="8" t="n">
        <f aca="false">IFERROR(Z53/Z40,0)</f>
        <v>-0.195179985861232</v>
      </c>
      <c r="AA54" s="8" t="n">
        <f aca="false">IFERROR(AA53/AA40,0)</f>
        <v>-0.113830592870063</v>
      </c>
      <c r="AB54" s="8" t="n">
        <f aca="false">IFERROR(AB53/AB40,0)</f>
        <v>-0.100427463836246</v>
      </c>
      <c r="AC54" s="2"/>
    </row>
    <row r="55" customFormat="false" ht="15" hidden="false" customHeight="false" outlineLevel="0" collapsed="false">
      <c r="A55" s="21" t="s">
        <v>1090</v>
      </c>
      <c r="B55" s="6" t="n">
        <f aca="false">Outlook_Conservative!O112/100000</f>
        <v>0.5</v>
      </c>
      <c r="C55" s="6" t="n">
        <f aca="false">(INDEX(Assumptions!$C$283:$E$283,1)+MAX(0,C13-B13)*INDEX(Assumptions!$C$225:$E$225,1)+IF(C26&gt;0,INDEX(Assumptions!$C$267:$E$267,1),0))/100000</f>
        <v>3</v>
      </c>
      <c r="D55" s="6" t="n">
        <f aca="false">(INDEX(Assumptions!$C$284:$E$284,1)+MAX(0,D13-C13)*INDEX(Assumptions!$C$225:$E$225,1)+IF(D26&gt;0,INDEX(Assumptions!$C$267:$E$267,1),0))/100000</f>
        <v>2.7</v>
      </c>
      <c r="E55" s="6" t="n">
        <f aca="false">Outlook_Base!O112/100000</f>
        <v>19.72</v>
      </c>
      <c r="F55" s="6" t="n">
        <f aca="false">(INDEX(Assumptions!$C$283:$E$283,2)+MAX(0,F13-E13)*INDEX(Assumptions!$C$225:$E$225,2)+IF(F26&gt;0,INDEX(Assumptions!$C$267:$E$267,2),0))/100000</f>
        <v>3</v>
      </c>
      <c r="G55" s="6" t="n">
        <f aca="false">(INDEX(Assumptions!$C$284:$E$284,2)+MAX(0,G13-F13)*INDEX(Assumptions!$C$225:$E$225,2)+IF(G26&gt;0,INDEX(Assumptions!$C$267:$E$267,2),0))/100000</f>
        <v>3.6</v>
      </c>
      <c r="H55" s="6" t="n">
        <f aca="false">Outlook_Aggressive!O112/100000</f>
        <v>27.04</v>
      </c>
      <c r="I55" s="6" t="n">
        <f aca="false">(INDEX(Assumptions!$C$283:$E$283,3)+MAX(0,I13-H13)*INDEX(Assumptions!$C$225:$E$225,3)+IF(I26&gt;0,INDEX(Assumptions!$C$267:$E$267,3),0))/100000</f>
        <v>5</v>
      </c>
      <c r="J55" s="6" t="n">
        <f aca="false">(INDEX(Assumptions!$C$284:$E$284,3)+MAX(0,J13-I13)*INDEX(Assumptions!$C$225:$E$225,3)+IF(J26&gt;0,INDEX(Assumptions!$C$267:$E$267,3),0))/100000</f>
        <v>8.1</v>
      </c>
      <c r="K55" s="6" t="n">
        <f aca="false">Staged_G1M6!O112/100000</f>
        <v>17.22</v>
      </c>
      <c r="L55" s="6" t="n">
        <f aca="false">(INDEX(Assumptions!$C$283:$E$283,2)+MAX(0,L13-K13)*INDEX(Assumptions!$C$225:$E$225,2)+IF(L26&gt;0,INDEX(Assumptions!$C$267:$E$267,2),0)+INDEX(Assumptions!$C$232:$E$232,2))/100000</f>
        <v>6.5</v>
      </c>
      <c r="M55" s="6" t="n">
        <f aca="false">(INDEX(Assumptions!$C$284:$E$284,2)+MAX(0,M13-L13)*INDEX(Assumptions!$C$225:$E$225,2)+IF(M26&gt;0,INDEX(Assumptions!$C$267:$E$267,2),0))/100000</f>
        <v>3.6</v>
      </c>
      <c r="N55" s="6" t="n">
        <f aca="false">Staged_G1M9!O112/100000</f>
        <v>17.22</v>
      </c>
      <c r="O55" s="6" t="n">
        <f aca="false">(INDEX(Assumptions!$C$283:$E$283,2)+MAX(0,O13-N13)*INDEX(Assumptions!$C$225:$E$225,2)+IF(O26&gt;0,INDEX(Assumptions!$C$267:$E$267,2),0)+INDEX(Assumptions!$C$232:$E$232,2))/100000</f>
        <v>6.5</v>
      </c>
      <c r="P55" s="6" t="n">
        <f aca="false">(INDEX(Assumptions!$C$284:$E$284,2)+MAX(0,P13-O13)*INDEX(Assumptions!$C$225:$E$225,2)+IF(P26&gt;0,INDEX(Assumptions!$C$267:$E$267,2),0))/100000</f>
        <v>3.6</v>
      </c>
      <c r="Q55" s="6" t="n">
        <f aca="false">Staged_G1M9!O112/100000</f>
        <v>17.22</v>
      </c>
      <c r="R55" s="6" t="n">
        <f aca="false">(INDEX(Assumptions!$C$283:$E$283,2)+MAX(0,R13-Q13)*INDEX(Assumptions!$C$225:$E$225,2)+IF(R26&gt;0,INDEX(Assumptions!$C$267:$E$267,2),0)+INDEX(Assumptions!$C$232:$E$232,2))/100000</f>
        <v>6.5</v>
      </c>
      <c r="S55" s="6" t="n">
        <f aca="false">(INDEX(Assumptions!$C$284:$E$284,2)+MAX(0,S13-R13)*INDEX(Assumptions!$C$225:$E$225,2)+IF(S26&gt;0,INDEX(Assumptions!$C$267:$E$267,2),0))/100000</f>
        <v>3.6</v>
      </c>
      <c r="T55" s="6" t="n">
        <f aca="false">Staged_G1M9!O112/100000</f>
        <v>17.22</v>
      </c>
      <c r="U55" s="6" t="n">
        <f aca="false">(INDEX(Assumptions!$C$283:$E$283,2)+MAX(0,U13-T13)*INDEX(Assumptions!$C$225:$E$225,2)+IF(U26&gt;0,INDEX(Assumptions!$C$267:$E$267,2),0)+INDEX(Assumptions!$C$232:$E$232,2))/100000</f>
        <v>6.5</v>
      </c>
      <c r="V55" s="6" t="n">
        <f aca="false">(INDEX(Assumptions!$C$284:$E$284,2)+MAX(0,V13-U13)*INDEX(Assumptions!$C$225:$E$225,2)+IF(V26&gt;0,INDEX(Assumptions!$C$267:$E$267,2),0))/100000</f>
        <v>3.6</v>
      </c>
      <c r="W55" s="6" t="n">
        <f aca="false">Staged_G1M9!O112/100000</f>
        <v>17.22</v>
      </c>
      <c r="X55" s="6" t="n">
        <f aca="false">(INDEX(Assumptions!$C$283:$E$283,2)+MAX(0,X13-W13)*INDEX(Assumptions!$C$225:$E$225,2)+IF(X26&gt;0,INDEX(Assumptions!$C$267:$E$267,2),0)+INDEX(Assumptions!$C$232:$E$232,2))/100000</f>
        <v>6.5</v>
      </c>
      <c r="Y55" s="6" t="n">
        <f aca="false">(INDEX(Assumptions!$C$284:$E$284,2)+MAX(0,Y13-X13)*INDEX(Assumptions!$C$225:$E$225,2)+IF(Y26&gt;0,INDEX(Assumptions!$C$267:$E$267,2),0))/100000</f>
        <v>3.6</v>
      </c>
      <c r="Z55" s="6" t="n">
        <f aca="false">Staged_G1M9!O112/100000</f>
        <v>17.22</v>
      </c>
      <c r="AA55" s="6" t="n">
        <f aca="false">(INDEX(Assumptions!$C$283:$E$283,2)+MAX(0,AA13-Z13)*INDEX(Assumptions!$C$225:$E$225,2)+IF(AA26&gt;0,INDEX(Assumptions!$C$267:$E$267,2),0))/100000</f>
        <v>3</v>
      </c>
      <c r="AB55" s="6" t="n">
        <f aca="false">(INDEX(Assumptions!$C$284:$E$284,2)+MAX(0,AB13-AA13)*INDEX(Assumptions!$C$225:$E$225,2)+IF(AB26&gt;0,INDEX(Assumptions!$C$267:$E$267,2),0))/100000</f>
        <v>3.6</v>
      </c>
      <c r="AC55" s="2"/>
    </row>
    <row r="56" customFormat="false" ht="15" hidden="false" customHeight="false" outlineLevel="0" collapsed="false">
      <c r="A56" s="3" t="s">
        <v>1091</v>
      </c>
      <c r="B56" s="7" t="n">
        <f aca="false">Outlook_Conservative!N115/100000</f>
        <v>-14.90785608583</v>
      </c>
      <c r="C56" s="7" t="n">
        <f aca="false">C51-C55</f>
        <v>-10.2063592912703</v>
      </c>
      <c r="D56" s="7" t="n">
        <f aca="false">D51-D55</f>
        <v>-12.3406418334342</v>
      </c>
      <c r="E56" s="7" t="n">
        <f aca="false">Outlook_Base!N115/100000</f>
        <v>-15.8882092168206</v>
      </c>
      <c r="F56" s="7" t="n">
        <f aca="false">F51-F55</f>
        <v>13.5198449708367</v>
      </c>
      <c r="G56" s="7" t="n">
        <f aca="false">G51-G55</f>
        <v>40.008611641104</v>
      </c>
      <c r="H56" s="7" t="n">
        <f aca="false">Outlook_Aggressive!N115/100000</f>
        <v>10.1531011947186</v>
      </c>
      <c r="I56" s="7" t="n">
        <f aca="false">I51-I55</f>
        <v>91.3766792193441</v>
      </c>
      <c r="J56" s="7" t="n">
        <f aca="false">J51-J55</f>
        <v>154.64302052359</v>
      </c>
      <c r="K56" s="7" t="n">
        <f aca="false">Staged_G1M6!N115/100000</f>
        <v>-20.4750014743678</v>
      </c>
      <c r="L56" s="7" t="n">
        <f aca="false">L51-L55</f>
        <v>5.46587945367901</v>
      </c>
      <c r="M56" s="7" t="n">
        <f aca="false">M51-M55</f>
        <v>38.0455998613381</v>
      </c>
      <c r="N56" s="7" t="n">
        <f aca="false">Staged_G1M9!N115/100000</f>
        <v>-22.544301605645</v>
      </c>
      <c r="O56" s="7" t="n">
        <f aca="false">O51-O55</f>
        <v>9.79128453049042</v>
      </c>
      <c r="P56" s="7" t="n">
        <f aca="false">P51-P55</f>
        <v>35.6612509010652</v>
      </c>
      <c r="Q56" s="7" t="n">
        <f aca="false">Staged_G1M9!N115/100000</f>
        <v>-22.544301605645</v>
      </c>
      <c r="R56" s="7" t="n">
        <f aca="false">R51-R55</f>
        <v>1.79844285013424</v>
      </c>
      <c r="S56" s="7" t="n">
        <f aca="false">S51-S55</f>
        <v>21.1172771596319</v>
      </c>
      <c r="T56" s="7" t="n">
        <f aca="false">Staged_G1M9!N115/100000</f>
        <v>-22.544301605645</v>
      </c>
      <c r="U56" s="7" t="n">
        <f aca="false">U51-U55</f>
        <v>5.4944028923002</v>
      </c>
      <c r="V56" s="7" t="n">
        <f aca="false">V51-V55</f>
        <v>28.594754758014</v>
      </c>
      <c r="W56" s="7" t="n">
        <f aca="false">Staged_G1M9!N115/100000</f>
        <v>-22.544301605645</v>
      </c>
      <c r="X56" s="7" t="n">
        <f aca="false">X51-X55</f>
        <v>1.19752125410999</v>
      </c>
      <c r="Y56" s="7" t="n">
        <f aca="false">Y51-Y55</f>
        <v>21.5282586149628</v>
      </c>
      <c r="Z56" s="7" t="n">
        <f aca="false">Staged_G1M9!N115/100000</f>
        <v>-22.544301605645</v>
      </c>
      <c r="AA56" s="7" t="n">
        <f aca="false">AA51-AA55</f>
        <v>-3.50300791063614</v>
      </c>
      <c r="AB56" s="7" t="n">
        <f aca="false">AB51-AB55</f>
        <v>-4.02654702749803</v>
      </c>
      <c r="AC56" s="2"/>
    </row>
    <row r="57" customFormat="false" ht="15" hidden="false" customHeight="false" outlineLevel="0" collapsed="false">
      <c r="A57" s="3" t="s">
        <v>137</v>
      </c>
      <c r="B57" s="7" t="n">
        <f aca="false">B56</f>
        <v>-14.90785608583</v>
      </c>
      <c r="C57" s="7" t="n">
        <f aca="false">B57+C56</f>
        <v>-25.1142153771003</v>
      </c>
      <c r="D57" s="7" t="n">
        <f aca="false">C57+D56</f>
        <v>-37.4548572105345</v>
      </c>
      <c r="E57" s="7" t="n">
        <f aca="false">E56</f>
        <v>-15.8882092168206</v>
      </c>
      <c r="F57" s="7" t="n">
        <f aca="false">E57+F56</f>
        <v>-2.36836424598395</v>
      </c>
      <c r="G57" s="7" t="n">
        <f aca="false">F57+G56</f>
        <v>37.6402473951201</v>
      </c>
      <c r="H57" s="7" t="n">
        <f aca="false">H56</f>
        <v>10.1531011947186</v>
      </c>
      <c r="I57" s="7" t="n">
        <f aca="false">H57+I56</f>
        <v>101.529780414063</v>
      </c>
      <c r="J57" s="7" t="n">
        <f aca="false">I57+J56</f>
        <v>256.172800937652</v>
      </c>
      <c r="K57" s="7" t="n">
        <f aca="false">K56</f>
        <v>-20.4750014743678</v>
      </c>
      <c r="L57" s="7" t="n">
        <f aca="false">K57+L56</f>
        <v>-15.0091220206888</v>
      </c>
      <c r="M57" s="7" t="n">
        <f aca="false">L57+M56</f>
        <v>23.0364778406493</v>
      </c>
      <c r="N57" s="7" t="n">
        <f aca="false">N56</f>
        <v>-22.544301605645</v>
      </c>
      <c r="O57" s="7" t="n">
        <f aca="false">N57+O56</f>
        <v>-12.7530170751546</v>
      </c>
      <c r="P57" s="7" t="n">
        <f aca="false">O57+P56</f>
        <v>22.9082338259106</v>
      </c>
      <c r="Q57" s="7" t="n">
        <f aca="false">Q56</f>
        <v>-22.544301605645</v>
      </c>
      <c r="R57" s="7" t="n">
        <f aca="false">Q57+R56</f>
        <v>-20.7458587555108</v>
      </c>
      <c r="S57" s="7" t="n">
        <f aca="false">R57+S56</f>
        <v>0.371418404121084</v>
      </c>
      <c r="T57" s="7" t="n">
        <f aca="false">T56</f>
        <v>-22.544301605645</v>
      </c>
      <c r="U57" s="7" t="n">
        <f aca="false">T57+U56</f>
        <v>-17.0498987133448</v>
      </c>
      <c r="V57" s="7" t="n">
        <f aca="false">U57+V56</f>
        <v>11.5448560446692</v>
      </c>
      <c r="W57" s="7" t="n">
        <f aca="false">W56</f>
        <v>-22.544301605645</v>
      </c>
      <c r="X57" s="7" t="n">
        <f aca="false">W57+X56</f>
        <v>-21.346780351535</v>
      </c>
      <c r="Y57" s="7" t="n">
        <f aca="false">X57+Y56</f>
        <v>0.181478263427803</v>
      </c>
      <c r="Z57" s="7" t="n">
        <f aca="false">Z56</f>
        <v>-22.544301605645</v>
      </c>
      <c r="AA57" s="7" t="n">
        <f aca="false">Z57+AA56</f>
        <v>-26.0473095162812</v>
      </c>
      <c r="AB57" s="7" t="n">
        <f aca="false">AA57+AB56</f>
        <v>-30.0738565437792</v>
      </c>
      <c r="AC57" s="2"/>
    </row>
    <row r="58" customFormat="false" ht="15" hidden="false" customHeight="false" outlineLevel="0" collapsed="false">
      <c r="A58" s="3" t="s">
        <v>1092</v>
      </c>
      <c r="B58" s="7" t="n">
        <f aca="false">Outlook_Conservative!O116/100000</f>
        <v>14.90785608583</v>
      </c>
      <c r="C58" s="7" t="n">
        <f aca="false">MAX(B58,-MIN(0,C57))</f>
        <v>25.1142153771003</v>
      </c>
      <c r="D58" s="7" t="n">
        <f aca="false">MAX(C58,-MIN(0,D57))</f>
        <v>37.4548572105345</v>
      </c>
      <c r="E58" s="7" t="n">
        <f aca="false">Outlook_Base!O116/100000</f>
        <v>24.5827086430661</v>
      </c>
      <c r="F58" s="7" t="n">
        <f aca="false">MAX(E58,-MIN(0,F57))</f>
        <v>24.5827086430661</v>
      </c>
      <c r="G58" s="7" t="n">
        <f aca="false">MAX(F58,-MIN(0,G57))</f>
        <v>24.5827086430661</v>
      </c>
      <c r="H58" s="7" t="n">
        <f aca="false">Outlook_Aggressive!O116/100000</f>
        <v>28.1045136588427</v>
      </c>
      <c r="I58" s="7" t="n">
        <f aca="false">MAX(H58,-MIN(0,I57))</f>
        <v>28.1045136588427</v>
      </c>
      <c r="J58" s="7" t="n">
        <f aca="false">MAX(I58,-MIN(0,J57))</f>
        <v>28.1045136588427</v>
      </c>
      <c r="K58" s="7" t="n">
        <f aca="false">Staged_G1M6!O116/100000</f>
        <v>26.5241981279978</v>
      </c>
      <c r="L58" s="7" t="n">
        <f aca="false">MAX(K58,-MIN(0,L57))</f>
        <v>26.5241981279978</v>
      </c>
      <c r="M58" s="7" t="n">
        <f aca="false">MAX(L58,-MIN(0,M57))</f>
        <v>26.5241981279978</v>
      </c>
      <c r="N58" s="7" t="n">
        <f aca="false">Staged_G1M9!O116/100000</f>
        <v>25.1833224604047</v>
      </c>
      <c r="O58" s="7" t="n">
        <f aca="false">MAX(N58,-MIN(0,O57))</f>
        <v>25.1833224604047</v>
      </c>
      <c r="P58" s="7" t="n">
        <f aca="false">MAX(O58,-MIN(0,P57))</f>
        <v>25.1833224604047</v>
      </c>
      <c r="Q58" s="7" t="n">
        <f aca="false">Staged_G1M9!O116/100000</f>
        <v>25.1833224604047</v>
      </c>
      <c r="R58" s="7" t="n">
        <f aca="false">MAX(Q58,-MIN(0,R57))</f>
        <v>25.1833224604047</v>
      </c>
      <c r="S58" s="7" t="n">
        <f aca="false">MAX(R58,-MIN(0,S57))</f>
        <v>25.1833224604047</v>
      </c>
      <c r="T58" s="7" t="n">
        <f aca="false">Staged_G1M9!O116/100000</f>
        <v>25.1833224604047</v>
      </c>
      <c r="U58" s="7" t="n">
        <f aca="false">MAX(T58,-MIN(0,U57))</f>
        <v>25.1833224604047</v>
      </c>
      <c r="V58" s="7" t="n">
        <f aca="false">MAX(U58,-MIN(0,V57))</f>
        <v>25.1833224604047</v>
      </c>
      <c r="W58" s="7" t="n">
        <f aca="false">Staged_G1M9!O116/100000</f>
        <v>25.1833224604047</v>
      </c>
      <c r="X58" s="7" t="n">
        <f aca="false">MAX(W58,-MIN(0,X57))</f>
        <v>25.1833224604047</v>
      </c>
      <c r="Y58" s="7" t="n">
        <f aca="false">MAX(X58,-MIN(0,Y57))</f>
        <v>25.1833224604047</v>
      </c>
      <c r="Z58" s="7" t="n">
        <f aca="false">Staged_G1M9!O116/100000</f>
        <v>25.1833224604047</v>
      </c>
      <c r="AA58" s="7" t="n">
        <f aca="false">MAX(Z58,-MIN(0,AA57))</f>
        <v>26.0473095162812</v>
      </c>
      <c r="AB58" s="7" t="n">
        <f aca="false">MAX(AA58,-MIN(0,AB57))</f>
        <v>30.0738565437792</v>
      </c>
      <c r="AC58" s="2"/>
    </row>
    <row r="59" customFormat="false" ht="15" hidden="false" customHeight="false" outlineLevel="0" collapsed="false">
      <c r="A59" s="18" t="s">
        <v>1093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</row>
    <row r="60" customFormat="false" ht="15" hidden="false" customHeight="false" outlineLevel="0" collapsed="false">
      <c r="A60" s="21" t="s">
        <v>1094</v>
      </c>
      <c r="B60" s="6" t="n">
        <f aca="false">B32+B35</f>
        <v>12.890856274308</v>
      </c>
      <c r="C60" s="6" t="n">
        <f aca="false">C32+C35</f>
        <v>17.8831048336301</v>
      </c>
      <c r="D60" s="6" t="n">
        <f aca="false">D32+D35</f>
        <v>19.5129438020979</v>
      </c>
      <c r="E60" s="6" t="n">
        <f aca="false">E32+E35</f>
        <v>44.6101607577006</v>
      </c>
      <c r="F60" s="6" t="n">
        <f aca="false">F32+F35</f>
        <v>62.9043602047057</v>
      </c>
      <c r="G60" s="6" t="n">
        <f aca="false">G32+G35</f>
        <v>70.902060924365</v>
      </c>
      <c r="H60" s="6" t="n">
        <f aca="false">H32+H35</f>
        <v>75.3372982618007</v>
      </c>
      <c r="I60" s="6" t="n">
        <f aca="false">I32+I35</f>
        <v>100.277848500593</v>
      </c>
      <c r="J60" s="6" t="n">
        <f aca="false">J32+J35</f>
        <v>104.56650748773</v>
      </c>
      <c r="K60" s="6" t="n">
        <f aca="false">K32+K35</f>
        <v>41.4365370827119</v>
      </c>
      <c r="L60" s="6" t="n">
        <f aca="false">L32+L35</f>
        <v>61.1711773671408</v>
      </c>
      <c r="M60" s="6" t="n">
        <f aca="false">M32+M35</f>
        <v>71.0101640502501</v>
      </c>
      <c r="N60" s="6" t="n">
        <f aca="false">N32+N35</f>
        <v>36.861873243086</v>
      </c>
      <c r="O60" s="6" t="n">
        <f aca="false">O32+O35</f>
        <v>59.495990845928</v>
      </c>
      <c r="P60" s="6" t="n">
        <f aca="false">P32+P35</f>
        <v>69.121958524131</v>
      </c>
      <c r="Q60" s="6" t="n">
        <f aca="false">Q32+Q35</f>
        <v>36.861873243086</v>
      </c>
      <c r="R60" s="6" t="n">
        <f aca="false">R32+R35</f>
        <v>54.1772056722334</v>
      </c>
      <c r="S60" s="6" t="n">
        <f aca="false">S32+S35</f>
        <v>61.404283041874</v>
      </c>
      <c r="T60" s="6" t="n">
        <f aca="false">T32+T35</f>
        <v>36.861873243086</v>
      </c>
      <c r="U60" s="6" t="n">
        <f aca="false">U32+U35</f>
        <v>55.7568665324834</v>
      </c>
      <c r="V60" s="6" t="n">
        <f aca="false">V32+V35</f>
        <v>63.502496570023</v>
      </c>
      <c r="W60" s="6" t="n">
        <f aca="false">W32+W35</f>
        <v>36.861873243086</v>
      </c>
      <c r="X60" s="6" t="n">
        <f aca="false">X32+X35</f>
        <v>52.0177422190388</v>
      </c>
      <c r="Y60" s="6" t="n">
        <f aca="false">Y32+Y35</f>
        <v>57.883034615915</v>
      </c>
      <c r="Z60" s="6" t="n">
        <f aca="false">Z32+Z35</f>
        <v>36.861873243086</v>
      </c>
      <c r="AA60" s="6" t="n">
        <f aca="false">AA32+AA35</f>
        <v>54.1772056722334</v>
      </c>
      <c r="AB60" s="6" t="n">
        <f aca="false">AB32+AB35</f>
        <v>61.404283041874</v>
      </c>
      <c r="AC60" s="2"/>
    </row>
    <row r="61" customFormat="false" ht="15" hidden="false" customHeight="false" outlineLevel="0" collapsed="false">
      <c r="A61" s="21" t="s">
        <v>1095</v>
      </c>
      <c r="B61" s="6" t="n">
        <f aca="false">B33+B39</f>
        <v>1.71873123180481</v>
      </c>
      <c r="C61" s="6" t="n">
        <f aca="false">C33+C39</f>
        <v>2.57106314778686</v>
      </c>
      <c r="D61" s="6" t="n">
        <f aca="false">D33+D39</f>
        <v>3.40151654452201</v>
      </c>
      <c r="E61" s="6" t="n">
        <f aca="false">E33+E39</f>
        <v>12.113430834089</v>
      </c>
      <c r="F61" s="6" t="n">
        <f aca="false">F33+F39</f>
        <v>17.4708603369935</v>
      </c>
      <c r="G61" s="6" t="n">
        <f aca="false">G33+G39</f>
        <v>24.4452277835214</v>
      </c>
      <c r="H61" s="6" t="n">
        <f aca="false">H33+H39</f>
        <v>31.38543396409</v>
      </c>
      <c r="I61" s="6" t="n">
        <f aca="false">I33+I39</f>
        <v>42.9633110901707</v>
      </c>
      <c r="J61" s="6" t="n">
        <f aca="false">J33+J39</f>
        <v>75.5567772354576</v>
      </c>
      <c r="K61" s="6" t="n">
        <f aca="false">K33+K39</f>
        <v>11.0555562757594</v>
      </c>
      <c r="L61" s="6" t="n">
        <f aca="false">L33+L39</f>
        <v>16.8926039199217</v>
      </c>
      <c r="M61" s="6" t="n">
        <f aca="false">M33+M39</f>
        <v>24.490809813894</v>
      </c>
      <c r="N61" s="6" t="n">
        <f aca="false">N33+N39</f>
        <v>9.6199895262368</v>
      </c>
      <c r="O61" s="6" t="n">
        <f aca="false">O33+O39</f>
        <v>16.3434448865029</v>
      </c>
      <c r="P61" s="6" t="n">
        <f aca="false">P33+P39</f>
        <v>23.6946418868652</v>
      </c>
      <c r="Q61" s="6" t="n">
        <f aca="false">Q33+Q39</f>
        <v>9.6199895262368</v>
      </c>
      <c r="R61" s="6" t="n">
        <f aca="false">R33+R39</f>
        <v>14.5705164952713</v>
      </c>
      <c r="S61" s="6" t="n">
        <f aca="false">S33+S39</f>
        <v>20.3870666801836</v>
      </c>
      <c r="T61" s="6" t="n">
        <f aca="false">T33+T39</f>
        <v>9.6199895262368</v>
      </c>
      <c r="U61" s="6" t="n">
        <f aca="false">U33+U39</f>
        <v>15.1176865200152</v>
      </c>
      <c r="V61" s="6" t="n">
        <f aca="false">V33+V39</f>
        <v>21.3251776981787</v>
      </c>
      <c r="W61" s="6" t="n">
        <f aca="false">W33+W39</f>
        <v>9.6199895262368</v>
      </c>
      <c r="X61" s="6" t="n">
        <f aca="false">X33+X39</f>
        <v>13.8919281535274</v>
      </c>
      <c r="Y61" s="6" t="n">
        <f aca="false">Y33+Y39</f>
        <v>18.9557135094922</v>
      </c>
      <c r="Z61" s="6" t="n">
        <f aca="false">Z33+Z39</f>
        <v>9.6199895262368</v>
      </c>
      <c r="AA61" s="6" t="n">
        <f aca="false">AA33+AA39</f>
        <v>14.5705164952713</v>
      </c>
      <c r="AB61" s="6" t="n">
        <f aca="false">AB33+AB39</f>
        <v>20.3870666801836</v>
      </c>
      <c r="AC61" s="2"/>
    </row>
    <row r="62" customFormat="false" ht="15" hidden="false" customHeight="false" outlineLevel="0" collapsed="false">
      <c r="A62" s="21" t="s">
        <v>1096</v>
      </c>
      <c r="B62" s="6" t="n">
        <f aca="false">B34</f>
        <v>0</v>
      </c>
      <c r="C62" s="6" t="n">
        <f aca="false">C34</f>
        <v>0</v>
      </c>
      <c r="D62" s="6" t="n">
        <f aca="false">D34</f>
        <v>4.6271186440678</v>
      </c>
      <c r="E62" s="6" t="n">
        <f aca="false">E34</f>
        <v>0</v>
      </c>
      <c r="F62" s="6" t="n">
        <f aca="false">F34</f>
        <v>10.1694915254237</v>
      </c>
      <c r="G62" s="6" t="n">
        <f aca="false">G34</f>
        <v>25.1525423728814</v>
      </c>
      <c r="H62" s="6" t="n">
        <f aca="false">H34</f>
        <v>0</v>
      </c>
      <c r="I62" s="6" t="n">
        <f aca="false">I34</f>
        <v>25.3197587201006</v>
      </c>
      <c r="J62" s="6" t="n">
        <f aca="false">J34</f>
        <v>49.3481727455011</v>
      </c>
      <c r="K62" s="6" t="n">
        <f aca="false">K34</f>
        <v>0</v>
      </c>
      <c r="L62" s="6" t="n">
        <f aca="false">L34</f>
        <v>9.74576271186441</v>
      </c>
      <c r="M62" s="6" t="n">
        <f aca="false">M34</f>
        <v>25.1525423728814</v>
      </c>
      <c r="N62" s="6" t="n">
        <f aca="false">N34</f>
        <v>0</v>
      </c>
      <c r="O62" s="6" t="n">
        <f aca="false">O34</f>
        <v>9.74576271186441</v>
      </c>
      <c r="P62" s="6" t="n">
        <f aca="false">P34</f>
        <v>25.1525423728814</v>
      </c>
      <c r="Q62" s="6" t="n">
        <f aca="false">Q34</f>
        <v>0</v>
      </c>
      <c r="R62" s="6" t="n">
        <f aca="false">R34</f>
        <v>8.47457627118644</v>
      </c>
      <c r="S62" s="6" t="n">
        <f aca="false">S34</f>
        <v>20.9604519774011</v>
      </c>
      <c r="T62" s="6" t="n">
        <f aca="false">T34</f>
        <v>0</v>
      </c>
      <c r="U62" s="6" t="n">
        <f aca="false">U34</f>
        <v>9.74576271186441</v>
      </c>
      <c r="V62" s="6" t="n">
        <f aca="false">V34</f>
        <v>25.1525423728814</v>
      </c>
      <c r="W62" s="6" t="n">
        <f aca="false">W34</f>
        <v>0</v>
      </c>
      <c r="X62" s="6" t="n">
        <f aca="false">X34</f>
        <v>9.74576271186441</v>
      </c>
      <c r="Y62" s="6" t="n">
        <f aca="false">Y34</f>
        <v>25.1525423728814</v>
      </c>
      <c r="Z62" s="6" t="n">
        <f aca="false">Z34</f>
        <v>0</v>
      </c>
      <c r="AA62" s="6" t="n">
        <f aca="false">AA34</f>
        <v>0</v>
      </c>
      <c r="AB62" s="6" t="n">
        <f aca="false">AB34</f>
        <v>0</v>
      </c>
      <c r="AC62" s="2"/>
    </row>
    <row r="63" customFormat="false" ht="15" hidden="false" customHeight="false" outlineLevel="0" collapsed="false">
      <c r="A63" s="21" t="s">
        <v>1097</v>
      </c>
      <c r="B63" s="6" t="n">
        <f aca="false">B36</f>
        <v>2.96025540254237</v>
      </c>
      <c r="C63" s="6" t="n">
        <f aca="false">C36</f>
        <v>4.94344549722187</v>
      </c>
      <c r="D63" s="6" t="n">
        <f aca="false">D36</f>
        <v>5.84163208703085</v>
      </c>
      <c r="E63" s="6" t="n">
        <f aca="false">E36</f>
        <v>13.8736380508475</v>
      </c>
      <c r="F63" s="6" t="n">
        <f aca="false">F36</f>
        <v>21.1750434107137</v>
      </c>
      <c r="G63" s="6" t="n">
        <f aca="false">G36</f>
        <v>27.0356810104297</v>
      </c>
      <c r="H63" s="6" t="n">
        <f aca="false">H36</f>
        <v>27.028361440678</v>
      </c>
      <c r="I63" s="6" t="n">
        <f aca="false">I36</f>
        <v>47.9645687832959</v>
      </c>
      <c r="J63" s="6" t="n">
        <f aca="false">J36</f>
        <v>61.1546467437438</v>
      </c>
      <c r="K63" s="6" t="n">
        <f aca="false">K36</f>
        <v>13.8736380508475</v>
      </c>
      <c r="L63" s="6" t="n">
        <f aca="false">L36</f>
        <v>21.196208660486</v>
      </c>
      <c r="M63" s="6" t="n">
        <f aca="false">M36</f>
        <v>27.0387502712067</v>
      </c>
      <c r="N63" s="6" t="n">
        <f aca="false">N36</f>
        <v>13.8736380508475</v>
      </c>
      <c r="O63" s="6" t="n">
        <f aca="false">O36</f>
        <v>21.0612444106244</v>
      </c>
      <c r="P63" s="6" t="n">
        <f aca="false">P36</f>
        <v>26.9851403953329</v>
      </c>
      <c r="Q63" s="6" t="n">
        <f aca="false">Q36</f>
        <v>13.8736380508475</v>
      </c>
      <c r="R63" s="6" t="n">
        <f aca="false">R36</f>
        <v>21.0612444106244</v>
      </c>
      <c r="S63" s="6" t="n">
        <f aca="false">S36</f>
        <v>26.9851403953329</v>
      </c>
      <c r="T63" s="6" t="n">
        <f aca="false">T36</f>
        <v>13.8736380508475</v>
      </c>
      <c r="U63" s="6" t="n">
        <f aca="false">U36</f>
        <v>21.0612444106244</v>
      </c>
      <c r="V63" s="6" t="n">
        <f aca="false">V36</f>
        <v>26.8654796961914</v>
      </c>
      <c r="W63" s="6" t="n">
        <f aca="false">W36</f>
        <v>13.8736380508475</v>
      </c>
      <c r="X63" s="6" t="n">
        <f aca="false">X36</f>
        <v>21.0612444106244</v>
      </c>
      <c r="Y63" s="6" t="n">
        <f aca="false">Y36</f>
        <v>26.7458189970499</v>
      </c>
      <c r="Z63" s="6" t="n">
        <f aca="false">Z36</f>
        <v>13.8736380508475</v>
      </c>
      <c r="AA63" s="6" t="n">
        <f aca="false">AA36</f>
        <v>21.0612444106244</v>
      </c>
      <c r="AB63" s="6" t="n">
        <f aca="false">AB36</f>
        <v>26.9851403953329</v>
      </c>
      <c r="AC63" s="2"/>
    </row>
    <row r="64" customFormat="false" ht="15" hidden="false" customHeight="false" outlineLevel="0" collapsed="false">
      <c r="A64" s="21" t="s">
        <v>1098</v>
      </c>
      <c r="B64" s="6" t="n">
        <f aca="false">B37</f>
        <v>0</v>
      </c>
      <c r="C64" s="6" t="n">
        <f aca="false">C37</f>
        <v>0</v>
      </c>
      <c r="D64" s="6" t="n">
        <f aca="false">D37</f>
        <v>1.26991525423729</v>
      </c>
      <c r="E64" s="6" t="n">
        <f aca="false">E37</f>
        <v>0</v>
      </c>
      <c r="F64" s="6" t="n">
        <f aca="false">F37</f>
        <v>3.81101694915254</v>
      </c>
      <c r="G64" s="6" t="n">
        <f aca="false">G37</f>
        <v>11.4330508474576</v>
      </c>
      <c r="H64" s="6" t="n">
        <f aca="false">H37</f>
        <v>0</v>
      </c>
      <c r="I64" s="6" t="n">
        <f aca="false">I37</f>
        <v>13.5525423728814</v>
      </c>
      <c r="J64" s="6" t="n">
        <f aca="false">J37</f>
        <v>33.8813559322034</v>
      </c>
      <c r="K64" s="6" t="n">
        <f aca="false">K37</f>
        <v>0</v>
      </c>
      <c r="L64" s="6" t="n">
        <f aca="false">L37</f>
        <v>3.81101694915254</v>
      </c>
      <c r="M64" s="6" t="n">
        <f aca="false">M37</f>
        <v>11.4330508474576</v>
      </c>
      <c r="N64" s="6" t="n">
        <f aca="false">N37</f>
        <v>0</v>
      </c>
      <c r="O64" s="6" t="n">
        <f aca="false">O37</f>
        <v>3.81101694915254</v>
      </c>
      <c r="P64" s="6" t="n">
        <f aca="false">P37</f>
        <v>11.4330508474576</v>
      </c>
      <c r="Q64" s="6" t="n">
        <f aca="false">Q37</f>
        <v>0</v>
      </c>
      <c r="R64" s="6" t="n">
        <f aca="false">R37</f>
        <v>3.81101694915254</v>
      </c>
      <c r="S64" s="6" t="n">
        <f aca="false">S37</f>
        <v>11.4330508474576</v>
      </c>
      <c r="T64" s="6" t="n">
        <f aca="false">T37</f>
        <v>0</v>
      </c>
      <c r="U64" s="6" t="n">
        <f aca="false">U37</f>
        <v>3.81101694915254</v>
      </c>
      <c r="V64" s="6" t="n">
        <f aca="false">V37</f>
        <v>11.4330508474576</v>
      </c>
      <c r="W64" s="6" t="n">
        <f aca="false">W37</f>
        <v>0</v>
      </c>
      <c r="X64" s="6" t="n">
        <f aca="false">X37</f>
        <v>3.81101694915254</v>
      </c>
      <c r="Y64" s="6" t="n">
        <f aca="false">Y37</f>
        <v>11.4330508474576</v>
      </c>
      <c r="Z64" s="6" t="n">
        <f aca="false">Z37</f>
        <v>0</v>
      </c>
      <c r="AA64" s="6" t="n">
        <f aca="false">AA37</f>
        <v>0</v>
      </c>
      <c r="AB64" s="6" t="n">
        <f aca="false">AB37</f>
        <v>0</v>
      </c>
      <c r="AC64" s="2"/>
    </row>
    <row r="65" customFormat="false" ht="15" hidden="false" customHeight="false" outlineLevel="0" collapsed="false">
      <c r="A65" s="21" t="s">
        <v>1099</v>
      </c>
      <c r="B65" s="6" t="n">
        <f aca="false">B38</f>
        <v>0.0292419712230216</v>
      </c>
      <c r="C65" s="6" t="n">
        <f aca="false">C38</f>
        <v>1.24408652895988</v>
      </c>
      <c r="D65" s="6" t="n">
        <f aca="false">D38</f>
        <v>2.00417221134008</v>
      </c>
      <c r="E65" s="6" t="n">
        <f aca="false">E38</f>
        <v>0.368877618422168</v>
      </c>
      <c r="F65" s="6" t="n">
        <f aca="false">F38</f>
        <v>3.28388481602881</v>
      </c>
      <c r="G65" s="6" t="n">
        <f aca="false">G38</f>
        <v>6.53939194169949</v>
      </c>
      <c r="H65" s="6" t="n">
        <f aca="false">H38</f>
        <v>1.03258996642628</v>
      </c>
      <c r="I65" s="6" t="n">
        <f aca="false">I38</f>
        <v>5.59242950594886</v>
      </c>
      <c r="J65" s="6" t="n">
        <f aca="false">J38</f>
        <v>10.1345404625179</v>
      </c>
      <c r="K65" s="6" t="n">
        <f aca="false">K38</f>
        <v>0.378712088837504</v>
      </c>
      <c r="L65" s="6" t="n">
        <f aca="false">L38</f>
        <v>3.28517267022468</v>
      </c>
      <c r="M65" s="6" t="n">
        <f aca="false">M38</f>
        <v>6.54080858131495</v>
      </c>
      <c r="N65" s="6" t="n">
        <f aca="false">N38</f>
        <v>0.197911701296104</v>
      </c>
      <c r="O65" s="6" t="n">
        <f aca="false">O38</f>
        <v>3.26267809951209</v>
      </c>
      <c r="P65" s="6" t="n">
        <f aca="false">P38</f>
        <v>6.51606455353109</v>
      </c>
      <c r="Q65" s="6" t="n">
        <f aca="false">Q38</f>
        <v>0.197911701296104</v>
      </c>
      <c r="R65" s="6" t="n">
        <f aca="false">R38</f>
        <v>3.26267809951209</v>
      </c>
      <c r="S65" s="6" t="n">
        <f aca="false">S38</f>
        <v>6.51606455353109</v>
      </c>
      <c r="T65" s="6" t="n">
        <f aca="false">T38</f>
        <v>0.197911701296104</v>
      </c>
      <c r="U65" s="6" t="n">
        <f aca="false">U38</f>
        <v>3.21246876747241</v>
      </c>
      <c r="V65" s="6" t="n">
        <f aca="false">V38</f>
        <v>6.4424241998729</v>
      </c>
      <c r="W65" s="6" t="n">
        <f aca="false">W38</f>
        <v>0.197911701296104</v>
      </c>
      <c r="X65" s="6" t="n">
        <f aca="false">X38</f>
        <v>3.16225943543273</v>
      </c>
      <c r="Y65" s="6" t="n">
        <f aca="false">Y38</f>
        <v>6.3687838462147</v>
      </c>
      <c r="Z65" s="6" t="n">
        <f aca="false">Z38</f>
        <v>0.197911701296104</v>
      </c>
      <c r="AA65" s="6" t="n">
        <f aca="false">AA38</f>
        <v>0</v>
      </c>
      <c r="AB65" s="6" t="n">
        <f aca="false">AB38</f>
        <v>0</v>
      </c>
      <c r="AC65" s="2"/>
    </row>
    <row r="66" customFormat="false" ht="15" hidden="false" customHeight="false" outlineLevel="0" collapsed="false">
      <c r="A66" s="21" t="s">
        <v>1100</v>
      </c>
      <c r="B66" s="10" t="n">
        <f aca="false">B19*(1-B10)</f>
        <v>28.1664706384892</v>
      </c>
      <c r="C66" s="10" t="n">
        <f aca="false">C19*(1-C10)</f>
        <v>33.1409007194245</v>
      </c>
      <c r="D66" s="10" t="n">
        <f aca="false">D19*(1-D10)</f>
        <v>33.5697829640288</v>
      </c>
      <c r="E66" s="10" t="n">
        <f aca="false">E19*(1-E10)</f>
        <v>66.9837921126464</v>
      </c>
      <c r="F66" s="10" t="n">
        <f aca="false">F19*(1-F10)</f>
        <v>89.9302704486668</v>
      </c>
      <c r="G66" s="10" t="n">
        <f aca="false">G19*(1-G10)</f>
        <v>92.3284109939645</v>
      </c>
      <c r="H66" s="10" t="n">
        <f aca="false">H19*(1-H10)</f>
        <v>80.3506100180697</v>
      </c>
      <c r="I66" s="10" t="n">
        <f aca="false">I19*(1-I10)</f>
        <v>104.496145889206</v>
      </c>
      <c r="J66" s="10" t="n">
        <f aca="false">J19*(1-J10)</f>
        <v>97.4796478262423</v>
      </c>
      <c r="K66" s="10" t="n">
        <f aca="false">K19*(1-K10)</f>
        <v>68.1401575052625</v>
      </c>
      <c r="L66" s="10" t="n">
        <f aca="false">L19*(1-L10)</f>
        <v>90.0979597970873</v>
      </c>
      <c r="M66" s="10" t="n">
        <f aca="false">M19*(1-M10)</f>
        <v>92.5005720583429</v>
      </c>
      <c r="N66" s="10" t="n">
        <f aca="false">N19*(1-N10)</f>
        <v>60.7663731436446</v>
      </c>
      <c r="O66" s="10" t="n">
        <f aca="false">O19*(1-O10)</f>
        <v>87.1689792355514</v>
      </c>
      <c r="P66" s="10" t="n">
        <f aca="false">P19*(1-P10)</f>
        <v>89.4934853484994</v>
      </c>
      <c r="Q66" s="10" t="n">
        <f aca="false">Q19*(1-Q10)</f>
        <v>60.7663731436446</v>
      </c>
      <c r="R66" s="10" t="n">
        <f aca="false">R19*(1-R10)</f>
        <v>87.1689792355514</v>
      </c>
      <c r="S66" s="10" t="n">
        <f aca="false">S19*(1-S10)</f>
        <v>89.4934853484994</v>
      </c>
      <c r="T66" s="10" t="n">
        <f aca="false">T19*(1-T10)</f>
        <v>60.7663731436446</v>
      </c>
      <c r="U66" s="10" t="n">
        <f aca="false">U19*(1-U10)</f>
        <v>80.631305792885</v>
      </c>
      <c r="V66" s="10" t="n">
        <f aca="false">V19*(1-V10)</f>
        <v>80.5441368136495</v>
      </c>
      <c r="W66" s="10" t="n">
        <f aca="false">W19*(1-W10)</f>
        <v>60.7663731436446</v>
      </c>
      <c r="X66" s="10" t="n">
        <f aca="false">X19*(1-X10)</f>
        <v>74.0936323502187</v>
      </c>
      <c r="Y66" s="10" t="n">
        <f aca="false">Y19*(1-Y10)</f>
        <v>71.5947882787995</v>
      </c>
      <c r="Z66" s="10" t="n">
        <f aca="false">Z19*(1-Z10)</f>
        <v>60.7663731436446</v>
      </c>
      <c r="AA66" s="10" t="n">
        <f aca="false">AA19*(1-AA10)</f>
        <v>87.1689792355514</v>
      </c>
      <c r="AB66" s="10" t="n">
        <f aca="false">AB19*(1-AB10)</f>
        <v>89.4934853484994</v>
      </c>
      <c r="AC66" s="2"/>
    </row>
    <row r="67" customFormat="false" ht="15" hidden="false" customHeight="false" outlineLevel="0" collapsed="false">
      <c r="A67" s="21" t="s">
        <v>1101</v>
      </c>
      <c r="B67" s="10" t="n">
        <f aca="false">B19*B10+B26</f>
        <v>4.97055364208633</v>
      </c>
      <c r="C67" s="10" t="n">
        <f aca="false">C19*C10+C26</f>
        <v>5.84839424460432</v>
      </c>
      <c r="D67" s="10" t="n">
        <f aca="false">D19*D10+D26</f>
        <v>7.36897674820144</v>
      </c>
      <c r="E67" s="10" t="n">
        <f aca="false">E19*E10+E26</f>
        <v>22.3279307042155</v>
      </c>
      <c r="F67" s="10" t="n">
        <f aca="false">F19*F10+F26</f>
        <v>29.9767568162223</v>
      </c>
      <c r="G67" s="10" t="n">
        <f aca="false">G19*G10+G26</f>
        <v>39.5693189974134</v>
      </c>
      <c r="H67" s="10" t="n">
        <f aca="false">H19*H10+H26</f>
        <v>43.2657130866529</v>
      </c>
      <c r="I67" s="10" t="n">
        <f aca="false">I19*I10+I26</f>
        <v>56.267155478803</v>
      </c>
      <c r="J67" s="10" t="n">
        <f aca="false">J19*J10+J26</f>
        <v>94.9864318841616</v>
      </c>
      <c r="K67" s="10" t="n">
        <f aca="false">K19*K10+K26</f>
        <v>22.7133858350875</v>
      </c>
      <c r="L67" s="10" t="n">
        <f aca="false">L19*L10+L26</f>
        <v>30.0326532656958</v>
      </c>
      <c r="M67" s="10" t="n">
        <f aca="false">M19*M10+M26</f>
        <v>39.6431023107184</v>
      </c>
      <c r="N67" s="10" t="n">
        <f aca="false">N19*N10+N26</f>
        <v>20.2554577145482</v>
      </c>
      <c r="O67" s="10" t="n">
        <f aca="false">O19*O10+O26</f>
        <v>29.0563264118505</v>
      </c>
      <c r="P67" s="10" t="n">
        <f aca="false">P19*P10+P26</f>
        <v>38.3543508636426</v>
      </c>
      <c r="Q67" s="10" t="n">
        <f aca="false">Q19*Q10+Q26</f>
        <v>20.2554577145482</v>
      </c>
      <c r="R67" s="10" t="n">
        <f aca="false">R19*R10+R26</f>
        <v>29.0563264118505</v>
      </c>
      <c r="S67" s="10" t="n">
        <f aca="false">S19*S10+S26</f>
        <v>38.3543508636426</v>
      </c>
      <c r="T67" s="10" t="n">
        <f aca="false">T19*T10+T26</f>
        <v>20.2554577145482</v>
      </c>
      <c r="U67" s="10" t="n">
        <f aca="false">U19*U10+U26</f>
        <v>26.8771019309617</v>
      </c>
      <c r="V67" s="10" t="n">
        <f aca="false">V19*V10+V26</f>
        <v>34.5189157772783</v>
      </c>
      <c r="W67" s="10" t="n">
        <f aca="false">W19*W10+W26</f>
        <v>20.2554577145482</v>
      </c>
      <c r="X67" s="10" t="n">
        <f aca="false">X19*X10+X26</f>
        <v>24.6978774500729</v>
      </c>
      <c r="Y67" s="10" t="n">
        <f aca="false">Y19*Y10+Y26</f>
        <v>30.6834806909141</v>
      </c>
      <c r="Z67" s="10" t="n">
        <f aca="false">Z19*Z10+Z26</f>
        <v>20.2554577145482</v>
      </c>
      <c r="AA67" s="10" t="n">
        <f aca="false">AA19*AA10+AA26</f>
        <v>29.0563264118505</v>
      </c>
      <c r="AB67" s="10" t="n">
        <f aca="false">AB19*AB10+AB26</f>
        <v>38.3543508636426</v>
      </c>
      <c r="AC67" s="2"/>
    </row>
    <row r="68" customFormat="false" ht="15" hidden="false" customHeight="false" outlineLevel="0" collapsed="false">
      <c r="A68" s="21" t="s">
        <v>1102</v>
      </c>
      <c r="B68" s="10" t="n">
        <f aca="false">B20</f>
        <v>0</v>
      </c>
      <c r="C68" s="10" t="n">
        <f aca="false">C20</f>
        <v>0</v>
      </c>
      <c r="D68" s="10" t="n">
        <f aca="false">D20</f>
        <v>8</v>
      </c>
      <c r="E68" s="10" t="n">
        <f aca="false">E20</f>
        <v>0</v>
      </c>
      <c r="F68" s="10" t="n">
        <f aca="false">F20</f>
        <v>15</v>
      </c>
      <c r="G68" s="10" t="n">
        <f aca="false">G20</f>
        <v>35</v>
      </c>
      <c r="H68" s="10" t="n">
        <f aca="false">H20</f>
        <v>0</v>
      </c>
      <c r="I68" s="10" t="n">
        <f aca="false">I20</f>
        <v>29.8773152897187</v>
      </c>
      <c r="J68" s="10" t="n">
        <f aca="false">J20</f>
        <v>53.9174479997141</v>
      </c>
      <c r="K68" s="10" t="n">
        <f aca="false">K20</f>
        <v>0</v>
      </c>
      <c r="L68" s="10" t="n">
        <f aca="false">L20</f>
        <v>15</v>
      </c>
      <c r="M68" s="10" t="n">
        <f aca="false">M20</f>
        <v>35</v>
      </c>
      <c r="N68" s="10" t="n">
        <f aca="false">N20</f>
        <v>0</v>
      </c>
      <c r="O68" s="10" t="n">
        <f aca="false">O20</f>
        <v>15</v>
      </c>
      <c r="P68" s="10" t="n">
        <f aca="false">P20</f>
        <v>35</v>
      </c>
      <c r="Q68" s="10" t="n">
        <f aca="false">Q20</f>
        <v>0</v>
      </c>
      <c r="R68" s="10" t="n">
        <f aca="false">R20</f>
        <v>15</v>
      </c>
      <c r="S68" s="10" t="n">
        <f aca="false">S20</f>
        <v>35</v>
      </c>
      <c r="T68" s="10" t="n">
        <f aca="false">T20</f>
        <v>0</v>
      </c>
      <c r="U68" s="10" t="n">
        <f aca="false">U20</f>
        <v>15</v>
      </c>
      <c r="V68" s="10" t="n">
        <f aca="false">V20</f>
        <v>35</v>
      </c>
      <c r="W68" s="10" t="n">
        <f aca="false">W20</f>
        <v>0</v>
      </c>
      <c r="X68" s="10" t="n">
        <f aca="false">X20</f>
        <v>15</v>
      </c>
      <c r="Y68" s="10" t="n">
        <f aca="false">Y20</f>
        <v>35</v>
      </c>
      <c r="Z68" s="10" t="n">
        <f aca="false">Z20</f>
        <v>0</v>
      </c>
      <c r="AA68" s="10" t="n">
        <f aca="false">AA20</f>
        <v>0</v>
      </c>
      <c r="AB68" s="10" t="n">
        <f aca="false">AB20</f>
        <v>0</v>
      </c>
      <c r="AC68" s="2"/>
    </row>
    <row r="69" customFormat="false" ht="15" hidden="false" customHeight="false" outlineLevel="0" collapsed="false">
      <c r="A69" s="18" t="s">
        <v>1103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</row>
    <row r="70" customFormat="false" ht="15" hidden="false" customHeight="false" outlineLevel="0" collapsed="false">
      <c r="A70" s="21" t="s">
        <v>1104</v>
      </c>
      <c r="B70" s="16" t="n">
        <f aca="false">ROUND(B40-SUM(B60:B65),6)</f>
        <v>0</v>
      </c>
      <c r="C70" s="16" t="n">
        <f aca="false">ROUND(C40-SUM(C60:C65),6)</f>
        <v>0</v>
      </c>
      <c r="D70" s="16" t="n">
        <f aca="false">ROUND(D40-SUM(D60:D65),6)</f>
        <v>0</v>
      </c>
      <c r="E70" s="16" t="n">
        <f aca="false">ROUND(E40-SUM(E60:E65),6)</f>
        <v>0</v>
      </c>
      <c r="F70" s="16" t="n">
        <f aca="false">ROUND(F40-SUM(F60:F65),6)</f>
        <v>0</v>
      </c>
      <c r="G70" s="16" t="n">
        <f aca="false">ROUND(G40-SUM(G60:G65),6)</f>
        <v>0</v>
      </c>
      <c r="H70" s="16" t="n">
        <f aca="false">ROUND(H40-SUM(H60:H65),6)</f>
        <v>0</v>
      </c>
      <c r="I70" s="16" t="n">
        <f aca="false">ROUND(I40-SUM(I60:I65),6)</f>
        <v>0</v>
      </c>
      <c r="J70" s="16" t="n">
        <f aca="false">ROUND(J40-SUM(J60:J65),6)</f>
        <v>0</v>
      </c>
      <c r="K70" s="16" t="n">
        <f aca="false">ROUND(K40-SUM(K60:K65),6)</f>
        <v>0</v>
      </c>
      <c r="L70" s="16" t="n">
        <f aca="false">ROUND(L40-SUM(L60:L65),6)</f>
        <v>0</v>
      </c>
      <c r="M70" s="16" t="n">
        <f aca="false">ROUND(M40-SUM(M60:M65),6)</f>
        <v>0</v>
      </c>
      <c r="N70" s="16" t="n">
        <f aca="false">ROUND(N40-SUM(N60:N65),6)</f>
        <v>0</v>
      </c>
      <c r="O70" s="16" t="n">
        <f aca="false">ROUND(O40-SUM(O60:O65),6)</f>
        <v>0</v>
      </c>
      <c r="P70" s="16" t="n">
        <f aca="false">ROUND(P40-SUM(P60:P65),6)</f>
        <v>0</v>
      </c>
      <c r="Q70" s="16" t="n">
        <f aca="false">ROUND(Q40-SUM(Q60:Q65),6)</f>
        <v>0</v>
      </c>
      <c r="R70" s="16" t="n">
        <f aca="false">ROUND(R40-SUM(R60:R65),6)</f>
        <v>0</v>
      </c>
      <c r="S70" s="16" t="n">
        <f aca="false">ROUND(S40-SUM(S60:S65),6)</f>
        <v>0</v>
      </c>
      <c r="T70" s="16" t="n">
        <f aca="false">ROUND(T40-SUM(T60:T65),6)</f>
        <v>0</v>
      </c>
      <c r="U70" s="16" t="n">
        <f aca="false">ROUND(U40-SUM(U60:U65),6)</f>
        <v>0</v>
      </c>
      <c r="V70" s="16" t="n">
        <f aca="false">ROUND(V40-SUM(V60:V65),6)</f>
        <v>0</v>
      </c>
      <c r="W70" s="16" t="n">
        <f aca="false">ROUND(W40-SUM(W60:W65),6)</f>
        <v>0</v>
      </c>
      <c r="X70" s="16" t="n">
        <f aca="false">ROUND(X40-SUM(X60:X65),6)</f>
        <v>0</v>
      </c>
      <c r="Y70" s="16" t="n">
        <f aca="false">ROUND(Y40-SUM(Y60:Y65),6)</f>
        <v>0</v>
      </c>
      <c r="Z70" s="16" t="n">
        <f aca="false">ROUND(Z40-SUM(Z60:Z65),6)</f>
        <v>0</v>
      </c>
      <c r="AA70" s="16" t="n">
        <f aca="false">ROUND(AA40-SUM(AA60:AA65),6)</f>
        <v>0</v>
      </c>
      <c r="AB70" s="16" t="n">
        <f aca="false">ROUND(AB40-SUM(AB60:AB65),6)</f>
        <v>0</v>
      </c>
      <c r="AC7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12" min="3" style="0" width="16"/>
  </cols>
  <sheetData>
    <row r="1" customFormat="false" ht="17.35" hidden="false" customHeight="false" outlineLevel="0" collapsed="false">
      <c r="A1" s="1" t="s">
        <v>1105</v>
      </c>
    </row>
    <row r="2" customFormat="false" ht="15" hidden="false" customHeight="false" outlineLevel="0" collapsed="false">
      <c r="A2" s="2" t="s">
        <v>1106</v>
      </c>
    </row>
    <row r="4" customFormat="false" ht="15" hidden="false" customHeight="false" outlineLevel="0" collapsed="false">
      <c r="A4" s="5" t="s">
        <v>1107</v>
      </c>
      <c r="B4" s="5" t="s">
        <v>188</v>
      </c>
      <c r="C4" s="5" t="s">
        <v>1108</v>
      </c>
      <c r="D4" s="5" t="s">
        <v>189</v>
      </c>
      <c r="E4" s="5" t="s">
        <v>1109</v>
      </c>
    </row>
    <row r="5" customFormat="false" ht="15" hidden="false" customHeight="false" outlineLevel="0" collapsed="false">
      <c r="A5" s="3" t="s">
        <v>1110</v>
      </c>
      <c r="B5" s="13" t="s">
        <v>1111</v>
      </c>
      <c r="C5" s="24" t="n">
        <v>2910000</v>
      </c>
      <c r="D5" s="13" t="s">
        <v>248</v>
      </c>
      <c r="E5" s="2" t="s">
        <v>1112</v>
      </c>
    </row>
    <row r="6" customFormat="false" ht="15" hidden="false" customHeight="false" outlineLevel="0" collapsed="false">
      <c r="A6" s="3" t="s">
        <v>1113</v>
      </c>
      <c r="B6" s="13" t="s">
        <v>1114</v>
      </c>
      <c r="C6" s="24" t="n">
        <v>1650000</v>
      </c>
      <c r="D6" s="13" t="s">
        <v>203</v>
      </c>
      <c r="E6" s="2" t="s">
        <v>1115</v>
      </c>
    </row>
    <row r="7" customFormat="false" ht="15" hidden="false" customHeight="false" outlineLevel="0" collapsed="false">
      <c r="A7" s="3" t="s">
        <v>1116</v>
      </c>
      <c r="B7" s="13" t="s">
        <v>1117</v>
      </c>
      <c r="C7" s="24" t="n">
        <v>46</v>
      </c>
      <c r="D7" s="13" t="s">
        <v>466</v>
      </c>
      <c r="E7" s="2" t="s">
        <v>1118</v>
      </c>
    </row>
    <row r="8" customFormat="false" ht="15" hidden="false" customHeight="false" outlineLevel="0" collapsed="false">
      <c r="A8" s="3" t="s">
        <v>1119</v>
      </c>
      <c r="B8" s="13" t="s">
        <v>1120</v>
      </c>
      <c r="C8" s="24" t="n">
        <v>25</v>
      </c>
      <c r="D8" s="13" t="s">
        <v>466</v>
      </c>
      <c r="E8" s="2" t="s">
        <v>1121</v>
      </c>
    </row>
    <row r="9" customFormat="false" ht="15" hidden="false" customHeight="false" outlineLevel="0" collapsed="false">
      <c r="A9" s="3" t="s">
        <v>1122</v>
      </c>
      <c r="B9" s="13" t="s">
        <v>1123</v>
      </c>
      <c r="C9" s="28" t="n">
        <v>0.15</v>
      </c>
      <c r="D9" s="13" t="s">
        <v>212</v>
      </c>
      <c r="E9" s="2" t="s">
        <v>1124</v>
      </c>
    </row>
    <row r="10" customFormat="false" ht="15" hidden="false" customHeight="false" outlineLevel="0" collapsed="false">
      <c r="A10" s="3" t="s">
        <v>1125</v>
      </c>
      <c r="B10" s="13" t="s">
        <v>1126</v>
      </c>
      <c r="C10" s="24" t="n">
        <v>4000000</v>
      </c>
      <c r="D10" s="13" t="s">
        <v>248</v>
      </c>
      <c r="E10" s="2" t="s">
        <v>1127</v>
      </c>
    </row>
    <row r="11" customFormat="false" ht="15" hidden="false" customHeight="false" outlineLevel="0" collapsed="false">
      <c r="A11" s="3" t="s">
        <v>1128</v>
      </c>
      <c r="B11" s="13" t="s">
        <v>1129</v>
      </c>
      <c r="C11" s="24" t="n">
        <v>400000</v>
      </c>
      <c r="D11" s="13" t="s">
        <v>248</v>
      </c>
      <c r="E11" s="2" t="s">
        <v>1130</v>
      </c>
    </row>
    <row r="12" customFormat="false" ht="15" hidden="false" customHeight="false" outlineLevel="0" collapsed="false">
      <c r="A12" s="3" t="s">
        <v>1131</v>
      </c>
      <c r="B12" s="13" t="s">
        <v>1132</v>
      </c>
      <c r="C12" s="24" t="n">
        <v>450000</v>
      </c>
      <c r="D12" s="13" t="s">
        <v>203</v>
      </c>
      <c r="E12" s="2" t="s">
        <v>1133</v>
      </c>
    </row>
    <row r="13" customFormat="false" ht="15" hidden="false" customHeight="false" outlineLevel="0" collapsed="false">
      <c r="A13" s="3" t="s">
        <v>1134</v>
      </c>
      <c r="B13" s="13" t="s">
        <v>1135</v>
      </c>
      <c r="C13" s="24" t="n">
        <v>750000</v>
      </c>
      <c r="D13" s="13" t="s">
        <v>203</v>
      </c>
      <c r="E13" s="2" t="s">
        <v>1136</v>
      </c>
    </row>
    <row r="14" customFormat="false" ht="15" hidden="false" customHeight="false" outlineLevel="0" collapsed="false">
      <c r="A14" s="3" t="s">
        <v>1137</v>
      </c>
      <c r="B14" s="13" t="s">
        <v>1138</v>
      </c>
      <c r="C14" s="24" t="n">
        <v>2000</v>
      </c>
      <c r="D14" s="13" t="s">
        <v>882</v>
      </c>
      <c r="E14" s="2" t="s">
        <v>1139</v>
      </c>
    </row>
    <row r="15" customFormat="false" ht="15" hidden="false" customHeight="false" outlineLevel="0" collapsed="false">
      <c r="A15" s="3" t="s">
        <v>1140</v>
      </c>
      <c r="B15" s="13" t="s">
        <v>1141</v>
      </c>
      <c r="C15" s="24" t="n">
        <v>600000</v>
      </c>
      <c r="D15" s="13" t="s">
        <v>248</v>
      </c>
      <c r="E15" s="2" t="s">
        <v>1142</v>
      </c>
    </row>
    <row r="16" customFormat="false" ht="15" hidden="false" customHeight="false" outlineLevel="0" collapsed="false">
      <c r="A16" s="3" t="s">
        <v>1143</v>
      </c>
      <c r="B16" s="13" t="s">
        <v>1144</v>
      </c>
      <c r="C16" s="24" t="n">
        <v>6000</v>
      </c>
      <c r="D16" s="13" t="s">
        <v>203</v>
      </c>
      <c r="E16" s="2" t="s">
        <v>1145</v>
      </c>
    </row>
    <row r="17" customFormat="false" ht="15" hidden="false" customHeight="false" outlineLevel="0" collapsed="false">
      <c r="A17" s="3" t="s">
        <v>1146</v>
      </c>
      <c r="B17" s="13" t="s">
        <v>1147</v>
      </c>
      <c r="C17" s="28" t="n">
        <v>0.2</v>
      </c>
      <c r="D17" s="13" t="s">
        <v>212</v>
      </c>
      <c r="E17" s="2" t="s">
        <v>1148</v>
      </c>
    </row>
    <row r="18" customFormat="false" ht="15" hidden="false" customHeight="false" outlineLevel="0" collapsed="false">
      <c r="A18" s="3" t="s">
        <v>1149</v>
      </c>
      <c r="B18" s="13" t="s">
        <v>1150</v>
      </c>
      <c r="C18" s="24" t="n">
        <v>400</v>
      </c>
      <c r="D18" s="13" t="s">
        <v>203</v>
      </c>
      <c r="E18" s="2" t="s">
        <v>1151</v>
      </c>
    </row>
    <row r="19" customFormat="false" ht="15" hidden="false" customHeight="false" outlineLevel="0" collapsed="false">
      <c r="A19" s="3" t="s">
        <v>1152</v>
      </c>
      <c r="B19" s="13" t="s">
        <v>1153</v>
      </c>
      <c r="C19" s="24" t="n">
        <v>2000</v>
      </c>
      <c r="D19" s="13" t="s">
        <v>203</v>
      </c>
      <c r="E19" s="2" t="s">
        <v>1154</v>
      </c>
    </row>
    <row r="20" customFormat="false" ht="15" hidden="false" customHeight="false" outlineLevel="0" collapsed="false">
      <c r="A20" s="3" t="s">
        <v>1155</v>
      </c>
      <c r="B20" s="13" t="s">
        <v>1156</v>
      </c>
      <c r="C20" s="24" t="n">
        <v>1.4</v>
      </c>
      <c r="D20" s="13" t="s">
        <v>898</v>
      </c>
      <c r="E20" s="2" t="s">
        <v>1157</v>
      </c>
    </row>
    <row r="21" customFormat="false" ht="15" hidden="false" customHeight="false" outlineLevel="0" collapsed="false">
      <c r="A21" s="3" t="s">
        <v>1158</v>
      </c>
      <c r="B21" s="13" t="s">
        <v>1159</v>
      </c>
      <c r="C21" s="24" t="n">
        <v>2400000</v>
      </c>
      <c r="D21" s="13" t="s">
        <v>248</v>
      </c>
      <c r="E21" s="2" t="s">
        <v>1160</v>
      </c>
    </row>
    <row r="22" customFormat="false" ht="15" hidden="false" customHeight="false" outlineLevel="0" collapsed="false">
      <c r="A22" s="3" t="s">
        <v>1161</v>
      </c>
      <c r="B22" s="13" t="s">
        <v>1162</v>
      </c>
      <c r="C22" s="24" t="n">
        <v>800</v>
      </c>
      <c r="D22" s="13" t="s">
        <v>898</v>
      </c>
      <c r="E22" s="2" t="s">
        <v>1163</v>
      </c>
    </row>
    <row r="23" customFormat="false" ht="15" hidden="false" customHeight="false" outlineLevel="0" collapsed="false">
      <c r="A23" s="3" t="s">
        <v>1164</v>
      </c>
      <c r="B23" s="13" t="s">
        <v>1165</v>
      </c>
      <c r="C23" s="28" t="n">
        <v>0.15</v>
      </c>
      <c r="D23" s="13" t="s">
        <v>212</v>
      </c>
      <c r="E23" s="2" t="s">
        <v>1166</v>
      </c>
    </row>
    <row r="24" customFormat="false" ht="15" hidden="false" customHeight="false" outlineLevel="0" collapsed="false">
      <c r="A24" s="3" t="s">
        <v>1167</v>
      </c>
      <c r="B24" s="13" t="s">
        <v>1168</v>
      </c>
      <c r="C24" s="24" t="n">
        <v>10</v>
      </c>
      <c r="D24" s="13" t="s">
        <v>466</v>
      </c>
      <c r="E24" s="2" t="s">
        <v>1169</v>
      </c>
    </row>
    <row r="27" customFormat="false" ht="55.2" hidden="false" customHeight="false" outlineLevel="0" collapsed="false">
      <c r="A27" s="5" t="s">
        <v>103</v>
      </c>
      <c r="B27" s="5" t="s">
        <v>1170</v>
      </c>
      <c r="C27" s="5" t="s">
        <v>1171</v>
      </c>
      <c r="D27" s="5" t="s">
        <v>1172</v>
      </c>
      <c r="E27" s="5" t="s">
        <v>1173</v>
      </c>
      <c r="F27" s="5" t="s">
        <v>1174</v>
      </c>
      <c r="G27" s="5" t="s">
        <v>1175</v>
      </c>
      <c r="H27" s="5" t="s">
        <v>1176</v>
      </c>
      <c r="I27" s="5" t="s">
        <v>1177</v>
      </c>
      <c r="J27" s="5" t="s">
        <v>1178</v>
      </c>
      <c r="K27" s="5" t="s">
        <v>1179</v>
      </c>
      <c r="L27" s="5" t="s">
        <v>1180</v>
      </c>
    </row>
    <row r="28" customFormat="false" ht="15" hidden="false" customHeight="false" outlineLevel="0" collapsed="false">
      <c r="A28" s="21" t="s">
        <v>1181</v>
      </c>
      <c r="B28" s="13" t="s">
        <v>1182</v>
      </c>
      <c r="C28" s="13" t="s">
        <v>1183</v>
      </c>
      <c r="D28" s="13" t="s">
        <v>1183</v>
      </c>
      <c r="E28" s="13" t="s">
        <v>1184</v>
      </c>
      <c r="F28" s="13" t="s">
        <v>1185</v>
      </c>
      <c r="G28" s="13" t="s">
        <v>1186</v>
      </c>
      <c r="H28" s="13" t="s">
        <v>1187</v>
      </c>
      <c r="I28" s="13" t="s">
        <v>1188</v>
      </c>
      <c r="J28" s="13" t="s">
        <v>1189</v>
      </c>
      <c r="K28" s="13" t="s">
        <v>1190</v>
      </c>
      <c r="L28" s="13" t="s">
        <v>1191</v>
      </c>
    </row>
    <row r="29" customFormat="false" ht="15" hidden="false" customHeight="false" outlineLevel="0" collapsed="false">
      <c r="A29" s="21" t="s">
        <v>1192</v>
      </c>
      <c r="B29" s="10" t="n">
        <f aca="false">3yr_Scenarios!G29</f>
        <v>84800</v>
      </c>
      <c r="C29" s="10" t="n">
        <f aca="false">Assumptions!$D$20</f>
        <v>80000</v>
      </c>
      <c r="D29" s="10" t="n">
        <f aca="false">Assumptions!$D$20</f>
        <v>80000</v>
      </c>
      <c r="E29" s="10" t="n">
        <f aca="false">$C$10</f>
        <v>4000000</v>
      </c>
      <c r="F29" s="10" t="n">
        <f aca="false">Assumptions!$D$255</f>
        <v>1499</v>
      </c>
      <c r="G29" s="10" t="n">
        <f aca="false">Assumptions!$D$20</f>
        <v>80000</v>
      </c>
      <c r="H29" s="10" t="n">
        <f aca="false">$C$16</f>
        <v>6000</v>
      </c>
      <c r="I29" s="10" t="n">
        <f aca="false">Assumptions!$D$261</f>
        <v>1750</v>
      </c>
      <c r="J29" s="10" t="n">
        <f aca="false">Assumptions!$D$21</f>
        <v>10000</v>
      </c>
      <c r="K29" s="10" t="n">
        <f aca="false">20000</f>
        <v>20000</v>
      </c>
      <c r="L29" s="10" t="n">
        <f aca="false">Assumptions!$D$23</f>
        <v>9999</v>
      </c>
    </row>
    <row r="30" customFormat="false" ht="15" hidden="false" customHeight="false" outlineLevel="0" collapsed="false">
      <c r="A30" s="21" t="s">
        <v>1193</v>
      </c>
      <c r="B30" s="10" t="n">
        <f aca="false">B29/(1+Assumptions!$D$15*Assumptions!$D$16)</f>
        <v>71864.406779661</v>
      </c>
      <c r="C30" s="10" t="n">
        <f aca="false">Assumptions!$D$20/(1+Assumptions!$D$15*Assumptions!$D$16)</f>
        <v>67796.6101694915</v>
      </c>
      <c r="D30" s="10" t="n">
        <f aca="false">Assumptions!$D$20/(1+Assumptions!$D$15*Assumptions!$D$16)*(1-Assumptions!$D$265)</f>
        <v>50847.4576271186</v>
      </c>
      <c r="E30" s="10" t="n">
        <f aca="false">$C$10*$C$9</f>
        <v>600000</v>
      </c>
      <c r="F30" s="10" t="n">
        <f aca="false">F29/(1+Assumptions!$D$15*Assumptions!$D$16)</f>
        <v>1270.33898305085</v>
      </c>
      <c r="G30" s="10" t="n">
        <f aca="false">Assumptions!$D$20/(1+Assumptions!$D$15*Assumptions!$D$16)</f>
        <v>67796.6101694915</v>
      </c>
      <c r="H30" s="10" t="n">
        <f aca="false">H29/(1+Assumptions!$D$15*Assumptions!$D$16)*$C$17</f>
        <v>1016.94915254237</v>
      </c>
      <c r="I30" s="10" t="n">
        <f aca="false">I29/(1+Assumptions!$D$15*Assumptions!$D$16)</f>
        <v>1483.05084745763</v>
      </c>
      <c r="J30" s="10" t="n">
        <f aca="false">J29/(1+Assumptions!$D$15*Assumptions!$D$16)</f>
        <v>8474.57627118644</v>
      </c>
      <c r="K30" s="10" t="n">
        <f aca="false">Assumptions!$D$285</f>
        <v>960</v>
      </c>
      <c r="L30" s="10" t="n">
        <f aca="false">L29/(1+Assumptions!$D$15*Assumptions!$D$16)</f>
        <v>8473.72881355932</v>
      </c>
    </row>
    <row r="31" customFormat="false" ht="15" hidden="false" customHeight="false" outlineLevel="0" collapsed="false">
      <c r="A31" s="21" t="s">
        <v>1194</v>
      </c>
      <c r="B31" s="10" t="n">
        <f aca="false">3yr_Scenarios!G19</f>
        <v>131.897729991378</v>
      </c>
      <c r="C31" s="10" t="n">
        <f aca="false">$C$7</f>
        <v>46</v>
      </c>
      <c r="D31" s="10" t="n">
        <f aca="false">$C$8</f>
        <v>25</v>
      </c>
      <c r="E31" s="10" t="n">
        <f aca="false">3</f>
        <v>3</v>
      </c>
      <c r="F31" s="10" t="n">
        <f aca="false">$C$14</f>
        <v>2000</v>
      </c>
      <c r="G31" s="10" t="n">
        <f aca="false">3yr_Scenarios!G20</f>
        <v>35</v>
      </c>
      <c r="H31" s="10" t="n">
        <f aca="false">$C$22</f>
        <v>800</v>
      </c>
      <c r="I31" s="10" t="n">
        <f aca="false">Assumptions!$D$260</f>
        <v>120</v>
      </c>
      <c r="J31" s="10" t="n">
        <f aca="false">3yr_Scenarios!G21</f>
        <v>280</v>
      </c>
      <c r="K31" s="10" t="n">
        <f aca="false">3yr_Scenarios!G19*3yr_Scenarios!G9</f>
        <v>79.1386379948268</v>
      </c>
      <c r="L31" s="10" t="n">
        <f aca="false">3yr_Scenarios!G25</f>
        <v>39.024938416912</v>
      </c>
    </row>
    <row r="32" customFormat="false" ht="15" hidden="false" customHeight="false" outlineLevel="0" collapsed="false">
      <c r="A32" s="21" t="s">
        <v>1195</v>
      </c>
      <c r="B32" s="6" t="n">
        <f aca="false">3yr_Scenarios!G40</f>
        <v>165.507954880354</v>
      </c>
      <c r="C32" s="6" t="n">
        <f aca="false">C31*C30/100000</f>
        <v>31.1864406779661</v>
      </c>
      <c r="D32" s="6" t="n">
        <f aca="false">D31*D30/100000</f>
        <v>12.7118644067797</v>
      </c>
      <c r="E32" s="6" t="n">
        <f aca="false">E31*E30/100000</f>
        <v>18</v>
      </c>
      <c r="F32" s="6" t="n">
        <f aca="false">F31*F30/100000</f>
        <v>25.4067796610169</v>
      </c>
      <c r="G32" s="6" t="n">
        <f aca="false">G31*G30/100000</f>
        <v>23.728813559322</v>
      </c>
      <c r="H32" s="6" t="n">
        <f aca="false">H31*H30/100000</f>
        <v>8.13559322033898</v>
      </c>
      <c r="I32" s="6" t="n">
        <f aca="false">I31*I30/100000</f>
        <v>1.77966101694915</v>
      </c>
      <c r="J32" s="6" t="n">
        <f aca="false">J31*J30/100000</f>
        <v>23.728813559322</v>
      </c>
      <c r="K32" s="6" t="n">
        <f aca="false">K31*K30/100000+Assumptions!$D$263/100000</f>
        <v>4.75973092475034</v>
      </c>
      <c r="L32" s="6" t="n">
        <f aca="false">L31*L30/100000</f>
        <v>3.30686745110766</v>
      </c>
    </row>
    <row r="33" customFormat="false" ht="15" hidden="false" customHeight="false" outlineLevel="0" collapsed="false">
      <c r="A33" s="21" t="s">
        <v>1196</v>
      </c>
      <c r="B33" s="10" t="n">
        <f aca="false">IFERROR(3yr_Scenarios!G43*100000/B31,0)</f>
        <v>21586.9729078064</v>
      </c>
      <c r="C33" s="10" t="n">
        <f aca="false">Assumptions!$D$91+Assumptions!$D$20*(Assumptions!$D$76+Assumptions!$D$70*Assumptions!$D$71)+Assumptions!$D$115*Assumptions!$D$120</f>
        <v>20666.6666666667</v>
      </c>
      <c r="D33" s="10" t="n">
        <f aca="false">Assumptions!$D$91+Assumptions!$D$266+Assumptions!$D$20*(Assumptions!$D$76+Assumptions!$D$70*Assumptions!$D$71)+Assumptions!$D$281</f>
        <v>31500</v>
      </c>
      <c r="E33" s="10" t="n">
        <f aca="false">$C$11</f>
        <v>400000</v>
      </c>
      <c r="F33" s="10" t="n">
        <f aca="false">F30*Assumptions!$D$258+Assumptions!$D$256*0.5</f>
        <v>301.627118644068</v>
      </c>
      <c r="G33" s="10" t="n">
        <f aca="false">Assumptions!$D$93+Assumptions!$D$282+Assumptions!$D$20*(Assumptions!$D$76+Assumptions!$D$70*Assumptions!$D$71)+Assumptions!$D$104*(Assumptions!$D$99+Assumptions!$D$100)/Assumptions!$D$101/Assumptions!$D$102+Assumptions!$D$281</f>
        <v>32000</v>
      </c>
      <c r="H33" s="10" t="n">
        <f aca="false">$C$18+H29*Assumptions!$D$76+$C$19/$C$20</f>
        <v>1948.57142857143</v>
      </c>
      <c r="I33" s="10" t="n">
        <f aca="false">250</f>
        <v>250</v>
      </c>
      <c r="J33" s="10" t="n">
        <f aca="false">Assumptions!$D$94+J29*Assumptions!$D$76+300</f>
        <v>1500</v>
      </c>
      <c r="K33" s="10" t="n">
        <f aca="false">0</f>
        <v>0</v>
      </c>
      <c r="L33" s="10" t="n">
        <f aca="false">Assumptions!$D$97+L29*Assumptions!$D$76</f>
        <v>2199.98</v>
      </c>
    </row>
    <row r="34" customFormat="false" ht="15" hidden="false" customHeight="false" outlineLevel="0" collapsed="false">
      <c r="A34" s="3" t="s">
        <v>1197</v>
      </c>
      <c r="B34" s="10" t="n">
        <f aca="false">IFERROR((B32-3yr_Scenarios!G43)*100000/B31,0)</f>
        <v>103895.061461681</v>
      </c>
      <c r="C34" s="10" t="n">
        <f aca="false">C30-C33</f>
        <v>47129.9435028249</v>
      </c>
      <c r="D34" s="10" t="n">
        <f aca="false">D30-D33</f>
        <v>19347.4576271186</v>
      </c>
      <c r="E34" s="10" t="n">
        <f aca="false">E30-E33</f>
        <v>200000</v>
      </c>
      <c r="F34" s="10" t="n">
        <f aca="false">F30-F33</f>
        <v>968.71186440678</v>
      </c>
      <c r="G34" s="10" t="n">
        <f aca="false">G30-G33</f>
        <v>35796.6101694915</v>
      </c>
      <c r="H34" s="10" t="n">
        <f aca="false">H30-H33</f>
        <v>-931.622276029056</v>
      </c>
      <c r="I34" s="10" t="n">
        <f aca="false">I30-I33</f>
        <v>1233.05084745763</v>
      </c>
      <c r="J34" s="10" t="n">
        <f aca="false">J30-J33</f>
        <v>6974.57627118644</v>
      </c>
      <c r="K34" s="10" t="n">
        <f aca="false">K30</f>
        <v>960</v>
      </c>
      <c r="L34" s="10" t="n">
        <f aca="false">L30-L33</f>
        <v>6273.74881355932</v>
      </c>
    </row>
    <row r="35" customFormat="false" ht="15" hidden="false" customHeight="false" outlineLevel="0" collapsed="false">
      <c r="A35" s="21" t="s">
        <v>993</v>
      </c>
      <c r="B35" s="8" t="n">
        <f aca="false">IFERROR((3yr_Scenarios!G40-3yr_Scenarios!G43)/3yr_Scenarios!G40,0)</f>
        <v>0.827967620892704</v>
      </c>
      <c r="C35" s="8" t="n">
        <f aca="false">C34/C30</f>
        <v>0.695166666666667</v>
      </c>
      <c r="D35" s="8" t="n">
        <f aca="false">D34/D30</f>
        <v>0.3805</v>
      </c>
      <c r="E35" s="8" t="n">
        <f aca="false">E34/E30</f>
        <v>0.333333333333333</v>
      </c>
      <c r="F35" s="8" t="n">
        <f aca="false">F34/F30</f>
        <v>0.762561707805204</v>
      </c>
      <c r="G35" s="8" t="n">
        <f aca="false">G34/G30</f>
        <v>0.528</v>
      </c>
      <c r="H35" s="8" t="n">
        <f aca="false">H34/H30</f>
        <v>-0.916095238095238</v>
      </c>
      <c r="I35" s="8" t="n">
        <f aca="false">I34/I30</f>
        <v>0.831428571428571</v>
      </c>
      <c r="J35" s="8" t="n">
        <f aca="false">J34/J30</f>
        <v>0.823</v>
      </c>
      <c r="K35" s="8" t="n">
        <f aca="false">1</f>
        <v>1</v>
      </c>
      <c r="L35" s="8" t="n">
        <f aca="false">L34/L30</f>
        <v>0.740376397639764</v>
      </c>
    </row>
    <row r="36" customFormat="false" ht="15" hidden="false" customHeight="false" outlineLevel="0" collapsed="false">
      <c r="A36" s="21" t="s">
        <v>1198</v>
      </c>
      <c r="B36" s="6" t="n">
        <f aca="false">3yr_Scenarios!G40-3yr_Scenarios!G43</f>
        <v>137.035227641104</v>
      </c>
      <c r="C36" s="6" t="n">
        <f aca="false">C34*C31/100000</f>
        <v>21.6797740112994</v>
      </c>
      <c r="D36" s="6" t="n">
        <f aca="false">D34*D31/100000</f>
        <v>4.83686440677966</v>
      </c>
      <c r="E36" s="6" t="n">
        <f aca="false">E34*E31/100000</f>
        <v>6</v>
      </c>
      <c r="F36" s="6" t="n">
        <f aca="false">F34*F31/100000</f>
        <v>19.3742372881356</v>
      </c>
      <c r="G36" s="6" t="n">
        <f aca="false">G34*G31/100000</f>
        <v>12.528813559322</v>
      </c>
      <c r="H36" s="6" t="n">
        <f aca="false">H34*H31/100000</f>
        <v>-7.45297820823245</v>
      </c>
      <c r="I36" s="6" t="n">
        <f aca="false">I34*I31/100000</f>
        <v>1.47966101694915</v>
      </c>
      <c r="J36" s="6" t="n">
        <f aca="false">J34*J31/100000</f>
        <v>19.528813559322</v>
      </c>
      <c r="K36" s="6" t="n">
        <f aca="false">K32</f>
        <v>4.75973092475034</v>
      </c>
      <c r="L36" s="6" t="n">
        <f aca="false">L34*L31/100000</f>
        <v>2.44832661092327</v>
      </c>
    </row>
    <row r="37" customFormat="false" ht="15" hidden="false" customHeight="false" outlineLevel="0" collapsed="false">
      <c r="A37" s="21" t="s">
        <v>1199</v>
      </c>
      <c r="B37" s="6" t="n">
        <f aca="false">3yr_Scenarios!G50-3yr_Scenarios!G43</f>
        <v>93.426616</v>
      </c>
      <c r="C37" s="6" t="n">
        <f aca="false">$C$5/100000</f>
        <v>29.1</v>
      </c>
      <c r="D37" s="6" t="n">
        <f aca="false">1</f>
        <v>1</v>
      </c>
      <c r="E37" s="6" t="n">
        <f aca="false">5</f>
        <v>5</v>
      </c>
      <c r="F37" s="6" t="n">
        <f aca="false">$C$15/100000</f>
        <v>6</v>
      </c>
      <c r="G37" s="6" t="n">
        <f aca="false">Assumptions!$D$230*12/100000</f>
        <v>0.6</v>
      </c>
      <c r="H37" s="6" t="n">
        <f aca="false">$C$21/100000</f>
        <v>24</v>
      </c>
      <c r="I37" s="6" t="n">
        <f aca="false">0.5</f>
        <v>0.5</v>
      </c>
      <c r="J37" s="6" t="n">
        <f aca="false">0</f>
        <v>0</v>
      </c>
      <c r="K37" s="6" t="n">
        <f aca="false">0</f>
        <v>0</v>
      </c>
      <c r="L37" s="6" t="n">
        <f aca="false">0.6</f>
        <v>0.6</v>
      </c>
    </row>
    <row r="38" customFormat="false" ht="15" hidden="false" customHeight="false" outlineLevel="0" collapsed="false">
      <c r="A38" s="3" t="s">
        <v>1200</v>
      </c>
      <c r="B38" s="6" t="n">
        <f aca="false">3yr_Scenarios!G51</f>
        <v>43.6086116411041</v>
      </c>
      <c r="C38" s="6" t="n">
        <f aca="false">C36-C37</f>
        <v>-7.42022598870057</v>
      </c>
      <c r="D38" s="6" t="n">
        <f aca="false">D36-D37</f>
        <v>3.83686440677966</v>
      </c>
      <c r="E38" s="6" t="n">
        <f aca="false">E36-E37</f>
        <v>1</v>
      </c>
      <c r="F38" s="6" t="n">
        <f aca="false">F36-F37</f>
        <v>13.3742372881356</v>
      </c>
      <c r="G38" s="6" t="n">
        <f aca="false">G36-G37</f>
        <v>11.928813559322</v>
      </c>
      <c r="H38" s="6" t="n">
        <f aca="false">H36-H37</f>
        <v>-31.4529782082324</v>
      </c>
      <c r="I38" s="6" t="n">
        <f aca="false">I36-I37</f>
        <v>0.979661016949153</v>
      </c>
      <c r="J38" s="6" t="n">
        <f aca="false">J36-J37</f>
        <v>19.528813559322</v>
      </c>
      <c r="K38" s="6" t="n">
        <f aca="false">K36</f>
        <v>4.75973092475034</v>
      </c>
      <c r="L38" s="6" t="n">
        <f aca="false">L36-L37</f>
        <v>1.84832661092327</v>
      </c>
    </row>
    <row r="39" customFormat="false" ht="15" hidden="false" customHeight="false" outlineLevel="0" collapsed="false">
      <c r="A39" s="21" t="s">
        <v>1201</v>
      </c>
      <c r="B39" s="6" t="n">
        <f aca="false">3yr_Scenarios!G58</f>
        <v>24.5827086430661</v>
      </c>
      <c r="C39" s="6" t="n">
        <f aca="false">$C$6/100000</f>
        <v>16.5</v>
      </c>
      <c r="D39" s="6" t="n">
        <f aca="false">Assumptions!$D$267/100000</f>
        <v>3.5</v>
      </c>
      <c r="E39" s="6" t="n">
        <f aca="false">($C$13-E31*$C$12*0.5)/100000</f>
        <v>0.75</v>
      </c>
      <c r="F39" s="6" t="n">
        <f aca="false">3</f>
        <v>3</v>
      </c>
      <c r="G39" s="6" t="n">
        <f aca="false">Assumptions!$D$232/100000</f>
        <v>3.5</v>
      </c>
      <c r="H39" s="6" t="n">
        <f aca="false">15</f>
        <v>15</v>
      </c>
      <c r="I39" s="6" t="n">
        <f aca="false">0.2</f>
        <v>0.2</v>
      </c>
      <c r="J39" s="6" t="n">
        <f aca="false">0</f>
        <v>0</v>
      </c>
      <c r="K39" s="6" t="n">
        <f aca="false">0</f>
        <v>0</v>
      </c>
      <c r="L39" s="6" t="n">
        <f aca="false">0</f>
        <v>0</v>
      </c>
    </row>
    <row r="40" customFormat="false" ht="15" hidden="false" customHeight="false" outlineLevel="0" collapsed="false">
      <c r="A40" s="21" t="s">
        <v>1202</v>
      </c>
      <c r="B40" s="16" t="n">
        <f aca="false">IFERROR(B39/B38,"n/m")</f>
        <v>0.563712251272297</v>
      </c>
      <c r="C40" s="16" t="str">
        <f aca="false">IF(C38&lt;=0,"never at this volume",C39/C38)</f>
        <v>never at this volume</v>
      </c>
      <c r="D40" s="16" t="n">
        <f aca="false">IF(D38&lt;=0,"never",D39/D38)</f>
        <v>0.912203202650469</v>
      </c>
      <c r="E40" s="16" t="n">
        <f aca="false">IF(E38&lt;=0,"never at 3 units",E39/E38)</f>
        <v>0.75</v>
      </c>
      <c r="F40" s="16" t="n">
        <f aca="false">IF(F38&lt;=0,"never",F39/F38)</f>
        <v>0.224311856845947</v>
      </c>
      <c r="G40" s="16" t="n">
        <f aca="false">IF(G38&lt;=0,"never",G39/G38)</f>
        <v>0.293407217959648</v>
      </c>
      <c r="H40" s="16" t="str">
        <f aca="false">IF(H38&lt;=0,"never",H39/H38)</f>
        <v>never</v>
      </c>
      <c r="I40" s="16" t="n">
        <f aca="false">IF(I38&lt;=0,"never",I39/I38)</f>
        <v>0.204152249134948</v>
      </c>
      <c r="J40" s="13" t="s">
        <v>1203</v>
      </c>
      <c r="K40" s="13" t="s">
        <v>1203</v>
      </c>
      <c r="L40" s="13" t="s">
        <v>1203</v>
      </c>
    </row>
    <row r="41" customFormat="false" ht="15" hidden="false" customHeight="false" outlineLevel="0" collapsed="false">
      <c r="A41" s="21" t="s">
        <v>1204</v>
      </c>
      <c r="B41" s="10" t="n">
        <f aca="false">Assumptions!$D$115*Assumptions!$D$120*(Assumptions!$D$27+Assumptions!$D$28+Assumptions!$D$31)</f>
        <v>7000</v>
      </c>
      <c r="C41" s="10" t="n">
        <f aca="false">Assumptions!$D$115*Assumptions!$D$120</f>
        <v>11666.6666666667</v>
      </c>
      <c r="D41" s="10" t="n">
        <f aca="false">Assumptions!$D$281</f>
        <v>12500</v>
      </c>
      <c r="E41" s="10" t="n">
        <f aca="false">0</f>
        <v>0</v>
      </c>
      <c r="F41" s="10" t="n">
        <f aca="false">Assumptions!$D$256</f>
        <v>400</v>
      </c>
      <c r="G41" s="10" t="n">
        <f aca="false">Assumptions!$D$281</f>
        <v>12500</v>
      </c>
      <c r="H41" s="10" t="n">
        <f aca="false">$C$19</f>
        <v>2000</v>
      </c>
      <c r="I41" s="10" t="n">
        <f aca="false">0</f>
        <v>0</v>
      </c>
      <c r="J41" s="10" t="n">
        <f aca="false">300</f>
        <v>300</v>
      </c>
      <c r="K41" s="10" t="n">
        <f aca="false">0</f>
        <v>0</v>
      </c>
      <c r="L41" s="10" t="n">
        <f aca="false">0</f>
        <v>0</v>
      </c>
    </row>
    <row r="42" customFormat="false" ht="15" hidden="false" customHeight="false" outlineLevel="0" collapsed="false">
      <c r="A42" s="21" t="s">
        <v>1205</v>
      </c>
      <c r="B42" s="10" t="n">
        <f aca="false">B34</f>
        <v>103895.061461681</v>
      </c>
      <c r="C42" s="10" t="n">
        <f aca="false">C34+Assumptions!$D$115*Assumptions!$D$120</f>
        <v>58796.6101694915</v>
      </c>
      <c r="D42" s="10" t="n">
        <f aca="false">D34+Assumptions!$D$281</f>
        <v>31847.4576271186</v>
      </c>
      <c r="E42" s="13" t="s">
        <v>1206</v>
      </c>
      <c r="F42" s="10" t="n">
        <f aca="false">F34*1.3+Assumptions!$D$256*0.5</f>
        <v>1459.32542372881</v>
      </c>
      <c r="G42" s="10" t="n">
        <f aca="false">G34+Assumptions!$D$281</f>
        <v>48296.6101694915</v>
      </c>
      <c r="H42" s="10" t="n">
        <f aca="false">$C$20*(H30-$C$18-H29*Assumptions!$D$76)</f>
        <v>695.728813559322</v>
      </c>
      <c r="I42" s="13" t="s">
        <v>1207</v>
      </c>
      <c r="J42" s="10" t="n">
        <f aca="false">J34*(1+Assumptions!$D$65)</f>
        <v>9066.94915254237</v>
      </c>
      <c r="K42" s="13" t="s">
        <v>1206</v>
      </c>
      <c r="L42" s="10" t="n">
        <f aca="false">L34*2</f>
        <v>12547.4976271186</v>
      </c>
    </row>
    <row r="43" customFormat="false" ht="15" hidden="false" customHeight="false" outlineLevel="0" collapsed="false">
      <c r="A43" s="3" t="s">
        <v>1208</v>
      </c>
      <c r="B43" s="16" t="n">
        <f aca="false">IFERROR(B42/B41,0)</f>
        <v>14.842151637383</v>
      </c>
      <c r="C43" s="16" t="n">
        <f aca="false">C42/C41</f>
        <v>5.03970944309927</v>
      </c>
      <c r="D43" s="16" t="n">
        <f aca="false">D42/D41</f>
        <v>2.54779661016949</v>
      </c>
      <c r="E43" s="13" t="s">
        <v>1206</v>
      </c>
      <c r="F43" s="16" t="n">
        <f aca="false">F42/F41</f>
        <v>3.64831355932203</v>
      </c>
      <c r="G43" s="16" t="n">
        <f aca="false">G42/G41</f>
        <v>3.86372881355932</v>
      </c>
      <c r="H43" s="16" t="n">
        <f aca="false">H42/H41</f>
        <v>0.347864406779661</v>
      </c>
      <c r="I43" s="13" t="s">
        <v>1206</v>
      </c>
      <c r="J43" s="16" t="n">
        <f aca="false">J42/J41</f>
        <v>30.2231638418079</v>
      </c>
      <c r="K43" s="13" t="s">
        <v>1206</v>
      </c>
      <c r="L43" s="13" t="s">
        <v>1206</v>
      </c>
    </row>
    <row r="44" customFormat="false" ht="15" hidden="false" customHeight="false" outlineLevel="0" collapsed="false">
      <c r="A44" s="21" t="s">
        <v>1209</v>
      </c>
      <c r="B44" s="10" t="n">
        <f aca="false">IFERROR(B37*100000/B34,0)</f>
        <v>89.9240201464803</v>
      </c>
      <c r="C44" s="10" t="n">
        <f aca="false">$C$5/C34</f>
        <v>61.7441860465116</v>
      </c>
      <c r="D44" s="10" t="n">
        <f aca="false">D37*100000/D34</f>
        <v>5.16863775733684</v>
      </c>
      <c r="E44" s="10" t="n">
        <f aca="false">IFERROR(E37*100000/E34,0)</f>
        <v>2.5</v>
      </c>
      <c r="F44" s="10" t="n">
        <f aca="false">F37*100000/F34</f>
        <v>619.379221051895</v>
      </c>
      <c r="G44" s="10" t="n">
        <f aca="false">G37*100000/G34</f>
        <v>1.67613636363636</v>
      </c>
      <c r="H44" s="10" t="str">
        <f aca="false">IF(H34&lt;=0,"no break-even",H37*100000/H34)</f>
        <v>no break-even</v>
      </c>
      <c r="I44" s="10" t="n">
        <f aca="false">I37*100000/I34</f>
        <v>40.5498281786942</v>
      </c>
      <c r="J44" s="10" t="n">
        <f aca="false">0</f>
        <v>0</v>
      </c>
      <c r="K44" s="10" t="n">
        <f aca="false">0</f>
        <v>0</v>
      </c>
      <c r="L44" s="10" t="n">
        <f aca="false">L37*100000/L34</f>
        <v>9.56365990782469</v>
      </c>
    </row>
    <row r="45" customFormat="false" ht="15" hidden="false" customHeight="false" outlineLevel="0" collapsed="false">
      <c r="A45" s="21" t="s">
        <v>1210</v>
      </c>
      <c r="B45" s="13" t="s">
        <v>1211</v>
      </c>
      <c r="C45" s="13" t="s">
        <v>1212</v>
      </c>
      <c r="D45" s="13" t="s">
        <v>1213</v>
      </c>
      <c r="E45" s="13" t="s">
        <v>1214</v>
      </c>
      <c r="F45" s="13" t="s">
        <v>1215</v>
      </c>
      <c r="G45" s="13" t="s">
        <v>1213</v>
      </c>
      <c r="H45" s="13" t="s">
        <v>1216</v>
      </c>
      <c r="I45" s="13" t="s">
        <v>1216</v>
      </c>
      <c r="J45" s="13" t="s">
        <v>1217</v>
      </c>
      <c r="K45" s="13" t="s">
        <v>1216</v>
      </c>
      <c r="L45" s="13" t="s">
        <v>1213</v>
      </c>
    </row>
    <row r="46" customFormat="false" ht="15" hidden="false" customHeight="false" outlineLevel="0" collapsed="false">
      <c r="A46" s="21" t="s">
        <v>1218</v>
      </c>
      <c r="B46" s="13" t="s">
        <v>1219</v>
      </c>
      <c r="C46" s="13" t="s">
        <v>1220</v>
      </c>
      <c r="D46" s="13" t="s">
        <v>1216</v>
      </c>
      <c r="E46" s="13" t="s">
        <v>1221</v>
      </c>
      <c r="F46" s="13" t="s">
        <v>1216</v>
      </c>
      <c r="G46" s="13" t="s">
        <v>1222</v>
      </c>
      <c r="H46" s="13" t="s">
        <v>1223</v>
      </c>
      <c r="I46" s="13" t="s">
        <v>1224</v>
      </c>
      <c r="J46" s="13" t="s">
        <v>1224</v>
      </c>
      <c r="K46" s="13" t="s">
        <v>1224</v>
      </c>
      <c r="L46" s="13" t="s">
        <v>1224</v>
      </c>
    </row>
    <row r="47" customFormat="false" ht="15" hidden="false" customHeight="false" outlineLevel="0" collapsed="false">
      <c r="A47" s="21" t="s">
        <v>1225</v>
      </c>
      <c r="B47" s="13" t="s">
        <v>1226</v>
      </c>
      <c r="C47" s="13" t="s">
        <v>1227</v>
      </c>
      <c r="D47" s="13" t="s">
        <v>1228</v>
      </c>
      <c r="E47" s="13" t="s">
        <v>1229</v>
      </c>
      <c r="F47" s="13" t="s">
        <v>1230</v>
      </c>
      <c r="G47" s="13" t="s">
        <v>1231</v>
      </c>
      <c r="H47" s="13" t="s">
        <v>1232</v>
      </c>
      <c r="I47" s="13" t="s">
        <v>1233</v>
      </c>
      <c r="J47" s="13" t="s">
        <v>1234</v>
      </c>
      <c r="K47" s="13" t="s">
        <v>1235</v>
      </c>
      <c r="L47" s="13" t="s">
        <v>1236</v>
      </c>
    </row>
    <row r="49" customFormat="false" ht="15" hidden="false" customHeight="false" outlineLevel="0" collapsed="false">
      <c r="A49" s="2" t="s">
        <v>1237</v>
      </c>
    </row>
    <row r="50" customFormat="false" ht="15" hidden="false" customHeight="false" outlineLevel="0" collapsed="false">
      <c r="A50" s="2" t="s">
        <v>1238</v>
      </c>
    </row>
    <row r="52" customFormat="false" ht="15" hidden="false" customHeight="false" outlineLevel="0" collapsed="false">
      <c r="A52" s="18" t="s">
        <v>1239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customFormat="false" ht="28.35" hidden="false" customHeight="false" outlineLevel="0" collapsed="false">
      <c r="A53" s="5" t="s">
        <v>103</v>
      </c>
      <c r="B53" s="5" t="s">
        <v>1240</v>
      </c>
      <c r="C53" s="5" t="s">
        <v>1241</v>
      </c>
      <c r="D53" s="5" t="s">
        <v>1242</v>
      </c>
      <c r="E53" s="5" t="s">
        <v>1243</v>
      </c>
      <c r="F53" s="5" t="s">
        <v>1244</v>
      </c>
    </row>
    <row r="54" customFormat="false" ht="15" hidden="false" customHeight="false" outlineLevel="0" collapsed="false">
      <c r="A54" s="0" t="s">
        <v>1245</v>
      </c>
      <c r="B54" s="10" t="n">
        <f aca="false">$C$24</f>
        <v>10</v>
      </c>
      <c r="C54" s="10" t="n">
        <f aca="false">D31</f>
        <v>25</v>
      </c>
      <c r="D54" s="10" t="n">
        <f aca="false">C31</f>
        <v>46</v>
      </c>
      <c r="E54" s="10" t="n">
        <f aca="false">C31</f>
        <v>46</v>
      </c>
      <c r="F54" s="2" t="s">
        <v>1246</v>
      </c>
    </row>
    <row r="55" customFormat="false" ht="15" hidden="false" customHeight="false" outlineLevel="0" collapsed="false">
      <c r="A55" s="0" t="s">
        <v>1247</v>
      </c>
      <c r="B55" s="10" t="n">
        <f aca="false">G34</f>
        <v>35796.6101694915</v>
      </c>
      <c r="C55" s="10" t="n">
        <f aca="false">D34</f>
        <v>19347.4576271186</v>
      </c>
      <c r="D55" s="10" t="n">
        <f aca="false">C34</f>
        <v>47129.9435028249</v>
      </c>
      <c r="E55" s="10" t="n">
        <f aca="false">E30/C31</f>
        <v>13043.4782608696</v>
      </c>
      <c r="F55" s="2" t="s">
        <v>1248</v>
      </c>
    </row>
    <row r="56" customFormat="false" ht="15" hidden="false" customHeight="false" outlineLevel="0" collapsed="false">
      <c r="A56" s="0" t="s">
        <v>1249</v>
      </c>
      <c r="B56" s="10" t="n">
        <f aca="false">0</f>
        <v>0</v>
      </c>
      <c r="C56" s="10" t="n">
        <f aca="false">100000</f>
        <v>100000</v>
      </c>
      <c r="D56" s="10" t="n">
        <f aca="false">$C$5</f>
        <v>2910000</v>
      </c>
      <c r="E56" s="10" t="n">
        <f aca="false">$C$11</f>
        <v>400000</v>
      </c>
      <c r="F56" s="2"/>
    </row>
    <row r="57" customFormat="false" ht="15" hidden="false" customHeight="false" outlineLevel="0" collapsed="false">
      <c r="A57" s="0" t="s">
        <v>1250</v>
      </c>
      <c r="B57" s="10" t="n">
        <f aca="false">B54*B55-B56</f>
        <v>357966.101694915</v>
      </c>
      <c r="C57" s="10" t="n">
        <f aca="false">C54*C55-C56</f>
        <v>383686.440677966</v>
      </c>
      <c r="D57" s="10" t="n">
        <f aca="false">D54*D55-D56</f>
        <v>-742022.598870056</v>
      </c>
      <c r="E57" s="10" t="n">
        <f aca="false">E54*E55-E56</f>
        <v>200000</v>
      </c>
      <c r="F57" s="2"/>
    </row>
    <row r="58" customFormat="false" ht="15" hidden="false" customHeight="false" outlineLevel="0" collapsed="false">
      <c r="A58" s="0" t="s">
        <v>1251</v>
      </c>
      <c r="B58" s="10" t="n">
        <f aca="false">0.5*Assumptions!$D$232</f>
        <v>175000</v>
      </c>
      <c r="C58" s="10" t="n">
        <f aca="false">Assumptions!$D$267</f>
        <v>350000</v>
      </c>
      <c r="D58" s="10" t="n">
        <f aca="false">$C$6</f>
        <v>1650000</v>
      </c>
      <c r="E58" s="10" t="n">
        <f aca="false">$C$13-$C$12</f>
        <v>300000</v>
      </c>
      <c r="F58" s="2" t="s">
        <v>1252</v>
      </c>
    </row>
    <row r="59" customFormat="false" ht="15" hidden="false" customHeight="false" outlineLevel="0" collapsed="false">
      <c r="A59" s="0" t="s">
        <v>1253</v>
      </c>
      <c r="B59" s="10" t="n">
        <f aca="false">-B58+B57*(1-(1+$C$23)^-5)/$C$23</f>
        <v>1024957.89271188</v>
      </c>
      <c r="C59" s="10" t="n">
        <f aca="false">-C58+C57*(1-(1+$C$23)^-5)/$C$23</f>
        <v>936176.458156493</v>
      </c>
      <c r="D59" s="10" t="n">
        <f aca="false">-D58+D57*(1-(1+$C$23)^-5)/$C$23</f>
        <v>-4137374.83764193</v>
      </c>
      <c r="E59" s="10" t="n">
        <f aca="false">-E58+E57*(1-(1+$C$23)^-5)/$C$23</f>
        <v>370431.01960228</v>
      </c>
      <c r="F59" s="2"/>
    </row>
    <row r="60" customFormat="false" ht="15" hidden="false" customHeight="false" outlineLevel="0" collapsed="false">
      <c r="A60" s="0" t="s">
        <v>1202</v>
      </c>
      <c r="B60" s="16" t="n">
        <f aca="false">IFERROR(IF(B57&lt;=0,"never",B58/B57),0)</f>
        <v>0.488873106060606</v>
      </c>
      <c r="C60" s="16" t="n">
        <f aca="false">IFERROR(IF(C57&lt;=0,"never",C58/C57),0)</f>
        <v>0.912203202650469</v>
      </c>
      <c r="D60" s="16" t="str">
        <f aca="false">IFERROR(IF(D57&lt;=0,"never",D58/D57),0)</f>
        <v>never</v>
      </c>
      <c r="E60" s="16" t="n">
        <f aca="false">IFERROR(IF(E57&lt;=0,"never",E58/E57),0)</f>
        <v>1.5</v>
      </c>
      <c r="F60" s="2"/>
    </row>
    <row r="61" customFormat="false" ht="15" hidden="false" customHeight="false" outlineLevel="0" collapsed="false">
      <c r="A61" s="0" t="s">
        <v>1254</v>
      </c>
      <c r="B61" s="10" t="n">
        <f aca="false">0</f>
        <v>0</v>
      </c>
      <c r="C61" s="10" t="n">
        <f aca="false">C56/C55</f>
        <v>5.16863775733684</v>
      </c>
      <c r="D61" s="10" t="n">
        <f aca="false">D56/D55</f>
        <v>61.7441860465116</v>
      </c>
      <c r="E61" s="10" t="n">
        <f aca="false">E56/E55</f>
        <v>30.6666666666667</v>
      </c>
      <c r="F61" s="2" t="s">
        <v>1255</v>
      </c>
    </row>
    <row r="62" customFormat="false" ht="15" hidden="false" customHeight="false" outlineLevel="0" collapsed="false">
      <c r="A62" s="0" t="s">
        <v>1256</v>
      </c>
      <c r="D62" s="16" t="n">
        <f aca="false">(D56+B54*B55)/D55</f>
        <v>69.3394869335891</v>
      </c>
      <c r="F62" s="2" t="s">
        <v>1257</v>
      </c>
    </row>
    <row r="63" customFormat="false" ht="15" hidden="false" customHeight="false" outlineLevel="0" collapsed="false">
      <c r="A63" s="0" t="s">
        <v>1258</v>
      </c>
      <c r="C63" s="16" t="n">
        <f aca="false">(C56+B54*B55)/C55/B54</f>
        <v>2.3670608848007</v>
      </c>
      <c r="F63" s="2" t="s">
        <v>1259</v>
      </c>
    </row>
    <row r="64" customFormat="false" ht="15" hidden="false" customHeight="false" outlineLevel="0" collapsed="false">
      <c r="A64" s="0" t="s">
        <v>1260</v>
      </c>
      <c r="B64" s="10" t="n">
        <f aca="false">Assumptions!$D$20+22500</f>
        <v>102500</v>
      </c>
      <c r="C64" s="10" t="n">
        <f aca="false">Assumptions!$D$20+2500</f>
        <v>82500</v>
      </c>
      <c r="D64" s="10" t="n">
        <f aca="false">Assumptions!$D$20+2500</f>
        <v>82500</v>
      </c>
      <c r="E64" s="10" t="n">
        <f aca="false">Assumptions!$D$20+2500</f>
        <v>82500</v>
      </c>
      <c r="F64" s="2" t="s">
        <v>1261</v>
      </c>
    </row>
    <row r="66" customFormat="false" ht="15" hidden="false" customHeight="false" outlineLevel="0" collapsed="false">
      <c r="A66" s="3" t="s">
        <v>1262</v>
      </c>
    </row>
    <row r="67" customFormat="false" ht="15" hidden="false" customHeight="false" outlineLevel="0" collapsed="false">
      <c r="B67" s="36" t="n">
        <v>1</v>
      </c>
      <c r="C67" s="36" t="n">
        <v>1.5</v>
      </c>
      <c r="D67" s="36" t="n">
        <v>2</v>
      </c>
      <c r="E67" s="36" t="n">
        <v>3</v>
      </c>
      <c r="F67" s="36" t="n">
        <v>4.6</v>
      </c>
    </row>
    <row r="68" customFormat="false" ht="15" hidden="false" customHeight="false" outlineLevel="0" collapsed="false">
      <c r="A68" s="0" t="s">
        <v>1263</v>
      </c>
      <c r="B68" s="10" t="n">
        <f aca="false">B67*$B$54*$C$55-$C$56</f>
        <v>93474.5762711865</v>
      </c>
      <c r="C68" s="10" t="n">
        <f aca="false">C67*$B$54*$C$55-$C$56</f>
        <v>190211.86440678</v>
      </c>
      <c r="D68" s="10" t="n">
        <f aca="false">D67*$B$54*$C$55-$C$56</f>
        <v>286949.152542373</v>
      </c>
      <c r="E68" s="10" t="n">
        <f aca="false">E67*$B$54*$C$55-$C$56</f>
        <v>480423.728813559</v>
      </c>
      <c r="F68" s="10" t="n">
        <f aca="false">F67*$B$54*$C$55-$C$56</f>
        <v>789983.050847458</v>
      </c>
    </row>
    <row r="69" customFormat="false" ht="15" hidden="false" customHeight="false" outlineLevel="0" collapsed="false">
      <c r="A69" s="0" t="s">
        <v>1264</v>
      </c>
      <c r="B69" s="10" t="n">
        <f aca="false">B67*$B$54*$D$55-$D$56</f>
        <v>-2438700.56497175</v>
      </c>
      <c r="C69" s="10" t="n">
        <f aca="false">C67*$B$54*$D$55-$D$56</f>
        <v>-2203050.84745763</v>
      </c>
      <c r="D69" s="10" t="n">
        <f aca="false">D67*$B$54*$D$55-$D$56</f>
        <v>-1967401.1299435</v>
      </c>
      <c r="E69" s="10" t="n">
        <f aca="false">E67*$B$54*$D$55-$D$56</f>
        <v>-1496101.69491525</v>
      </c>
      <c r="F69" s="10" t="n">
        <f aca="false">F67*$B$54*$D$55-$D$56</f>
        <v>-742022.598870056</v>
      </c>
    </row>
    <row r="70" customFormat="false" ht="15" hidden="false" customHeight="false" outlineLevel="0" collapsed="false">
      <c r="A70" s="0" t="s">
        <v>1265</v>
      </c>
      <c r="B70" s="10" t="n">
        <f aca="false">$B$57</f>
        <v>357966.101694915</v>
      </c>
      <c r="C70" s="10" t="n">
        <f aca="false">$B$57</f>
        <v>357966.101694915</v>
      </c>
      <c r="D70" s="10" t="n">
        <f aca="false">$B$57</f>
        <v>357966.101694915</v>
      </c>
      <c r="E70" s="10" t="n">
        <f aca="false">$B$57</f>
        <v>357966.101694915</v>
      </c>
      <c r="F70" s="10" t="n">
        <f aca="false">$B$57</f>
        <v>357966.101694915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14" min="3" style="0" width="15"/>
    <col collapsed="false" customWidth="true" hidden="false" outlineLevel="0" max="20" min="15" style="0" width="10"/>
  </cols>
  <sheetData>
    <row r="1" customFormat="false" ht="17.35" hidden="false" customHeight="false" outlineLevel="0" collapsed="false">
      <c r="A1" s="1" t="s">
        <v>1266</v>
      </c>
    </row>
    <row r="2" customFormat="false" ht="15" hidden="false" customHeight="false" outlineLevel="0" collapsed="false">
      <c r="A2" s="2" t="s">
        <v>1267</v>
      </c>
    </row>
    <row r="5" customFormat="false" ht="149.25" hidden="false" customHeight="false" outlineLevel="0" collapsed="false">
      <c r="A5" s="5" t="s">
        <v>103</v>
      </c>
      <c r="B5" s="5" t="s">
        <v>1268</v>
      </c>
      <c r="C5" s="5" t="s">
        <v>1269</v>
      </c>
      <c r="D5" s="5" t="s">
        <v>1270</v>
      </c>
      <c r="E5" s="5" t="s">
        <v>1271</v>
      </c>
      <c r="F5" s="5" t="s">
        <v>1272</v>
      </c>
      <c r="G5" s="5" t="s">
        <v>1273</v>
      </c>
    </row>
    <row r="6" customFormat="false" ht="15" hidden="false" customHeight="false" outlineLevel="0" collapsed="false">
      <c r="A6" s="3" t="s">
        <v>158</v>
      </c>
      <c r="B6" s="25" t="n">
        <f aca="false">-MIN(0,MIN(D22:D81))</f>
        <v>2518332.24604047</v>
      </c>
      <c r="C6" s="25" t="n">
        <f aca="false">-MIN(0,MIN(F22:F81))</f>
        <v>3256319.56973428</v>
      </c>
      <c r="D6" s="25" t="n">
        <f aca="false">-MIN(0,MIN(H22:H81))</f>
        <v>2652419.81279978</v>
      </c>
      <c r="E6" s="25" t="n">
        <f aca="false">-MIN(0,MIN(J22:J81))</f>
        <v>3372912.20206888</v>
      </c>
      <c r="F6" s="25" t="n">
        <f aca="false">-MIN(0,MIN(L22:L81))</f>
        <v>3812695.05987753</v>
      </c>
      <c r="G6" s="25" t="n">
        <f aca="false">-MIN(0,MIN(N22:N81))</f>
        <v>9092635.92387753</v>
      </c>
    </row>
    <row r="7" customFormat="false" ht="15" hidden="false" customHeight="false" outlineLevel="0" collapsed="false">
      <c r="A7" s="3" t="s">
        <v>159</v>
      </c>
      <c r="B7" s="31" t="n">
        <f aca="false">MATCH(MIN(D22:D81),D22:D81,0)</f>
        <v>9</v>
      </c>
      <c r="C7" s="31" t="n">
        <f aca="false">MATCH(MIN(F22:F81),F22:F81,0)</f>
        <v>10</v>
      </c>
      <c r="D7" s="31" t="n">
        <f aca="false">MATCH(MIN(H22:H81),H22:H81,0)</f>
        <v>6</v>
      </c>
      <c r="E7" s="31" t="n">
        <f aca="false">MATCH(MIN(J22:J81),J22:J81,0)</f>
        <v>24</v>
      </c>
      <c r="F7" s="31" t="n">
        <f aca="false">MATCH(MIN(L22:L81),L22:L81,0)</f>
        <v>60</v>
      </c>
      <c r="G7" s="31" t="n">
        <f aca="false">MATCH(MIN(N22:N81),N22:N81,0)</f>
        <v>60</v>
      </c>
    </row>
    <row r="8" customFormat="false" ht="15" hidden="false" customHeight="false" outlineLevel="0" collapsed="false">
      <c r="A8" s="3" t="s">
        <v>160</v>
      </c>
      <c r="B8" s="31" t="n">
        <f aca="false">IF(D81&lt;0,"beyond M60",MAX(O22:O81)+1)</f>
        <v>29</v>
      </c>
      <c r="C8" s="31" t="n">
        <f aca="false">IF(F81&lt;0,"beyond M60",MAX(P22:P81)+1)</f>
        <v>40</v>
      </c>
      <c r="D8" s="31" t="n">
        <f aca="false">IF(H81&lt;0,"beyond M60",MAX(Q22:Q81)+1)</f>
        <v>29</v>
      </c>
      <c r="E8" s="31" t="n">
        <f aca="false">IF(J81&lt;0,"beyond M60",MAX(R22:R81)+1)</f>
        <v>39</v>
      </c>
      <c r="F8" s="31" t="str">
        <f aca="false">IF(L81&lt;0,"beyond M60",MAX(S22:S81)+1)</f>
        <v>beyond M60</v>
      </c>
      <c r="G8" s="31" t="str">
        <f aca="false">IF(N81&lt;0,"beyond M60",MAX(T22:T81)+1)</f>
        <v>beyond M60</v>
      </c>
    </row>
    <row r="9" customFormat="false" ht="15" hidden="false" customHeight="false" outlineLevel="0" collapsed="false">
      <c r="A9" s="3" t="s">
        <v>161</v>
      </c>
      <c r="B9" s="25" t="n">
        <f aca="false">D57</f>
        <v>2290823.38259106</v>
      </c>
      <c r="C9" s="25" t="n">
        <f aca="false">F57</f>
        <v>-630936.617408943</v>
      </c>
      <c r="D9" s="25" t="n">
        <f aca="false">H57</f>
        <v>2303647.78406493</v>
      </c>
      <c r="E9" s="25" t="n">
        <f aca="false">J57</f>
        <v>-618112.215935075</v>
      </c>
      <c r="F9" s="25" t="n">
        <f aca="false">L57</f>
        <v>-3007385.65437792</v>
      </c>
      <c r="G9" s="25" t="n">
        <f aca="false">N57</f>
        <v>-5929145.65437792</v>
      </c>
    </row>
    <row r="10" customFormat="false" ht="15" hidden="false" customHeight="false" outlineLevel="0" collapsed="false">
      <c r="A10" s="3" t="s">
        <v>162</v>
      </c>
      <c r="B10" s="25" t="n">
        <f aca="false">D81</f>
        <v>9423073.56280409</v>
      </c>
      <c r="C10" s="25" t="n">
        <f aca="false">F81</f>
        <v>4143132.6988041</v>
      </c>
      <c r="D10" s="25" t="n">
        <f aca="false">H81</f>
        <v>9912767.75633254</v>
      </c>
      <c r="E10" s="25" t="n">
        <f aca="false">J81</f>
        <v>4632826.89233254</v>
      </c>
      <c r="F10" s="25" t="n">
        <f aca="false">L81</f>
        <v>-3812695.05987753</v>
      </c>
      <c r="G10" s="25" t="n">
        <f aca="false">N81</f>
        <v>-9092635.92387753</v>
      </c>
    </row>
    <row r="11" customFormat="false" ht="15" hidden="false" customHeight="false" outlineLevel="0" collapsed="false">
      <c r="A11" s="3" t="s">
        <v>163</v>
      </c>
      <c r="B11" s="29" t="n">
        <f aca="false">IFERROR((1+IRR(C22:C57,0.01))^12-1,"n/m")</f>
        <v>0.462322433593038</v>
      </c>
      <c r="C11" s="29" t="n">
        <f aca="false">IFERROR((1+IRR(E22:E57,0.01))^12-1,"n/m")</f>
        <v>-0.10228643865538</v>
      </c>
      <c r="D11" s="29" t="n">
        <f aca="false">IFERROR((1+IRR(G22:G57,0.01))^12-1,"n/m")</f>
        <v>0.424017436356245</v>
      </c>
      <c r="E11" s="29" t="n">
        <f aca="false">IFERROR((1+IRR(I22:I57,0.01))^12-1,"n/m")</f>
        <v>-0.0940025654745872</v>
      </c>
      <c r="F11" s="29" t="str">
        <f aca="false">IFERROR((1+IRR(K22:K57,0.01))^12-1,"n/m")</f>
        <v>n/m</v>
      </c>
      <c r="G11" s="29" t="str">
        <f aca="false">IFERROR((1+IRR(M22:M57,0.01))^12-1,"n/m")</f>
        <v>n/m</v>
      </c>
    </row>
    <row r="12" customFormat="false" ht="15" hidden="false" customHeight="false" outlineLevel="0" collapsed="false">
      <c r="A12" s="3" t="s">
        <v>164</v>
      </c>
      <c r="B12" s="29" t="n">
        <f aca="false">IFERROR((1+IRR(C22:C81,0.01))^12-1,"n/m")</f>
        <v>0.866932888250671</v>
      </c>
      <c r="C12" s="29" t="n">
        <f aca="false">IFERROR((1+IRR(E22:E81,0.01))^12-1,"n/m")</f>
        <v>0.329040367579717</v>
      </c>
      <c r="D12" s="29" t="n">
        <f aca="false">IFERROR((1+IRR(G22:G81,0.01))^12-1,"n/m")</f>
        <v>0.827296464155021</v>
      </c>
      <c r="E12" s="29" t="n">
        <f aca="false">IFERROR((1+IRR(I22:I81,0.01))^12-1,"n/m")</f>
        <v>0.340381912086921</v>
      </c>
      <c r="F12" s="29" t="str">
        <f aca="false">IFERROR((1+IRR(K22:K81,0.01))^12-1,"n/m")</f>
        <v>n/m</v>
      </c>
      <c r="G12" s="29" t="str">
        <f aca="false">IFERROR((1+IRR(M22:M81,0.01))^12-1,"n/m")</f>
        <v>n/m</v>
      </c>
    </row>
    <row r="13" customFormat="false" ht="15" hidden="false" customHeight="false" outlineLevel="0" collapsed="false">
      <c r="A13" s="3" t="s">
        <v>165</v>
      </c>
      <c r="B13" s="25" t="n">
        <f aca="false">Assumptions!$D$11+MIN(0,MIN(D22:D81))</f>
        <v>481667.753959533</v>
      </c>
      <c r="C13" s="25" t="n">
        <f aca="false">Assumptions!$D$11+MIN(0,MIN(F22:F81))</f>
        <v>-256319.569734285</v>
      </c>
      <c r="D13" s="25" t="n">
        <f aca="false">Assumptions!$D$11+MIN(0,MIN(H22:H81))</f>
        <v>347580.187200224</v>
      </c>
      <c r="E13" s="25" t="n">
        <f aca="false">Assumptions!$D$11+MIN(0,MIN(J22:J81))</f>
        <v>-372912.20206888</v>
      </c>
      <c r="F13" s="25" t="n">
        <f aca="false">Assumptions!$D$11+MIN(0,MIN(L22:L81))</f>
        <v>-812695.059877526</v>
      </c>
      <c r="G13" s="25" t="n">
        <f aca="false">Assumptions!$D$11+MIN(0,MIN(N22:N81))</f>
        <v>-6092635.92387753</v>
      </c>
    </row>
    <row r="14" customFormat="false" ht="15" hidden="false" customHeight="false" outlineLevel="0" collapsed="false">
      <c r="A14" s="3" t="s">
        <v>166</v>
      </c>
      <c r="B14" s="25" t="n">
        <f aca="false">Assumptions!$D$11+Assumptions!$D$181+MIN(0,MIN(D22:D81))</f>
        <v>981667.753959533</v>
      </c>
      <c r="C14" s="25" t="n">
        <f aca="false">Assumptions!$D$11+Assumptions!$D$181+MIN(0,MIN(F22:F81))</f>
        <v>243680.430265715</v>
      </c>
      <c r="D14" s="25" t="n">
        <f aca="false">Assumptions!$D$11+Assumptions!$D$181+MIN(0,MIN(H22:H81))</f>
        <v>847580.187200224</v>
      </c>
      <c r="E14" s="25" t="n">
        <f aca="false">Assumptions!$D$11+Assumptions!$D$181+MIN(0,MIN(J22:J81))</f>
        <v>127087.79793112</v>
      </c>
      <c r="F14" s="25" t="n">
        <f aca="false">Assumptions!$D$11+Assumptions!$D$181+MIN(0,MIN(L22:L81))</f>
        <v>-312695.059877526</v>
      </c>
      <c r="G14" s="25" t="n">
        <f aca="false">Assumptions!$D$11+Assumptions!$D$181+MIN(0,MIN(N22:N81))</f>
        <v>-5592635.92387753</v>
      </c>
    </row>
    <row r="16" customFormat="false" ht="15" hidden="false" customHeight="false" outlineLevel="0" collapsed="false">
      <c r="A16" s="2" t="s">
        <v>1274</v>
      </c>
    </row>
    <row r="17" customFormat="false" ht="15" hidden="false" customHeight="false" outlineLevel="0" collapsed="false">
      <c r="A17" s="2" t="s">
        <v>1275</v>
      </c>
    </row>
    <row r="21" customFormat="false" ht="122.35" hidden="false" customHeight="false" outlineLevel="0" collapsed="false">
      <c r="A21" s="5" t="s">
        <v>1276</v>
      </c>
      <c r="B21" s="5" t="s">
        <v>1277</v>
      </c>
      <c r="C21" s="5" t="s">
        <v>1278</v>
      </c>
      <c r="D21" s="5" t="s">
        <v>1279</v>
      </c>
      <c r="E21" s="5" t="s">
        <v>1280</v>
      </c>
      <c r="F21" s="5" t="s">
        <v>1281</v>
      </c>
      <c r="G21" s="5" t="s">
        <v>1282</v>
      </c>
      <c r="H21" s="5" t="s">
        <v>1279</v>
      </c>
      <c r="I21" s="5" t="s">
        <v>1280</v>
      </c>
      <c r="J21" s="5" t="s">
        <v>1281</v>
      </c>
      <c r="K21" s="5" t="s">
        <v>1283</v>
      </c>
      <c r="L21" s="5" t="s">
        <v>1279</v>
      </c>
      <c r="M21" s="5" t="s">
        <v>1280</v>
      </c>
      <c r="N21" s="5" t="s">
        <v>1281</v>
      </c>
      <c r="O21" s="5" t="s">
        <v>1284</v>
      </c>
      <c r="P21" s="5"/>
      <c r="Q21" s="5"/>
      <c r="R21" s="5"/>
      <c r="S21" s="5"/>
      <c r="T21" s="5"/>
    </row>
    <row r="22" customFormat="false" ht="15" hidden="false" customHeight="false" outlineLevel="0" collapsed="false">
      <c r="A22" s="0" t="n">
        <v>1</v>
      </c>
      <c r="B22" s="0" t="n">
        <v>1</v>
      </c>
      <c r="C22" s="10" t="n">
        <f aca="false">INDEX(Staged_G1M9!$C$114:$N$114,1)</f>
        <v>-393465.745254174</v>
      </c>
      <c r="D22" s="10" t="n">
        <f aca="false">C22</f>
        <v>-393465.745254174</v>
      </c>
      <c r="E22" s="10" t="n">
        <f aca="false">C22-Assumptions!$D$204*(1+Assumptions!$D$269)^(1-1)</f>
        <v>-468465.745254174</v>
      </c>
      <c r="F22" s="10" t="n">
        <f aca="false">E22</f>
        <v>-468465.745254174</v>
      </c>
      <c r="G22" s="10" t="n">
        <f aca="false">INDEX(Staged_G1M6!$C$114:$N$114,1)</f>
        <v>-393465.745254174</v>
      </c>
      <c r="H22" s="10" t="n">
        <f aca="false">G22</f>
        <v>-393465.745254174</v>
      </c>
      <c r="I22" s="10" t="n">
        <f aca="false">G22-Assumptions!$D$204*(1+Assumptions!$D$269)^(1-1)</f>
        <v>-468465.745254174</v>
      </c>
      <c r="J22" s="10" t="n">
        <f aca="false">I22</f>
        <v>-468465.745254174</v>
      </c>
      <c r="K22" s="10" t="n">
        <f aca="false">INDEX(Staged_G1M9!$C$114:$N$114,1)</f>
        <v>-393465.745254174</v>
      </c>
      <c r="L22" s="10" t="n">
        <f aca="false">K22</f>
        <v>-393465.745254174</v>
      </c>
      <c r="M22" s="10" t="n">
        <f aca="false">K22-Assumptions!$D$204*(1+Assumptions!$D$269)^(1-1)</f>
        <v>-468465.745254174</v>
      </c>
      <c r="N22" s="10" t="n">
        <f aca="false">M22</f>
        <v>-468465.745254174</v>
      </c>
      <c r="O22" s="13" t="n">
        <f aca="false">IF(D22&lt;0,A22,0)</f>
        <v>1</v>
      </c>
      <c r="P22" s="13" t="n">
        <f aca="false">IF(F22&lt;0,A22,0)</f>
        <v>1</v>
      </c>
      <c r="Q22" s="13" t="n">
        <f aca="false">IF(H22&lt;0,A22,0)</f>
        <v>1</v>
      </c>
      <c r="R22" s="13" t="n">
        <f aca="false">IF(J22&lt;0,A22,0)</f>
        <v>1</v>
      </c>
      <c r="S22" s="13" t="n">
        <f aca="false">IF(L22&lt;0,A22,0)</f>
        <v>1</v>
      </c>
      <c r="T22" s="13" t="n">
        <f aca="false">IF(N22&lt;0,A22,0)</f>
        <v>1</v>
      </c>
    </row>
    <row r="23" customFormat="false" ht="15" hidden="false" customHeight="false" outlineLevel="0" collapsed="false">
      <c r="A23" s="0" t="n">
        <v>2</v>
      </c>
      <c r="B23" s="0" t="n">
        <v>1</v>
      </c>
      <c r="C23" s="10" t="n">
        <f aca="false">INDEX(Staged_G1M9!$C$114:$N$114,2)</f>
        <v>-191428.926719509</v>
      </c>
      <c r="D23" s="10" t="n">
        <f aca="false">C23+D22</f>
        <v>-584894.671973683</v>
      </c>
      <c r="E23" s="10" t="n">
        <f aca="false">C23-Assumptions!$D$204*(1+Assumptions!$D$269)^(1-1)</f>
        <v>-266428.926719509</v>
      </c>
      <c r="F23" s="10" t="n">
        <f aca="false">E23+F22</f>
        <v>-734894.671973683</v>
      </c>
      <c r="G23" s="10" t="n">
        <f aca="false">INDEX(Staged_G1M6!$C$114:$N$114,2)</f>
        <v>-191428.926719509</v>
      </c>
      <c r="H23" s="10" t="n">
        <f aca="false">G23+H22</f>
        <v>-584894.671973683</v>
      </c>
      <c r="I23" s="10" t="n">
        <f aca="false">G23-Assumptions!$D$204*(1+Assumptions!$D$269)^(1-1)</f>
        <v>-266428.926719509</v>
      </c>
      <c r="J23" s="10" t="n">
        <f aca="false">I23+J22</f>
        <v>-734894.671973683</v>
      </c>
      <c r="K23" s="10" t="n">
        <f aca="false">INDEX(Staged_G1M9!$C$114:$N$114,2)</f>
        <v>-191428.926719509</v>
      </c>
      <c r="L23" s="10" t="n">
        <f aca="false">K23+L22</f>
        <v>-584894.671973683</v>
      </c>
      <c r="M23" s="10" t="n">
        <f aca="false">K23-Assumptions!$D$204*(1+Assumptions!$D$269)^(1-1)</f>
        <v>-266428.926719509</v>
      </c>
      <c r="N23" s="10" t="n">
        <f aca="false">M23+N22</f>
        <v>-734894.671973683</v>
      </c>
      <c r="O23" s="13" t="n">
        <f aca="false">IF(D23&lt;0,A23,0)</f>
        <v>2</v>
      </c>
      <c r="P23" s="13" t="n">
        <f aca="false">IF(F23&lt;0,A23,0)</f>
        <v>2</v>
      </c>
      <c r="Q23" s="13" t="n">
        <f aca="false">IF(H23&lt;0,A23,0)</f>
        <v>2</v>
      </c>
      <c r="R23" s="13" t="n">
        <f aca="false">IF(J23&lt;0,A23,0)</f>
        <v>2</v>
      </c>
      <c r="S23" s="13" t="n">
        <f aca="false">IF(L23&lt;0,A23,0)</f>
        <v>2</v>
      </c>
      <c r="T23" s="13" t="n">
        <f aca="false">IF(N23&lt;0,A23,0)</f>
        <v>2</v>
      </c>
    </row>
    <row r="24" customFormat="false" ht="15" hidden="false" customHeight="false" outlineLevel="0" collapsed="false">
      <c r="A24" s="0" t="n">
        <v>3</v>
      </c>
      <c r="B24" s="0" t="n">
        <v>1</v>
      </c>
      <c r="C24" s="10" t="n">
        <f aca="false">INDEX(Staged_G1M9!$C$114:$N$114,3)</f>
        <v>-411661.06295313</v>
      </c>
      <c r="D24" s="10" t="n">
        <f aca="false">C24+D23</f>
        <v>-996555.734926813</v>
      </c>
      <c r="E24" s="10" t="n">
        <f aca="false">C24-Assumptions!$D$204*(1+Assumptions!$D$269)^(1-1)</f>
        <v>-486661.06295313</v>
      </c>
      <c r="F24" s="10" t="n">
        <f aca="false">E24+F23</f>
        <v>-1221555.73492681</v>
      </c>
      <c r="G24" s="10" t="n">
        <f aca="false">INDEX(Staged_G1M6!$C$114:$N$114,3)</f>
        <v>-411661.06295313</v>
      </c>
      <c r="H24" s="10" t="n">
        <f aca="false">G24+H23</f>
        <v>-996555.734926813</v>
      </c>
      <c r="I24" s="10" t="n">
        <f aca="false">G24-Assumptions!$D$204*(1+Assumptions!$D$269)^(1-1)</f>
        <v>-486661.06295313</v>
      </c>
      <c r="J24" s="10" t="n">
        <f aca="false">I24+J23</f>
        <v>-1221555.73492681</v>
      </c>
      <c r="K24" s="10" t="n">
        <f aca="false">INDEX(Staged_G1M9!$C$114:$N$114,3)</f>
        <v>-411661.06295313</v>
      </c>
      <c r="L24" s="10" t="n">
        <f aca="false">K24+L23</f>
        <v>-996555.734926813</v>
      </c>
      <c r="M24" s="10" t="n">
        <f aca="false">K24-Assumptions!$D$204*(1+Assumptions!$D$269)^(1-1)</f>
        <v>-486661.06295313</v>
      </c>
      <c r="N24" s="10" t="n">
        <f aca="false">M24+N23</f>
        <v>-1221555.73492681</v>
      </c>
      <c r="O24" s="13" t="n">
        <f aca="false">IF(D24&lt;0,A24,0)</f>
        <v>3</v>
      </c>
      <c r="P24" s="13" t="n">
        <f aca="false">IF(F24&lt;0,A24,0)</f>
        <v>3</v>
      </c>
      <c r="Q24" s="13" t="n">
        <f aca="false">IF(H24&lt;0,A24,0)</f>
        <v>3</v>
      </c>
      <c r="R24" s="13" t="n">
        <f aca="false">IF(J24&lt;0,A24,0)</f>
        <v>3</v>
      </c>
      <c r="S24" s="13" t="n">
        <f aca="false">IF(L24&lt;0,A24,0)</f>
        <v>3</v>
      </c>
      <c r="T24" s="13" t="n">
        <f aca="false">IF(N24&lt;0,A24,0)</f>
        <v>3</v>
      </c>
    </row>
    <row r="25" customFormat="false" ht="15" hidden="false" customHeight="false" outlineLevel="0" collapsed="false">
      <c r="A25" s="0" t="n">
        <v>4</v>
      </c>
      <c r="B25" s="0" t="n">
        <v>1</v>
      </c>
      <c r="C25" s="10" t="n">
        <f aca="false">INDEX(Staged_G1M9!$C$114:$N$114,4)</f>
        <v>-103181.731623909</v>
      </c>
      <c r="D25" s="10" t="n">
        <f aca="false">C25+D24</f>
        <v>-1099737.46655072</v>
      </c>
      <c r="E25" s="10" t="n">
        <f aca="false">C25-Assumptions!$D$204*(1+Assumptions!$D$269)^(1-1)</f>
        <v>-178181.731623909</v>
      </c>
      <c r="F25" s="10" t="n">
        <f aca="false">E25+F24</f>
        <v>-1399737.46655072</v>
      </c>
      <c r="G25" s="10" t="n">
        <f aca="false">INDEX(Staged_G1M6!$C$114:$N$114,4)</f>
        <v>-103181.731623909</v>
      </c>
      <c r="H25" s="10" t="n">
        <f aca="false">G25+H24</f>
        <v>-1099737.46655072</v>
      </c>
      <c r="I25" s="10" t="n">
        <f aca="false">G25-Assumptions!$D$204*(1+Assumptions!$D$269)^(1-1)</f>
        <v>-178181.731623909</v>
      </c>
      <c r="J25" s="10" t="n">
        <f aca="false">I25+J24</f>
        <v>-1399737.46655072</v>
      </c>
      <c r="K25" s="10" t="n">
        <f aca="false">INDEX(Staged_G1M9!$C$114:$N$114,4)</f>
        <v>-103181.731623909</v>
      </c>
      <c r="L25" s="10" t="n">
        <f aca="false">K25+L24</f>
        <v>-1099737.46655072</v>
      </c>
      <c r="M25" s="10" t="n">
        <f aca="false">K25-Assumptions!$D$204*(1+Assumptions!$D$269)^(1-1)</f>
        <v>-178181.731623909</v>
      </c>
      <c r="N25" s="10" t="n">
        <f aca="false">M25+N24</f>
        <v>-1399737.46655072</v>
      </c>
      <c r="O25" s="13" t="n">
        <f aca="false">IF(D25&lt;0,A25,0)</f>
        <v>4</v>
      </c>
      <c r="P25" s="13" t="n">
        <f aca="false">IF(F25&lt;0,A25,0)</f>
        <v>4</v>
      </c>
      <c r="Q25" s="13" t="n">
        <f aca="false">IF(H25&lt;0,A25,0)</f>
        <v>4</v>
      </c>
      <c r="R25" s="13" t="n">
        <f aca="false">IF(J25&lt;0,A25,0)</f>
        <v>4</v>
      </c>
      <c r="S25" s="13" t="n">
        <f aca="false">IF(L25&lt;0,A25,0)</f>
        <v>4</v>
      </c>
      <c r="T25" s="13" t="n">
        <f aca="false">IF(N25&lt;0,A25,0)</f>
        <v>4</v>
      </c>
    </row>
    <row r="26" customFormat="false" ht="15" hidden="false" customHeight="false" outlineLevel="0" collapsed="false">
      <c r="A26" s="0" t="n">
        <v>5</v>
      </c>
      <c r="B26" s="0" t="n">
        <v>1</v>
      </c>
      <c r="C26" s="10" t="n">
        <f aca="false">INDEX(Staged_G1M9!$C$114:$N$114,5)</f>
        <v>-70998.4264799663</v>
      </c>
      <c r="D26" s="10" t="n">
        <f aca="false">C26+D25</f>
        <v>-1170735.89303069</v>
      </c>
      <c r="E26" s="10" t="n">
        <f aca="false">C26-Assumptions!$D$204*(1+Assumptions!$D$269)^(1-1)</f>
        <v>-145998.426479966</v>
      </c>
      <c r="F26" s="10" t="n">
        <f aca="false">E26+F25</f>
        <v>-1545735.89303069</v>
      </c>
      <c r="G26" s="10" t="n">
        <f aca="false">INDEX(Staged_G1M6!$C$114:$N$114,5)</f>
        <v>-70998.4264799663</v>
      </c>
      <c r="H26" s="10" t="n">
        <f aca="false">G26+H25</f>
        <v>-1170735.89303069</v>
      </c>
      <c r="I26" s="10" t="n">
        <f aca="false">G26-Assumptions!$D$204*(1+Assumptions!$D$269)^(1-1)</f>
        <v>-145998.426479966</v>
      </c>
      <c r="J26" s="10" t="n">
        <f aca="false">I26+J25</f>
        <v>-1545735.89303069</v>
      </c>
      <c r="K26" s="10" t="n">
        <f aca="false">INDEX(Staged_G1M9!$C$114:$N$114,5)</f>
        <v>-70998.4264799663</v>
      </c>
      <c r="L26" s="10" t="n">
        <f aca="false">K26+L25</f>
        <v>-1170735.89303069</v>
      </c>
      <c r="M26" s="10" t="n">
        <f aca="false">K26-Assumptions!$D$204*(1+Assumptions!$D$269)^(1-1)</f>
        <v>-145998.426479966</v>
      </c>
      <c r="N26" s="10" t="n">
        <f aca="false">M26+N25</f>
        <v>-1545735.89303069</v>
      </c>
      <c r="O26" s="13" t="n">
        <f aca="false">IF(D26&lt;0,A26,0)</f>
        <v>5</v>
      </c>
      <c r="P26" s="13" t="n">
        <f aca="false">IF(F26&lt;0,A26,0)</f>
        <v>5</v>
      </c>
      <c r="Q26" s="13" t="n">
        <f aca="false">IF(H26&lt;0,A26,0)</f>
        <v>5</v>
      </c>
      <c r="R26" s="13" t="n">
        <f aca="false">IF(J26&lt;0,A26,0)</f>
        <v>5</v>
      </c>
      <c r="S26" s="13" t="n">
        <f aca="false">IF(L26&lt;0,A26,0)</f>
        <v>5</v>
      </c>
      <c r="T26" s="13" t="n">
        <f aca="false">IF(N26&lt;0,A26,0)</f>
        <v>5</v>
      </c>
    </row>
    <row r="27" customFormat="false" ht="15" hidden="false" customHeight="false" outlineLevel="0" collapsed="false">
      <c r="A27" s="0" t="n">
        <v>6</v>
      </c>
      <c r="B27" s="0" t="n">
        <v>1</v>
      </c>
      <c r="C27" s="10" t="n">
        <f aca="false">INDEX(Staged_G1M9!$C$114:$N$114,6)</f>
        <v>-9683.91976908833</v>
      </c>
      <c r="D27" s="10" t="n">
        <f aca="false">C27+D26</f>
        <v>-1180419.81279978</v>
      </c>
      <c r="E27" s="10" t="n">
        <f aca="false">C27-Assumptions!$D$204*(1+Assumptions!$D$269)^(1-1)</f>
        <v>-84683.9197690883</v>
      </c>
      <c r="F27" s="10" t="n">
        <f aca="false">E27+F26</f>
        <v>-1630419.81279978</v>
      </c>
      <c r="G27" s="10" t="n">
        <f aca="false">INDEX(Staged_G1M6!$C$114:$N$114,6)</f>
        <v>-1481683.91976909</v>
      </c>
      <c r="H27" s="10" t="n">
        <f aca="false">G27+H26</f>
        <v>-2652419.81279978</v>
      </c>
      <c r="I27" s="10" t="n">
        <f aca="false">G27-Assumptions!$D$204*(1+Assumptions!$D$269)^(1-1)</f>
        <v>-1556683.91976909</v>
      </c>
      <c r="J27" s="10" t="n">
        <f aca="false">I27+J26</f>
        <v>-3102419.81279978</v>
      </c>
      <c r="K27" s="10" t="n">
        <f aca="false">INDEX(Staged_G1M9!$C$114:$N$114,6)</f>
        <v>-9683.91976908833</v>
      </c>
      <c r="L27" s="10" t="n">
        <f aca="false">K27+L26</f>
        <v>-1180419.81279978</v>
      </c>
      <c r="M27" s="10" t="n">
        <f aca="false">K27-Assumptions!$D$204*(1+Assumptions!$D$269)^(1-1)</f>
        <v>-84683.9197690883</v>
      </c>
      <c r="N27" s="10" t="n">
        <f aca="false">M27+N26</f>
        <v>-1630419.81279978</v>
      </c>
      <c r="O27" s="13" t="n">
        <f aca="false">IF(D27&lt;0,A27,0)</f>
        <v>6</v>
      </c>
      <c r="P27" s="13" t="n">
        <f aca="false">IF(F27&lt;0,A27,0)</f>
        <v>6</v>
      </c>
      <c r="Q27" s="13" t="n">
        <f aca="false">IF(H27&lt;0,A27,0)</f>
        <v>6</v>
      </c>
      <c r="R27" s="13" t="n">
        <f aca="false">IF(J27&lt;0,A27,0)</f>
        <v>6</v>
      </c>
      <c r="S27" s="13" t="n">
        <f aca="false">IF(L27&lt;0,A27,0)</f>
        <v>6</v>
      </c>
      <c r="T27" s="13" t="n">
        <f aca="false">IF(N27&lt;0,A27,0)</f>
        <v>6</v>
      </c>
    </row>
    <row r="28" customFormat="false" ht="15" hidden="false" customHeight="false" outlineLevel="0" collapsed="false">
      <c r="A28" s="0" t="n">
        <v>7</v>
      </c>
      <c r="B28" s="0" t="n">
        <v>1</v>
      </c>
      <c r="C28" s="10" t="n">
        <f aca="false">INDEX(Staged_G1M9!$C$114:$N$114,7)</f>
        <v>37379.9163932003</v>
      </c>
      <c r="D28" s="10" t="n">
        <f aca="false">C28+D27</f>
        <v>-1143039.89640658</v>
      </c>
      <c r="E28" s="10" t="n">
        <f aca="false">C28-Assumptions!$D$204*(1+Assumptions!$D$269)^(1-1)</f>
        <v>-37620.0836067997</v>
      </c>
      <c r="F28" s="10" t="n">
        <f aca="false">E28+F27</f>
        <v>-1668039.89640658</v>
      </c>
      <c r="G28" s="10" t="n">
        <f aca="false">INDEX(Staged_G1M6!$C$114:$N$114,7)</f>
        <v>42543.5060994147</v>
      </c>
      <c r="H28" s="10" t="n">
        <f aca="false">G28+H27</f>
        <v>-2609876.30670036</v>
      </c>
      <c r="I28" s="10" t="n">
        <f aca="false">G28-Assumptions!$D$204*(1+Assumptions!$D$269)^(1-1)</f>
        <v>-32456.4939005853</v>
      </c>
      <c r="J28" s="10" t="n">
        <f aca="false">I28+J27</f>
        <v>-3134876.30670036</v>
      </c>
      <c r="K28" s="10" t="n">
        <f aca="false">INDEX(Staged_G1M9!$C$114:$N$114,7)</f>
        <v>37379.9163932003</v>
      </c>
      <c r="L28" s="10" t="n">
        <f aca="false">K28+L27</f>
        <v>-1143039.89640658</v>
      </c>
      <c r="M28" s="10" t="n">
        <f aca="false">K28-Assumptions!$D$204*(1+Assumptions!$D$269)^(1-1)</f>
        <v>-37620.0836067997</v>
      </c>
      <c r="N28" s="10" t="n">
        <f aca="false">M28+N27</f>
        <v>-1668039.89640658</v>
      </c>
      <c r="O28" s="13" t="n">
        <f aca="false">IF(D28&lt;0,A28,0)</f>
        <v>7</v>
      </c>
      <c r="P28" s="13" t="n">
        <f aca="false">IF(F28&lt;0,A28,0)</f>
        <v>7</v>
      </c>
      <c r="Q28" s="13" t="n">
        <f aca="false">IF(H28&lt;0,A28,0)</f>
        <v>7</v>
      </c>
      <c r="R28" s="13" t="n">
        <f aca="false">IF(J28&lt;0,A28,0)</f>
        <v>7</v>
      </c>
      <c r="S28" s="13" t="n">
        <f aca="false">IF(L28&lt;0,A28,0)</f>
        <v>7</v>
      </c>
      <c r="T28" s="13" t="n">
        <f aca="false">IF(N28&lt;0,A28,0)</f>
        <v>7</v>
      </c>
    </row>
    <row r="29" customFormat="false" ht="15" hidden="false" customHeight="false" outlineLevel="0" collapsed="false">
      <c r="A29" s="0" t="n">
        <v>8</v>
      </c>
      <c r="B29" s="0" t="n">
        <v>1</v>
      </c>
      <c r="C29" s="10" t="n">
        <f aca="false">INDEX(Staged_G1M9!$C$114:$N$114,8)</f>
        <v>58543.0556809471</v>
      </c>
      <c r="D29" s="10" t="n">
        <f aca="false">C29+D28</f>
        <v>-1084496.84072563</v>
      </c>
      <c r="E29" s="10" t="n">
        <f aca="false">C29-Assumptions!$D$204*(1+Assumptions!$D$269)^(1-1)</f>
        <v>-16456.9443190529</v>
      </c>
      <c r="F29" s="10" t="n">
        <f aca="false">E29+F28</f>
        <v>-1684496.84072563</v>
      </c>
      <c r="G29" s="10" t="n">
        <f aca="false">INDEX(Staged_G1M6!$C$114:$N$114,8)</f>
        <v>182183.956737607</v>
      </c>
      <c r="H29" s="10" t="n">
        <f aca="false">G29+H28</f>
        <v>-2427692.34996275</v>
      </c>
      <c r="I29" s="10" t="n">
        <f aca="false">G29-Assumptions!$D$204*(1+Assumptions!$D$269)^(1-1)</f>
        <v>107183.956737607</v>
      </c>
      <c r="J29" s="10" t="n">
        <f aca="false">I29+J28</f>
        <v>-3027692.34996275</v>
      </c>
      <c r="K29" s="10" t="n">
        <f aca="false">INDEX(Staged_G1M9!$C$114:$N$114,8)</f>
        <v>58543.0556809471</v>
      </c>
      <c r="L29" s="10" t="n">
        <f aca="false">K29+L28</f>
        <v>-1084496.84072563</v>
      </c>
      <c r="M29" s="10" t="n">
        <f aca="false">K29-Assumptions!$D$204*(1+Assumptions!$D$269)^(1-1)</f>
        <v>-16456.9443190529</v>
      </c>
      <c r="N29" s="10" t="n">
        <f aca="false">M29+N28</f>
        <v>-1684496.84072563</v>
      </c>
      <c r="O29" s="13" t="n">
        <f aca="false">IF(D29&lt;0,A29,0)</f>
        <v>8</v>
      </c>
      <c r="P29" s="13" t="n">
        <f aca="false">IF(F29&lt;0,A29,0)</f>
        <v>8</v>
      </c>
      <c r="Q29" s="13" t="n">
        <f aca="false">IF(H29&lt;0,A29,0)</f>
        <v>8</v>
      </c>
      <c r="R29" s="13" t="n">
        <f aca="false">IF(J29&lt;0,A29,0)</f>
        <v>8</v>
      </c>
      <c r="S29" s="13" t="n">
        <f aca="false">IF(L29&lt;0,A29,0)</f>
        <v>8</v>
      </c>
      <c r="T29" s="13" t="n">
        <f aca="false">IF(N29&lt;0,A29,0)</f>
        <v>8</v>
      </c>
    </row>
    <row r="30" customFormat="false" ht="15" hidden="false" customHeight="false" outlineLevel="0" collapsed="false">
      <c r="A30" s="0" t="n">
        <v>9</v>
      </c>
      <c r="B30" s="0" t="n">
        <v>1</v>
      </c>
      <c r="C30" s="10" t="n">
        <f aca="false">INDEX(Staged_G1M9!$C$114:$N$114,9)</f>
        <v>-1433835.40531484</v>
      </c>
      <c r="D30" s="10" t="n">
        <f aca="false">C30+D29</f>
        <v>-2518332.24604047</v>
      </c>
      <c r="E30" s="10" t="n">
        <f aca="false">C30-Assumptions!$D$204*(1+Assumptions!$D$269)^(1-1)</f>
        <v>-1508835.40531484</v>
      </c>
      <c r="F30" s="10" t="n">
        <f aca="false">E30+F29</f>
        <v>-3193332.24604047</v>
      </c>
      <c r="G30" s="10" t="n">
        <f aca="false">INDEX(Staged_G1M6!$C$114:$N$114,9)</f>
        <v>143184.698767603</v>
      </c>
      <c r="H30" s="10" t="n">
        <f aca="false">G30+H29</f>
        <v>-2284507.65119515</v>
      </c>
      <c r="I30" s="10" t="n">
        <f aca="false">G30-Assumptions!$D$204*(1+Assumptions!$D$269)^(1-1)</f>
        <v>68184.6987676026</v>
      </c>
      <c r="J30" s="10" t="n">
        <f aca="false">I30+J29</f>
        <v>-2959507.65119515</v>
      </c>
      <c r="K30" s="10" t="n">
        <f aca="false">INDEX(Staged_G1M9!$C$114:$N$114,9)</f>
        <v>-1433835.40531484</v>
      </c>
      <c r="L30" s="10" t="n">
        <f aca="false">K30+L29</f>
        <v>-2518332.24604047</v>
      </c>
      <c r="M30" s="10" t="n">
        <f aca="false">K30-Assumptions!$D$204*(1+Assumptions!$D$269)^(1-1)</f>
        <v>-1508835.40531484</v>
      </c>
      <c r="N30" s="10" t="n">
        <f aca="false">M30+N29</f>
        <v>-3193332.24604047</v>
      </c>
      <c r="O30" s="13" t="n">
        <f aca="false">IF(D30&lt;0,A30,0)</f>
        <v>9</v>
      </c>
      <c r="P30" s="13" t="n">
        <f aca="false">IF(F30&lt;0,A30,0)</f>
        <v>9</v>
      </c>
      <c r="Q30" s="13" t="n">
        <f aca="false">IF(H30&lt;0,A30,0)</f>
        <v>9</v>
      </c>
      <c r="R30" s="13" t="n">
        <f aca="false">IF(J30&lt;0,A30,0)</f>
        <v>9</v>
      </c>
      <c r="S30" s="13" t="n">
        <f aca="false">IF(L30&lt;0,A30,0)</f>
        <v>9</v>
      </c>
      <c r="T30" s="13" t="n">
        <f aca="false">IF(N30&lt;0,A30,0)</f>
        <v>9</v>
      </c>
    </row>
    <row r="31" customFormat="false" ht="15" hidden="false" customHeight="false" outlineLevel="0" collapsed="false">
      <c r="A31" s="0" t="n">
        <v>10</v>
      </c>
      <c r="B31" s="0" t="n">
        <v>1</v>
      </c>
      <c r="C31" s="10" t="n">
        <f aca="false">INDEX(Staged_G1M9!$C$114:$N$114,10)</f>
        <v>12012.6763061825</v>
      </c>
      <c r="D31" s="10" t="n">
        <f aca="false">C31+D30</f>
        <v>-2506319.56973428</v>
      </c>
      <c r="E31" s="10" t="n">
        <f aca="false">C31-Assumptions!$D$204*(1+Assumptions!$D$269)^(1-1)</f>
        <v>-62987.3236938175</v>
      </c>
      <c r="F31" s="10" t="n">
        <f aca="false">E31+F30</f>
        <v>-3256319.56973428</v>
      </c>
      <c r="G31" s="10" t="n">
        <f aca="false">INDEX(Staged_G1M6!$C$114:$N$114,10)</f>
        <v>34684.6327171604</v>
      </c>
      <c r="H31" s="10" t="n">
        <f aca="false">G31+H30</f>
        <v>-2249823.01847799</v>
      </c>
      <c r="I31" s="10" t="n">
        <f aca="false">G31-Assumptions!$D$204*(1+Assumptions!$D$269)^(1-1)</f>
        <v>-40315.3672828396</v>
      </c>
      <c r="J31" s="10" t="n">
        <f aca="false">I31+J30</f>
        <v>-2999823.01847799</v>
      </c>
      <c r="K31" s="10" t="n">
        <f aca="false">INDEX(Staged_G1M9!$C$114:$N$114,10)</f>
        <v>12012.6763061825</v>
      </c>
      <c r="L31" s="10" t="n">
        <f aca="false">K31+L30</f>
        <v>-2506319.56973428</v>
      </c>
      <c r="M31" s="10" t="n">
        <f aca="false">K31-Assumptions!$D$204*(1+Assumptions!$D$269)^(1-1)</f>
        <v>-62987.3236938175</v>
      </c>
      <c r="N31" s="10" t="n">
        <f aca="false">M31+N30</f>
        <v>-3256319.56973428</v>
      </c>
      <c r="O31" s="13" t="n">
        <f aca="false">IF(D31&lt;0,A31,0)</f>
        <v>10</v>
      </c>
      <c r="P31" s="13" t="n">
        <f aca="false">IF(F31&lt;0,A31,0)</f>
        <v>10</v>
      </c>
      <c r="Q31" s="13" t="n">
        <f aca="false">IF(H31&lt;0,A31,0)</f>
        <v>10</v>
      </c>
      <c r="R31" s="13" t="n">
        <f aca="false">IF(J31&lt;0,A31,0)</f>
        <v>10</v>
      </c>
      <c r="S31" s="13" t="n">
        <f aca="false">IF(L31&lt;0,A31,0)</f>
        <v>10</v>
      </c>
      <c r="T31" s="13" t="n">
        <f aca="false">IF(N31&lt;0,A31,0)</f>
        <v>10</v>
      </c>
    </row>
    <row r="32" customFormat="false" ht="15" hidden="false" customHeight="false" outlineLevel="0" collapsed="false">
      <c r="A32" s="0" t="n">
        <v>11</v>
      </c>
      <c r="B32" s="0" t="n">
        <v>1</v>
      </c>
      <c r="C32" s="10" t="n">
        <f aca="false">INDEX(Staged_G1M9!$C$114:$N$114,11)</f>
        <v>126937.772253445</v>
      </c>
      <c r="D32" s="10" t="n">
        <f aca="false">C32+D31</f>
        <v>-2379381.79748084</v>
      </c>
      <c r="E32" s="10" t="n">
        <f aca="false">C32-Assumptions!$D$204*(1+Assumptions!$D$269)^(1-1)</f>
        <v>51937.7722534452</v>
      </c>
      <c r="F32" s="10" t="n">
        <f aca="false">E32+F31</f>
        <v>-3204381.79748084</v>
      </c>
      <c r="G32" s="10" t="n">
        <f aca="false">INDEX(Staged_G1M6!$C$114:$N$114,11)</f>
        <v>87523.4483279698</v>
      </c>
      <c r="H32" s="10" t="n">
        <f aca="false">G32+H31</f>
        <v>-2162299.57015002</v>
      </c>
      <c r="I32" s="10" t="n">
        <f aca="false">G32-Assumptions!$D$204*(1+Assumptions!$D$269)^(1-1)</f>
        <v>12523.4483279698</v>
      </c>
      <c r="J32" s="10" t="n">
        <f aca="false">I32+J31</f>
        <v>-2987299.57015002</v>
      </c>
      <c r="K32" s="10" t="n">
        <f aca="false">INDEX(Staged_G1M9!$C$114:$N$114,11)</f>
        <v>126937.772253445</v>
      </c>
      <c r="L32" s="10" t="n">
        <f aca="false">K32+L31</f>
        <v>-2379381.79748084</v>
      </c>
      <c r="M32" s="10" t="n">
        <f aca="false">K32-Assumptions!$D$204*(1+Assumptions!$D$269)^(1-1)</f>
        <v>51937.7722534452</v>
      </c>
      <c r="N32" s="10" t="n">
        <f aca="false">M32+N31</f>
        <v>-3204381.79748084</v>
      </c>
      <c r="O32" s="13" t="n">
        <f aca="false">IF(D32&lt;0,A32,0)</f>
        <v>11</v>
      </c>
      <c r="P32" s="13" t="n">
        <f aca="false">IF(F32&lt;0,A32,0)</f>
        <v>11</v>
      </c>
      <c r="Q32" s="13" t="n">
        <f aca="false">IF(H32&lt;0,A32,0)</f>
        <v>11</v>
      </c>
      <c r="R32" s="13" t="n">
        <f aca="false">IF(J32&lt;0,A32,0)</f>
        <v>11</v>
      </c>
      <c r="S32" s="13" t="n">
        <f aca="false">IF(L32&lt;0,A32,0)</f>
        <v>11</v>
      </c>
      <c r="T32" s="13" t="n">
        <f aca="false">IF(N32&lt;0,A32,0)</f>
        <v>11</v>
      </c>
    </row>
    <row r="33" customFormat="false" ht="15" hidden="false" customHeight="false" outlineLevel="0" collapsed="false">
      <c r="A33" s="0" t="n">
        <v>12</v>
      </c>
      <c r="B33" s="0" t="n">
        <v>1</v>
      </c>
      <c r="C33" s="10" t="n">
        <f aca="false">INDEX(Staged_G1M9!$C$114:$N$114,12)</f>
        <v>124951.636916336</v>
      </c>
      <c r="D33" s="10" t="n">
        <f aca="false">C33+D32</f>
        <v>-2254430.1605645</v>
      </c>
      <c r="E33" s="10" t="n">
        <f aca="false">C33-Assumptions!$D$204*(1+Assumptions!$D$269)^(1-1)</f>
        <v>49951.6369163364</v>
      </c>
      <c r="F33" s="10" t="n">
        <f aca="false">E33+F32</f>
        <v>-3154430.1605645</v>
      </c>
      <c r="G33" s="10" t="n">
        <f aca="false">INDEX(Staged_G1M6!$C$114:$N$114,12)</f>
        <v>114799.422713241</v>
      </c>
      <c r="H33" s="10" t="n">
        <f aca="false">G33+H32</f>
        <v>-2047500.14743678</v>
      </c>
      <c r="I33" s="10" t="n">
        <f aca="false">G33-Assumptions!$D$204*(1+Assumptions!$D$269)^(1-1)</f>
        <v>39799.422713241</v>
      </c>
      <c r="J33" s="10" t="n">
        <f aca="false">I33+J32</f>
        <v>-2947500.14743678</v>
      </c>
      <c r="K33" s="10" t="n">
        <f aca="false">INDEX(Staged_G1M9!$C$114:$N$114,12)</f>
        <v>124951.636916336</v>
      </c>
      <c r="L33" s="10" t="n">
        <f aca="false">K33+L32</f>
        <v>-2254430.1605645</v>
      </c>
      <c r="M33" s="10" t="n">
        <f aca="false">K33-Assumptions!$D$204*(1+Assumptions!$D$269)^(1-1)</f>
        <v>49951.6369163364</v>
      </c>
      <c r="N33" s="10" t="n">
        <f aca="false">M33+N32</f>
        <v>-3154430.1605645</v>
      </c>
      <c r="O33" s="13" t="n">
        <f aca="false">IF(D33&lt;0,A33,0)</f>
        <v>12</v>
      </c>
      <c r="P33" s="13" t="n">
        <f aca="false">IF(F33&lt;0,A33,0)</f>
        <v>12</v>
      </c>
      <c r="Q33" s="13" t="n">
        <f aca="false">IF(H33&lt;0,A33,0)</f>
        <v>12</v>
      </c>
      <c r="R33" s="13" t="n">
        <f aca="false">IF(J33&lt;0,A33,0)</f>
        <v>12</v>
      </c>
      <c r="S33" s="13" t="n">
        <f aca="false">IF(L33&lt;0,A33,0)</f>
        <v>12</v>
      </c>
      <c r="T33" s="13" t="n">
        <f aca="false">IF(N33&lt;0,A33,0)</f>
        <v>12</v>
      </c>
    </row>
    <row r="34" customFormat="false" ht="15" hidden="false" customHeight="false" outlineLevel="0" collapsed="false">
      <c r="A34" s="0" t="n">
        <v>13</v>
      </c>
      <c r="B34" s="0" t="n">
        <v>2</v>
      </c>
      <c r="C34" s="10" t="n">
        <f aca="false">3yr_Scenarios!O56*100000/12</f>
        <v>81594.0377540868</v>
      </c>
      <c r="D34" s="10" t="n">
        <f aca="false">C34+D33</f>
        <v>-2172836.12281042</v>
      </c>
      <c r="E34" s="10" t="n">
        <f aca="false">C34-Assumptions!$D$204*(1+Assumptions!$D$269)^(2-1)</f>
        <v>594.037754086792</v>
      </c>
      <c r="F34" s="10" t="n">
        <f aca="false">E34+F33</f>
        <v>-3153836.12281042</v>
      </c>
      <c r="G34" s="10" t="n">
        <f aca="false">3yr_Scenarios!L56*100000/12</f>
        <v>45548.9954473251</v>
      </c>
      <c r="H34" s="10" t="n">
        <f aca="false">G34+H33</f>
        <v>-2001951.15198946</v>
      </c>
      <c r="I34" s="10" t="n">
        <f aca="false">G34-Assumptions!$D$204*(1+Assumptions!$D$269)^(2-1)</f>
        <v>-35451.0045526749</v>
      </c>
      <c r="J34" s="10" t="n">
        <f aca="false">I34+J33</f>
        <v>-2982951.15198946</v>
      </c>
      <c r="K34" s="10" t="n">
        <f aca="false">3yr_Scenarios!AA56*100000/12</f>
        <v>-29191.7325886345</v>
      </c>
      <c r="L34" s="10" t="n">
        <f aca="false">K34+L33</f>
        <v>-2283621.89315314</v>
      </c>
      <c r="M34" s="10" t="n">
        <f aca="false">K34-Assumptions!$D$204*(1+Assumptions!$D$269)^(2-1)</f>
        <v>-110191.732588635</v>
      </c>
      <c r="N34" s="10" t="n">
        <f aca="false">M34+N33</f>
        <v>-3264621.89315314</v>
      </c>
      <c r="O34" s="13" t="n">
        <f aca="false">IF(D34&lt;0,A34,0)</f>
        <v>13</v>
      </c>
      <c r="P34" s="13" t="n">
        <f aca="false">IF(F34&lt;0,A34,0)</f>
        <v>13</v>
      </c>
      <c r="Q34" s="13" t="n">
        <f aca="false">IF(H34&lt;0,A34,0)</f>
        <v>13</v>
      </c>
      <c r="R34" s="13" t="n">
        <f aca="false">IF(J34&lt;0,A34,0)</f>
        <v>13</v>
      </c>
      <c r="S34" s="13" t="n">
        <f aca="false">IF(L34&lt;0,A34,0)</f>
        <v>13</v>
      </c>
      <c r="T34" s="13" t="n">
        <f aca="false">IF(N34&lt;0,A34,0)</f>
        <v>13</v>
      </c>
    </row>
    <row r="35" customFormat="false" ht="15" hidden="false" customHeight="false" outlineLevel="0" collapsed="false">
      <c r="A35" s="0" t="n">
        <v>14</v>
      </c>
      <c r="B35" s="0" t="n">
        <v>2</v>
      </c>
      <c r="C35" s="10" t="n">
        <f aca="false">3yr_Scenarios!O56*100000/12</f>
        <v>81594.0377540868</v>
      </c>
      <c r="D35" s="10" t="n">
        <f aca="false">C35+D34</f>
        <v>-2091242.08505633</v>
      </c>
      <c r="E35" s="10" t="n">
        <f aca="false">C35-Assumptions!$D$204*(1+Assumptions!$D$269)^(2-1)</f>
        <v>594.037754086792</v>
      </c>
      <c r="F35" s="10" t="n">
        <f aca="false">E35+F34</f>
        <v>-3153242.08505633</v>
      </c>
      <c r="G35" s="10" t="n">
        <f aca="false">3yr_Scenarios!L56*100000/12</f>
        <v>45548.9954473251</v>
      </c>
      <c r="H35" s="10" t="n">
        <f aca="false">G35+H34</f>
        <v>-1956402.15654213</v>
      </c>
      <c r="I35" s="10" t="n">
        <f aca="false">G35-Assumptions!$D$204*(1+Assumptions!$D$269)^(2-1)</f>
        <v>-35451.0045526749</v>
      </c>
      <c r="J35" s="10" t="n">
        <f aca="false">I35+J34</f>
        <v>-3018402.15654213</v>
      </c>
      <c r="K35" s="10" t="n">
        <f aca="false">3yr_Scenarios!AA56*100000/12</f>
        <v>-29191.7325886345</v>
      </c>
      <c r="L35" s="10" t="n">
        <f aca="false">K35+L34</f>
        <v>-2312813.62574177</v>
      </c>
      <c r="M35" s="10" t="n">
        <f aca="false">K35-Assumptions!$D$204*(1+Assumptions!$D$269)^(2-1)</f>
        <v>-110191.732588635</v>
      </c>
      <c r="N35" s="10" t="n">
        <f aca="false">M35+N34</f>
        <v>-3374813.62574177</v>
      </c>
      <c r="O35" s="13" t="n">
        <f aca="false">IF(D35&lt;0,A35,0)</f>
        <v>14</v>
      </c>
      <c r="P35" s="13" t="n">
        <f aca="false">IF(F35&lt;0,A35,0)</f>
        <v>14</v>
      </c>
      <c r="Q35" s="13" t="n">
        <f aca="false">IF(H35&lt;0,A35,0)</f>
        <v>14</v>
      </c>
      <c r="R35" s="13" t="n">
        <f aca="false">IF(J35&lt;0,A35,0)</f>
        <v>14</v>
      </c>
      <c r="S35" s="13" t="n">
        <f aca="false">IF(L35&lt;0,A35,0)</f>
        <v>14</v>
      </c>
      <c r="T35" s="13" t="n">
        <f aca="false">IF(N35&lt;0,A35,0)</f>
        <v>14</v>
      </c>
    </row>
    <row r="36" customFormat="false" ht="15" hidden="false" customHeight="false" outlineLevel="0" collapsed="false">
      <c r="A36" s="0" t="n">
        <v>15</v>
      </c>
      <c r="B36" s="0" t="n">
        <v>2</v>
      </c>
      <c r="C36" s="10" t="n">
        <f aca="false">3yr_Scenarios!O56*100000/12</f>
        <v>81594.0377540868</v>
      </c>
      <c r="D36" s="10" t="n">
        <f aca="false">C36+D35</f>
        <v>-2009648.04730224</v>
      </c>
      <c r="E36" s="10" t="n">
        <f aca="false">C36-Assumptions!$D$204*(1+Assumptions!$D$269)^(2-1)</f>
        <v>594.037754086792</v>
      </c>
      <c r="F36" s="10" t="n">
        <f aca="false">E36+F35</f>
        <v>-3152648.04730224</v>
      </c>
      <c r="G36" s="10" t="n">
        <f aca="false">3yr_Scenarios!L56*100000/12</f>
        <v>45548.9954473251</v>
      </c>
      <c r="H36" s="10" t="n">
        <f aca="false">G36+H35</f>
        <v>-1910853.16109481</v>
      </c>
      <c r="I36" s="10" t="n">
        <f aca="false">G36-Assumptions!$D$204*(1+Assumptions!$D$269)^(2-1)</f>
        <v>-35451.0045526749</v>
      </c>
      <c r="J36" s="10" t="n">
        <f aca="false">I36+J35</f>
        <v>-3053853.16109481</v>
      </c>
      <c r="K36" s="10" t="n">
        <f aca="false">3yr_Scenarios!AA56*100000/12</f>
        <v>-29191.7325886345</v>
      </c>
      <c r="L36" s="10" t="n">
        <f aca="false">K36+L35</f>
        <v>-2342005.35833041</v>
      </c>
      <c r="M36" s="10" t="n">
        <f aca="false">K36-Assumptions!$D$204*(1+Assumptions!$D$269)^(2-1)</f>
        <v>-110191.732588635</v>
      </c>
      <c r="N36" s="10" t="n">
        <f aca="false">M36+N35</f>
        <v>-3485005.35833041</v>
      </c>
      <c r="O36" s="13" t="n">
        <f aca="false">IF(D36&lt;0,A36,0)</f>
        <v>15</v>
      </c>
      <c r="P36" s="13" t="n">
        <f aca="false">IF(F36&lt;0,A36,0)</f>
        <v>15</v>
      </c>
      <c r="Q36" s="13" t="n">
        <f aca="false">IF(H36&lt;0,A36,0)</f>
        <v>15</v>
      </c>
      <c r="R36" s="13" t="n">
        <f aca="false">IF(J36&lt;0,A36,0)</f>
        <v>15</v>
      </c>
      <c r="S36" s="13" t="n">
        <f aca="false">IF(L36&lt;0,A36,0)</f>
        <v>15</v>
      </c>
      <c r="T36" s="13" t="n">
        <f aca="false">IF(N36&lt;0,A36,0)</f>
        <v>15</v>
      </c>
    </row>
    <row r="37" customFormat="false" ht="15" hidden="false" customHeight="false" outlineLevel="0" collapsed="false">
      <c r="A37" s="0" t="n">
        <v>16</v>
      </c>
      <c r="B37" s="0" t="n">
        <v>2</v>
      </c>
      <c r="C37" s="10" t="n">
        <f aca="false">3yr_Scenarios!O56*100000/12</f>
        <v>81594.0377540868</v>
      </c>
      <c r="D37" s="10" t="n">
        <f aca="false">C37+D36</f>
        <v>-1928054.00954816</v>
      </c>
      <c r="E37" s="10" t="n">
        <f aca="false">C37-Assumptions!$D$204*(1+Assumptions!$D$269)^(2-1)</f>
        <v>594.037754086792</v>
      </c>
      <c r="F37" s="10" t="n">
        <f aca="false">E37+F36</f>
        <v>-3152054.00954816</v>
      </c>
      <c r="G37" s="10" t="n">
        <f aca="false">3yr_Scenarios!L56*100000/12</f>
        <v>45548.9954473251</v>
      </c>
      <c r="H37" s="10" t="n">
        <f aca="false">G37+H36</f>
        <v>-1865304.16564748</v>
      </c>
      <c r="I37" s="10" t="n">
        <f aca="false">G37-Assumptions!$D$204*(1+Assumptions!$D$269)^(2-1)</f>
        <v>-35451.0045526749</v>
      </c>
      <c r="J37" s="10" t="n">
        <f aca="false">I37+J36</f>
        <v>-3089304.16564748</v>
      </c>
      <c r="K37" s="10" t="n">
        <f aca="false">3yr_Scenarios!AA56*100000/12</f>
        <v>-29191.7325886345</v>
      </c>
      <c r="L37" s="10" t="n">
        <f aca="false">K37+L36</f>
        <v>-2371197.09091904</v>
      </c>
      <c r="M37" s="10" t="n">
        <f aca="false">K37-Assumptions!$D$204*(1+Assumptions!$D$269)^(2-1)</f>
        <v>-110191.732588635</v>
      </c>
      <c r="N37" s="10" t="n">
        <f aca="false">M37+N36</f>
        <v>-3595197.09091904</v>
      </c>
      <c r="O37" s="13" t="n">
        <f aca="false">IF(D37&lt;0,A37,0)</f>
        <v>16</v>
      </c>
      <c r="P37" s="13" t="n">
        <f aca="false">IF(F37&lt;0,A37,0)</f>
        <v>16</v>
      </c>
      <c r="Q37" s="13" t="n">
        <f aca="false">IF(H37&lt;0,A37,0)</f>
        <v>16</v>
      </c>
      <c r="R37" s="13" t="n">
        <f aca="false">IF(J37&lt;0,A37,0)</f>
        <v>16</v>
      </c>
      <c r="S37" s="13" t="n">
        <f aca="false">IF(L37&lt;0,A37,0)</f>
        <v>16</v>
      </c>
      <c r="T37" s="13" t="n">
        <f aca="false">IF(N37&lt;0,A37,0)</f>
        <v>16</v>
      </c>
    </row>
    <row r="38" customFormat="false" ht="15" hidden="false" customHeight="false" outlineLevel="0" collapsed="false">
      <c r="A38" s="0" t="n">
        <v>17</v>
      </c>
      <c r="B38" s="0" t="n">
        <v>2</v>
      </c>
      <c r="C38" s="10" t="n">
        <f aca="false">3yr_Scenarios!O56*100000/12</f>
        <v>81594.0377540868</v>
      </c>
      <c r="D38" s="10" t="n">
        <f aca="false">C38+D37</f>
        <v>-1846459.97179407</v>
      </c>
      <c r="E38" s="10" t="n">
        <f aca="false">C38-Assumptions!$D$204*(1+Assumptions!$D$269)^(2-1)</f>
        <v>594.037754086792</v>
      </c>
      <c r="F38" s="10" t="n">
        <f aca="false">E38+F37</f>
        <v>-3151459.97179407</v>
      </c>
      <c r="G38" s="10" t="n">
        <f aca="false">3yr_Scenarios!L56*100000/12</f>
        <v>45548.9954473251</v>
      </c>
      <c r="H38" s="10" t="n">
        <f aca="false">G38+H37</f>
        <v>-1819755.17020016</v>
      </c>
      <c r="I38" s="10" t="n">
        <f aca="false">G38-Assumptions!$D$204*(1+Assumptions!$D$269)^(2-1)</f>
        <v>-35451.0045526749</v>
      </c>
      <c r="J38" s="10" t="n">
        <f aca="false">I38+J37</f>
        <v>-3124755.17020016</v>
      </c>
      <c r="K38" s="10" t="n">
        <f aca="false">3yr_Scenarios!AA56*100000/12</f>
        <v>-29191.7325886345</v>
      </c>
      <c r="L38" s="10" t="n">
        <f aca="false">K38+L37</f>
        <v>-2400388.82350767</v>
      </c>
      <c r="M38" s="10" t="n">
        <f aca="false">K38-Assumptions!$D$204*(1+Assumptions!$D$269)^(2-1)</f>
        <v>-110191.732588635</v>
      </c>
      <c r="N38" s="10" t="n">
        <f aca="false">M38+N37</f>
        <v>-3705388.82350767</v>
      </c>
      <c r="O38" s="13" t="n">
        <f aca="false">IF(D38&lt;0,A38,0)</f>
        <v>17</v>
      </c>
      <c r="P38" s="13" t="n">
        <f aca="false">IF(F38&lt;0,A38,0)</f>
        <v>17</v>
      </c>
      <c r="Q38" s="13" t="n">
        <f aca="false">IF(H38&lt;0,A38,0)</f>
        <v>17</v>
      </c>
      <c r="R38" s="13" t="n">
        <f aca="false">IF(J38&lt;0,A38,0)</f>
        <v>17</v>
      </c>
      <c r="S38" s="13" t="n">
        <f aca="false">IF(L38&lt;0,A38,0)</f>
        <v>17</v>
      </c>
      <c r="T38" s="13" t="n">
        <f aca="false">IF(N38&lt;0,A38,0)</f>
        <v>17</v>
      </c>
    </row>
    <row r="39" customFormat="false" ht="15" hidden="false" customHeight="false" outlineLevel="0" collapsed="false">
      <c r="A39" s="0" t="n">
        <v>18</v>
      </c>
      <c r="B39" s="0" t="n">
        <v>2</v>
      </c>
      <c r="C39" s="10" t="n">
        <f aca="false">3yr_Scenarios!O56*100000/12</f>
        <v>81594.0377540868</v>
      </c>
      <c r="D39" s="10" t="n">
        <f aca="false">C39+D38</f>
        <v>-1764865.93403998</v>
      </c>
      <c r="E39" s="10" t="n">
        <f aca="false">C39-Assumptions!$D$204*(1+Assumptions!$D$269)^(2-1)</f>
        <v>594.037754086792</v>
      </c>
      <c r="F39" s="10" t="n">
        <f aca="false">E39+F38</f>
        <v>-3150865.93403998</v>
      </c>
      <c r="G39" s="10" t="n">
        <f aca="false">3yr_Scenarios!L56*100000/12</f>
        <v>45548.9954473251</v>
      </c>
      <c r="H39" s="10" t="n">
        <f aca="false">G39+H38</f>
        <v>-1774206.17475283</v>
      </c>
      <c r="I39" s="10" t="n">
        <f aca="false">G39-Assumptions!$D$204*(1+Assumptions!$D$269)^(2-1)</f>
        <v>-35451.0045526749</v>
      </c>
      <c r="J39" s="10" t="n">
        <f aca="false">I39+J38</f>
        <v>-3160206.17475283</v>
      </c>
      <c r="K39" s="10" t="n">
        <f aca="false">3yr_Scenarios!AA56*100000/12</f>
        <v>-29191.7325886345</v>
      </c>
      <c r="L39" s="10" t="n">
        <f aca="false">K39+L38</f>
        <v>-2429580.55609631</v>
      </c>
      <c r="M39" s="10" t="n">
        <f aca="false">K39-Assumptions!$D$204*(1+Assumptions!$D$269)^(2-1)</f>
        <v>-110191.732588635</v>
      </c>
      <c r="N39" s="10" t="n">
        <f aca="false">M39+N38</f>
        <v>-3815580.55609631</v>
      </c>
      <c r="O39" s="13" t="n">
        <f aca="false">IF(D39&lt;0,A39,0)</f>
        <v>18</v>
      </c>
      <c r="P39" s="13" t="n">
        <f aca="false">IF(F39&lt;0,A39,0)</f>
        <v>18</v>
      </c>
      <c r="Q39" s="13" t="n">
        <f aca="false">IF(H39&lt;0,A39,0)</f>
        <v>18</v>
      </c>
      <c r="R39" s="13" t="n">
        <f aca="false">IF(J39&lt;0,A39,0)</f>
        <v>18</v>
      </c>
      <c r="S39" s="13" t="n">
        <f aca="false">IF(L39&lt;0,A39,0)</f>
        <v>18</v>
      </c>
      <c r="T39" s="13" t="n">
        <f aca="false">IF(N39&lt;0,A39,0)</f>
        <v>18</v>
      </c>
    </row>
    <row r="40" customFormat="false" ht="15" hidden="false" customHeight="false" outlineLevel="0" collapsed="false">
      <c r="A40" s="0" t="n">
        <v>19</v>
      </c>
      <c r="B40" s="0" t="n">
        <v>2</v>
      </c>
      <c r="C40" s="10" t="n">
        <f aca="false">3yr_Scenarios!O56*100000/12</f>
        <v>81594.0377540868</v>
      </c>
      <c r="D40" s="10" t="n">
        <f aca="false">C40+D39</f>
        <v>-1683271.8962859</v>
      </c>
      <c r="E40" s="10" t="n">
        <f aca="false">C40-Assumptions!$D$204*(1+Assumptions!$D$269)^(2-1)</f>
        <v>594.037754086792</v>
      </c>
      <c r="F40" s="10" t="n">
        <f aca="false">E40+F39</f>
        <v>-3150271.8962859</v>
      </c>
      <c r="G40" s="10" t="n">
        <f aca="false">3yr_Scenarios!L56*100000/12</f>
        <v>45548.9954473251</v>
      </c>
      <c r="H40" s="10" t="n">
        <f aca="false">G40+H39</f>
        <v>-1728657.17930551</v>
      </c>
      <c r="I40" s="10" t="n">
        <f aca="false">G40-Assumptions!$D$204*(1+Assumptions!$D$269)^(2-1)</f>
        <v>-35451.0045526749</v>
      </c>
      <c r="J40" s="10" t="n">
        <f aca="false">I40+J39</f>
        <v>-3195657.17930551</v>
      </c>
      <c r="K40" s="10" t="n">
        <f aca="false">3yr_Scenarios!AA56*100000/12</f>
        <v>-29191.7325886345</v>
      </c>
      <c r="L40" s="10" t="n">
        <f aca="false">K40+L39</f>
        <v>-2458772.28868494</v>
      </c>
      <c r="M40" s="10" t="n">
        <f aca="false">K40-Assumptions!$D$204*(1+Assumptions!$D$269)^(2-1)</f>
        <v>-110191.732588635</v>
      </c>
      <c r="N40" s="10" t="n">
        <f aca="false">M40+N39</f>
        <v>-3925772.28868494</v>
      </c>
      <c r="O40" s="13" t="n">
        <f aca="false">IF(D40&lt;0,A40,0)</f>
        <v>19</v>
      </c>
      <c r="P40" s="13" t="n">
        <f aca="false">IF(F40&lt;0,A40,0)</f>
        <v>19</v>
      </c>
      <c r="Q40" s="13" t="n">
        <f aca="false">IF(H40&lt;0,A40,0)</f>
        <v>19</v>
      </c>
      <c r="R40" s="13" t="n">
        <f aca="false">IF(J40&lt;0,A40,0)</f>
        <v>19</v>
      </c>
      <c r="S40" s="13" t="n">
        <f aca="false">IF(L40&lt;0,A40,0)</f>
        <v>19</v>
      </c>
      <c r="T40" s="13" t="n">
        <f aca="false">IF(N40&lt;0,A40,0)</f>
        <v>19</v>
      </c>
    </row>
    <row r="41" customFormat="false" ht="15" hidden="false" customHeight="false" outlineLevel="0" collapsed="false">
      <c r="A41" s="0" t="n">
        <v>20</v>
      </c>
      <c r="B41" s="0" t="n">
        <v>2</v>
      </c>
      <c r="C41" s="10" t="n">
        <f aca="false">3yr_Scenarios!O56*100000/12</f>
        <v>81594.0377540868</v>
      </c>
      <c r="D41" s="10" t="n">
        <f aca="false">C41+D40</f>
        <v>-1601677.85853181</v>
      </c>
      <c r="E41" s="10" t="n">
        <f aca="false">C41-Assumptions!$D$204*(1+Assumptions!$D$269)^(2-1)</f>
        <v>594.037754086792</v>
      </c>
      <c r="F41" s="10" t="n">
        <f aca="false">E41+F40</f>
        <v>-3149677.85853181</v>
      </c>
      <c r="G41" s="10" t="n">
        <f aca="false">3yr_Scenarios!L56*100000/12</f>
        <v>45548.9954473251</v>
      </c>
      <c r="H41" s="10" t="n">
        <f aca="false">G41+H40</f>
        <v>-1683108.18385818</v>
      </c>
      <c r="I41" s="10" t="n">
        <f aca="false">G41-Assumptions!$D$204*(1+Assumptions!$D$269)^(2-1)</f>
        <v>-35451.0045526749</v>
      </c>
      <c r="J41" s="10" t="n">
        <f aca="false">I41+J40</f>
        <v>-3231108.18385818</v>
      </c>
      <c r="K41" s="10" t="n">
        <f aca="false">3yr_Scenarios!AA56*100000/12</f>
        <v>-29191.7325886345</v>
      </c>
      <c r="L41" s="10" t="n">
        <f aca="false">K41+L40</f>
        <v>-2487964.02127358</v>
      </c>
      <c r="M41" s="10" t="n">
        <f aca="false">K41-Assumptions!$D$204*(1+Assumptions!$D$269)^(2-1)</f>
        <v>-110191.732588635</v>
      </c>
      <c r="N41" s="10" t="n">
        <f aca="false">M41+N40</f>
        <v>-4035964.02127358</v>
      </c>
      <c r="O41" s="13" t="n">
        <f aca="false">IF(D41&lt;0,A41,0)</f>
        <v>20</v>
      </c>
      <c r="P41" s="13" t="n">
        <f aca="false">IF(F41&lt;0,A41,0)</f>
        <v>20</v>
      </c>
      <c r="Q41" s="13" t="n">
        <f aca="false">IF(H41&lt;0,A41,0)</f>
        <v>20</v>
      </c>
      <c r="R41" s="13" t="n">
        <f aca="false">IF(J41&lt;0,A41,0)</f>
        <v>20</v>
      </c>
      <c r="S41" s="13" t="n">
        <f aca="false">IF(L41&lt;0,A41,0)</f>
        <v>20</v>
      </c>
      <c r="T41" s="13" t="n">
        <f aca="false">IF(N41&lt;0,A41,0)</f>
        <v>20</v>
      </c>
    </row>
    <row r="42" customFormat="false" ht="15" hidden="false" customHeight="false" outlineLevel="0" collapsed="false">
      <c r="A42" s="0" t="n">
        <v>21</v>
      </c>
      <c r="B42" s="0" t="n">
        <v>2</v>
      </c>
      <c r="C42" s="10" t="n">
        <f aca="false">3yr_Scenarios!O56*100000/12</f>
        <v>81594.0377540868</v>
      </c>
      <c r="D42" s="10" t="n">
        <f aca="false">C42+D41</f>
        <v>-1520083.82077772</v>
      </c>
      <c r="E42" s="10" t="n">
        <f aca="false">C42-Assumptions!$D$204*(1+Assumptions!$D$269)^(2-1)</f>
        <v>594.037754086792</v>
      </c>
      <c r="F42" s="10" t="n">
        <f aca="false">E42+F41</f>
        <v>-3149083.82077772</v>
      </c>
      <c r="G42" s="10" t="n">
        <f aca="false">3yr_Scenarios!L56*100000/12</f>
        <v>45548.9954473251</v>
      </c>
      <c r="H42" s="10" t="n">
        <f aca="false">G42+H41</f>
        <v>-1637559.18841086</v>
      </c>
      <c r="I42" s="10" t="n">
        <f aca="false">G42-Assumptions!$D$204*(1+Assumptions!$D$269)^(2-1)</f>
        <v>-35451.0045526749</v>
      </c>
      <c r="J42" s="10" t="n">
        <f aca="false">I42+J41</f>
        <v>-3266559.18841086</v>
      </c>
      <c r="K42" s="10" t="n">
        <f aca="false">3yr_Scenarios!AA56*100000/12</f>
        <v>-29191.7325886345</v>
      </c>
      <c r="L42" s="10" t="n">
        <f aca="false">K42+L41</f>
        <v>-2517155.75386221</v>
      </c>
      <c r="M42" s="10" t="n">
        <f aca="false">K42-Assumptions!$D$204*(1+Assumptions!$D$269)^(2-1)</f>
        <v>-110191.732588635</v>
      </c>
      <c r="N42" s="10" t="n">
        <f aca="false">M42+N41</f>
        <v>-4146155.75386221</v>
      </c>
      <c r="O42" s="13" t="n">
        <f aca="false">IF(D42&lt;0,A42,0)</f>
        <v>21</v>
      </c>
      <c r="P42" s="13" t="n">
        <f aca="false">IF(F42&lt;0,A42,0)</f>
        <v>21</v>
      </c>
      <c r="Q42" s="13" t="n">
        <f aca="false">IF(H42&lt;0,A42,0)</f>
        <v>21</v>
      </c>
      <c r="R42" s="13" t="n">
        <f aca="false">IF(J42&lt;0,A42,0)</f>
        <v>21</v>
      </c>
      <c r="S42" s="13" t="n">
        <f aca="false">IF(L42&lt;0,A42,0)</f>
        <v>21</v>
      </c>
      <c r="T42" s="13" t="n">
        <f aca="false">IF(N42&lt;0,A42,0)</f>
        <v>21</v>
      </c>
    </row>
    <row r="43" customFormat="false" ht="15" hidden="false" customHeight="false" outlineLevel="0" collapsed="false">
      <c r="A43" s="0" t="n">
        <v>22</v>
      </c>
      <c r="B43" s="0" t="n">
        <v>2</v>
      </c>
      <c r="C43" s="10" t="n">
        <f aca="false">3yr_Scenarios!O56*100000/12</f>
        <v>81594.0377540868</v>
      </c>
      <c r="D43" s="10" t="n">
        <f aca="false">C43+D42</f>
        <v>-1438489.78302364</v>
      </c>
      <c r="E43" s="10" t="n">
        <f aca="false">C43-Assumptions!$D$204*(1+Assumptions!$D$269)^(2-1)</f>
        <v>594.037754086792</v>
      </c>
      <c r="F43" s="10" t="n">
        <f aca="false">E43+F42</f>
        <v>-3148489.78302364</v>
      </c>
      <c r="G43" s="10" t="n">
        <f aca="false">3yr_Scenarios!L56*100000/12</f>
        <v>45548.9954473251</v>
      </c>
      <c r="H43" s="10" t="n">
        <f aca="false">G43+H42</f>
        <v>-1592010.19296353</v>
      </c>
      <c r="I43" s="10" t="n">
        <f aca="false">G43-Assumptions!$D$204*(1+Assumptions!$D$269)^(2-1)</f>
        <v>-35451.0045526749</v>
      </c>
      <c r="J43" s="10" t="n">
        <f aca="false">I43+J42</f>
        <v>-3302010.19296353</v>
      </c>
      <c r="K43" s="10" t="n">
        <f aca="false">3yr_Scenarios!AA56*100000/12</f>
        <v>-29191.7325886345</v>
      </c>
      <c r="L43" s="10" t="n">
        <f aca="false">K43+L42</f>
        <v>-2546347.48645085</v>
      </c>
      <c r="M43" s="10" t="n">
        <f aca="false">K43-Assumptions!$D$204*(1+Assumptions!$D$269)^(2-1)</f>
        <v>-110191.732588635</v>
      </c>
      <c r="N43" s="10" t="n">
        <f aca="false">M43+N42</f>
        <v>-4256347.48645085</v>
      </c>
      <c r="O43" s="13" t="n">
        <f aca="false">IF(D43&lt;0,A43,0)</f>
        <v>22</v>
      </c>
      <c r="P43" s="13" t="n">
        <f aca="false">IF(F43&lt;0,A43,0)</f>
        <v>22</v>
      </c>
      <c r="Q43" s="13" t="n">
        <f aca="false">IF(H43&lt;0,A43,0)</f>
        <v>22</v>
      </c>
      <c r="R43" s="13" t="n">
        <f aca="false">IF(J43&lt;0,A43,0)</f>
        <v>22</v>
      </c>
      <c r="S43" s="13" t="n">
        <f aca="false">IF(L43&lt;0,A43,0)</f>
        <v>22</v>
      </c>
      <c r="T43" s="13" t="n">
        <f aca="false">IF(N43&lt;0,A43,0)</f>
        <v>22</v>
      </c>
    </row>
    <row r="44" customFormat="false" ht="15" hidden="false" customHeight="false" outlineLevel="0" collapsed="false">
      <c r="A44" s="0" t="n">
        <v>23</v>
      </c>
      <c r="B44" s="0" t="n">
        <v>2</v>
      </c>
      <c r="C44" s="10" t="n">
        <f aca="false">3yr_Scenarios!O56*100000/12</f>
        <v>81594.0377540868</v>
      </c>
      <c r="D44" s="10" t="n">
        <f aca="false">C44+D43</f>
        <v>-1356895.74526955</v>
      </c>
      <c r="E44" s="10" t="n">
        <f aca="false">C44-Assumptions!$D$204*(1+Assumptions!$D$269)^(2-1)</f>
        <v>594.037754086792</v>
      </c>
      <c r="F44" s="10" t="n">
        <f aca="false">E44+F43</f>
        <v>-3147895.74526955</v>
      </c>
      <c r="G44" s="10" t="n">
        <f aca="false">3yr_Scenarios!L56*100000/12</f>
        <v>45548.9954473251</v>
      </c>
      <c r="H44" s="10" t="n">
        <f aca="false">G44+H43</f>
        <v>-1546461.1975162</v>
      </c>
      <c r="I44" s="10" t="n">
        <f aca="false">G44-Assumptions!$D$204*(1+Assumptions!$D$269)^(2-1)</f>
        <v>-35451.0045526749</v>
      </c>
      <c r="J44" s="10" t="n">
        <f aca="false">I44+J43</f>
        <v>-3337461.19751621</v>
      </c>
      <c r="K44" s="10" t="n">
        <f aca="false">3yr_Scenarios!AA56*100000/12</f>
        <v>-29191.7325886345</v>
      </c>
      <c r="L44" s="10" t="n">
        <f aca="false">K44+L43</f>
        <v>-2575539.21903948</v>
      </c>
      <c r="M44" s="10" t="n">
        <f aca="false">K44-Assumptions!$D$204*(1+Assumptions!$D$269)^(2-1)</f>
        <v>-110191.732588635</v>
      </c>
      <c r="N44" s="10" t="n">
        <f aca="false">M44+N43</f>
        <v>-4366539.21903948</v>
      </c>
      <c r="O44" s="13" t="n">
        <f aca="false">IF(D44&lt;0,A44,0)</f>
        <v>23</v>
      </c>
      <c r="P44" s="13" t="n">
        <f aca="false">IF(F44&lt;0,A44,0)</f>
        <v>23</v>
      </c>
      <c r="Q44" s="13" t="n">
        <f aca="false">IF(H44&lt;0,A44,0)</f>
        <v>23</v>
      </c>
      <c r="R44" s="13" t="n">
        <f aca="false">IF(J44&lt;0,A44,0)</f>
        <v>23</v>
      </c>
      <c r="S44" s="13" t="n">
        <f aca="false">IF(L44&lt;0,A44,0)</f>
        <v>23</v>
      </c>
      <c r="T44" s="13" t="n">
        <f aca="false">IF(N44&lt;0,A44,0)</f>
        <v>23</v>
      </c>
    </row>
    <row r="45" customFormat="false" ht="15" hidden="false" customHeight="false" outlineLevel="0" collapsed="false">
      <c r="A45" s="0" t="n">
        <v>24</v>
      </c>
      <c r="B45" s="0" t="n">
        <v>2</v>
      </c>
      <c r="C45" s="10" t="n">
        <f aca="false">3yr_Scenarios!O56*100000/12</f>
        <v>81594.0377540868</v>
      </c>
      <c r="D45" s="10" t="n">
        <f aca="false">C45+D44</f>
        <v>-1275301.70751546</v>
      </c>
      <c r="E45" s="10" t="n">
        <f aca="false">C45-Assumptions!$D$204*(1+Assumptions!$D$269)^(2-1)</f>
        <v>594.037754086792</v>
      </c>
      <c r="F45" s="10" t="n">
        <f aca="false">E45+F44</f>
        <v>-3147301.70751546</v>
      </c>
      <c r="G45" s="10" t="n">
        <f aca="false">3yr_Scenarios!L56*100000/12</f>
        <v>45548.9954473251</v>
      </c>
      <c r="H45" s="10" t="n">
        <f aca="false">G45+H44</f>
        <v>-1500912.20206888</v>
      </c>
      <c r="I45" s="10" t="n">
        <f aca="false">G45-Assumptions!$D$204*(1+Assumptions!$D$269)^(2-1)</f>
        <v>-35451.0045526749</v>
      </c>
      <c r="J45" s="10" t="n">
        <f aca="false">I45+J44</f>
        <v>-3372912.20206888</v>
      </c>
      <c r="K45" s="10" t="n">
        <f aca="false">3yr_Scenarios!AA56*100000/12</f>
        <v>-29191.7325886345</v>
      </c>
      <c r="L45" s="10" t="n">
        <f aca="false">K45+L44</f>
        <v>-2604730.95162812</v>
      </c>
      <c r="M45" s="10" t="n">
        <f aca="false">K45-Assumptions!$D$204*(1+Assumptions!$D$269)^(2-1)</f>
        <v>-110191.732588635</v>
      </c>
      <c r="N45" s="10" t="n">
        <f aca="false">M45+N44</f>
        <v>-4476730.95162812</v>
      </c>
      <c r="O45" s="13" t="n">
        <f aca="false">IF(D45&lt;0,A45,0)</f>
        <v>24</v>
      </c>
      <c r="P45" s="13" t="n">
        <f aca="false">IF(F45&lt;0,A45,0)</f>
        <v>24</v>
      </c>
      <c r="Q45" s="13" t="n">
        <f aca="false">IF(H45&lt;0,A45,0)</f>
        <v>24</v>
      </c>
      <c r="R45" s="13" t="n">
        <f aca="false">IF(J45&lt;0,A45,0)</f>
        <v>24</v>
      </c>
      <c r="S45" s="13" t="n">
        <f aca="false">IF(L45&lt;0,A45,0)</f>
        <v>24</v>
      </c>
      <c r="T45" s="13" t="n">
        <f aca="false">IF(N45&lt;0,A45,0)</f>
        <v>24</v>
      </c>
    </row>
    <row r="46" customFormat="false" ht="15" hidden="false" customHeight="false" outlineLevel="0" collapsed="false">
      <c r="A46" s="0" t="n">
        <v>25</v>
      </c>
      <c r="B46" s="0" t="n">
        <v>3</v>
      </c>
      <c r="C46" s="10" t="n">
        <f aca="false">3yr_Scenarios!P56*100000/12</f>
        <v>297177.09084221</v>
      </c>
      <c r="D46" s="10" t="n">
        <f aca="false">C46+D45</f>
        <v>-978124.616673251</v>
      </c>
      <c r="E46" s="10" t="n">
        <f aca="false">C46-Assumptions!$D$204*(1+Assumptions!$D$269)^(3-1)</f>
        <v>209697.09084221</v>
      </c>
      <c r="F46" s="10" t="n">
        <f aca="false">E46+F45</f>
        <v>-2937604.61667325</v>
      </c>
      <c r="G46" s="10" t="n">
        <f aca="false">3yr_Scenarios!M56*100000/12</f>
        <v>317046.66551115</v>
      </c>
      <c r="H46" s="10" t="n">
        <f aca="false">G46+H45</f>
        <v>-1183865.53655773</v>
      </c>
      <c r="I46" s="10" t="n">
        <f aca="false">G46-Assumptions!$D$204*(1+Assumptions!$D$269)^(3-1)</f>
        <v>229566.66551115</v>
      </c>
      <c r="J46" s="10" t="n">
        <f aca="false">I46+J45</f>
        <v>-3143345.53655773</v>
      </c>
      <c r="K46" s="10" t="n">
        <f aca="false">3yr_Scenarios!AB56*100000/12</f>
        <v>-33554.5585624836</v>
      </c>
      <c r="L46" s="10" t="n">
        <f aca="false">K46+L45</f>
        <v>-2638285.5101906</v>
      </c>
      <c r="M46" s="10" t="n">
        <f aca="false">K46-Assumptions!$D$204*(1+Assumptions!$D$269)^(3-1)</f>
        <v>-121034.558562484</v>
      </c>
      <c r="N46" s="10" t="n">
        <f aca="false">M46+N45</f>
        <v>-4597765.5101906</v>
      </c>
      <c r="O46" s="13" t="n">
        <f aca="false">IF(D46&lt;0,A46,0)</f>
        <v>25</v>
      </c>
      <c r="P46" s="13" t="n">
        <f aca="false">IF(F46&lt;0,A46,0)</f>
        <v>25</v>
      </c>
      <c r="Q46" s="13" t="n">
        <f aca="false">IF(H46&lt;0,A46,0)</f>
        <v>25</v>
      </c>
      <c r="R46" s="13" t="n">
        <f aca="false">IF(J46&lt;0,A46,0)</f>
        <v>25</v>
      </c>
      <c r="S46" s="13" t="n">
        <f aca="false">IF(L46&lt;0,A46,0)</f>
        <v>25</v>
      </c>
      <c r="T46" s="13" t="n">
        <f aca="false">IF(N46&lt;0,A46,0)</f>
        <v>25</v>
      </c>
    </row>
    <row r="47" customFormat="false" ht="15" hidden="false" customHeight="false" outlineLevel="0" collapsed="false">
      <c r="A47" s="0" t="n">
        <v>26</v>
      </c>
      <c r="B47" s="0" t="n">
        <v>3</v>
      </c>
      <c r="C47" s="10" t="n">
        <f aca="false">3yr_Scenarios!P56*100000/12</f>
        <v>297177.09084221</v>
      </c>
      <c r="D47" s="10" t="n">
        <f aca="false">C47+D46</f>
        <v>-680947.525831041</v>
      </c>
      <c r="E47" s="10" t="n">
        <f aca="false">C47-Assumptions!$D$204*(1+Assumptions!$D$269)^(3-1)</f>
        <v>209697.09084221</v>
      </c>
      <c r="F47" s="10" t="n">
        <f aca="false">E47+F46</f>
        <v>-2727907.52583104</v>
      </c>
      <c r="G47" s="10" t="n">
        <f aca="false">3yr_Scenarios!M56*100000/12</f>
        <v>317046.66551115</v>
      </c>
      <c r="H47" s="10" t="n">
        <f aca="false">G47+H46</f>
        <v>-866818.871046579</v>
      </c>
      <c r="I47" s="10" t="n">
        <f aca="false">G47-Assumptions!$D$204*(1+Assumptions!$D$269)^(3-1)</f>
        <v>229566.66551115</v>
      </c>
      <c r="J47" s="10" t="n">
        <f aca="false">I47+J46</f>
        <v>-2913778.87104658</v>
      </c>
      <c r="K47" s="10" t="n">
        <f aca="false">3yr_Scenarios!AB56*100000/12</f>
        <v>-33554.5585624836</v>
      </c>
      <c r="L47" s="10" t="n">
        <f aca="false">K47+L46</f>
        <v>-2671840.06875308</v>
      </c>
      <c r="M47" s="10" t="n">
        <f aca="false">K47-Assumptions!$D$204*(1+Assumptions!$D$269)^(3-1)</f>
        <v>-121034.558562484</v>
      </c>
      <c r="N47" s="10" t="n">
        <f aca="false">M47+N46</f>
        <v>-4718800.06875308</v>
      </c>
      <c r="O47" s="13" t="n">
        <f aca="false">IF(D47&lt;0,A47,0)</f>
        <v>26</v>
      </c>
      <c r="P47" s="13" t="n">
        <f aca="false">IF(F47&lt;0,A47,0)</f>
        <v>26</v>
      </c>
      <c r="Q47" s="13" t="n">
        <f aca="false">IF(H47&lt;0,A47,0)</f>
        <v>26</v>
      </c>
      <c r="R47" s="13" t="n">
        <f aca="false">IF(J47&lt;0,A47,0)</f>
        <v>26</v>
      </c>
      <c r="S47" s="13" t="n">
        <f aca="false">IF(L47&lt;0,A47,0)</f>
        <v>26</v>
      </c>
      <c r="T47" s="13" t="n">
        <f aca="false">IF(N47&lt;0,A47,0)</f>
        <v>26</v>
      </c>
    </row>
    <row r="48" customFormat="false" ht="15" hidden="false" customHeight="false" outlineLevel="0" collapsed="false">
      <c r="A48" s="0" t="n">
        <v>27</v>
      </c>
      <c r="B48" s="0" t="n">
        <v>3</v>
      </c>
      <c r="C48" s="10" t="n">
        <f aca="false">3yr_Scenarios!P56*100000/12</f>
        <v>297177.09084221</v>
      </c>
      <c r="D48" s="10" t="n">
        <f aca="false">C48+D47</f>
        <v>-383770.434988831</v>
      </c>
      <c r="E48" s="10" t="n">
        <f aca="false">C48-Assumptions!$D$204*(1+Assumptions!$D$269)^(3-1)</f>
        <v>209697.09084221</v>
      </c>
      <c r="F48" s="10" t="n">
        <f aca="false">E48+F47</f>
        <v>-2518210.43498883</v>
      </c>
      <c r="G48" s="10" t="n">
        <f aca="false">3yr_Scenarios!M56*100000/12</f>
        <v>317046.66551115</v>
      </c>
      <c r="H48" s="10" t="n">
        <f aca="false">G48+H47</f>
        <v>-549772.205535429</v>
      </c>
      <c r="I48" s="10" t="n">
        <f aca="false">G48-Assumptions!$D$204*(1+Assumptions!$D$269)^(3-1)</f>
        <v>229566.66551115</v>
      </c>
      <c r="J48" s="10" t="n">
        <f aca="false">I48+J47</f>
        <v>-2684212.20553543</v>
      </c>
      <c r="K48" s="10" t="n">
        <f aca="false">3yr_Scenarios!AB56*100000/12</f>
        <v>-33554.5585624836</v>
      </c>
      <c r="L48" s="10" t="n">
        <f aca="false">K48+L47</f>
        <v>-2705394.62731557</v>
      </c>
      <c r="M48" s="10" t="n">
        <f aca="false">K48-Assumptions!$D$204*(1+Assumptions!$D$269)^(3-1)</f>
        <v>-121034.558562484</v>
      </c>
      <c r="N48" s="10" t="n">
        <f aca="false">M48+N47</f>
        <v>-4839834.62731557</v>
      </c>
      <c r="O48" s="13" t="n">
        <f aca="false">IF(D48&lt;0,A48,0)</f>
        <v>27</v>
      </c>
      <c r="P48" s="13" t="n">
        <f aca="false">IF(F48&lt;0,A48,0)</f>
        <v>27</v>
      </c>
      <c r="Q48" s="13" t="n">
        <f aca="false">IF(H48&lt;0,A48,0)</f>
        <v>27</v>
      </c>
      <c r="R48" s="13" t="n">
        <f aca="false">IF(J48&lt;0,A48,0)</f>
        <v>27</v>
      </c>
      <c r="S48" s="13" t="n">
        <f aca="false">IF(L48&lt;0,A48,0)</f>
        <v>27</v>
      </c>
      <c r="T48" s="13" t="n">
        <f aca="false">IF(N48&lt;0,A48,0)</f>
        <v>27</v>
      </c>
    </row>
    <row r="49" customFormat="false" ht="15" hidden="false" customHeight="false" outlineLevel="0" collapsed="false">
      <c r="A49" s="0" t="n">
        <v>28</v>
      </c>
      <c r="B49" s="0" t="n">
        <v>3</v>
      </c>
      <c r="C49" s="10" t="n">
        <f aca="false">3yr_Scenarios!P56*100000/12</f>
        <v>297177.09084221</v>
      </c>
      <c r="D49" s="10" t="n">
        <f aca="false">C49+D48</f>
        <v>-86593.3441466215</v>
      </c>
      <c r="E49" s="10" t="n">
        <f aca="false">C49-Assumptions!$D$204*(1+Assumptions!$D$269)^(3-1)</f>
        <v>209697.09084221</v>
      </c>
      <c r="F49" s="10" t="n">
        <f aca="false">E49+F48</f>
        <v>-2308513.34414662</v>
      </c>
      <c r="G49" s="10" t="n">
        <f aca="false">3yr_Scenarios!M56*100000/12</f>
        <v>317046.66551115</v>
      </c>
      <c r="H49" s="10" t="n">
        <f aca="false">G49+H48</f>
        <v>-232725.540024278</v>
      </c>
      <c r="I49" s="10" t="n">
        <f aca="false">G49-Assumptions!$D$204*(1+Assumptions!$D$269)^(3-1)</f>
        <v>229566.66551115</v>
      </c>
      <c r="J49" s="10" t="n">
        <f aca="false">I49+J48</f>
        <v>-2454645.54002428</v>
      </c>
      <c r="K49" s="10" t="n">
        <f aca="false">3yr_Scenarios!AB56*100000/12</f>
        <v>-33554.5585624836</v>
      </c>
      <c r="L49" s="10" t="n">
        <f aca="false">K49+L48</f>
        <v>-2738949.18587805</v>
      </c>
      <c r="M49" s="10" t="n">
        <f aca="false">K49-Assumptions!$D$204*(1+Assumptions!$D$269)^(3-1)</f>
        <v>-121034.558562484</v>
      </c>
      <c r="N49" s="10" t="n">
        <f aca="false">M49+N48</f>
        <v>-4960869.18587805</v>
      </c>
      <c r="O49" s="13" t="n">
        <f aca="false">IF(D49&lt;0,A49,0)</f>
        <v>28</v>
      </c>
      <c r="P49" s="13" t="n">
        <f aca="false">IF(F49&lt;0,A49,0)</f>
        <v>28</v>
      </c>
      <c r="Q49" s="13" t="n">
        <f aca="false">IF(H49&lt;0,A49,0)</f>
        <v>28</v>
      </c>
      <c r="R49" s="13" t="n">
        <f aca="false">IF(J49&lt;0,A49,0)</f>
        <v>28</v>
      </c>
      <c r="S49" s="13" t="n">
        <f aca="false">IF(L49&lt;0,A49,0)</f>
        <v>28</v>
      </c>
      <c r="T49" s="13" t="n">
        <f aca="false">IF(N49&lt;0,A49,0)</f>
        <v>28</v>
      </c>
    </row>
    <row r="50" customFormat="false" ht="15" hidden="false" customHeight="false" outlineLevel="0" collapsed="false">
      <c r="A50" s="0" t="n">
        <v>29</v>
      </c>
      <c r="B50" s="0" t="n">
        <v>3</v>
      </c>
      <c r="C50" s="10" t="n">
        <f aca="false">3yr_Scenarios!P56*100000/12</f>
        <v>297177.09084221</v>
      </c>
      <c r="D50" s="10" t="n">
        <f aca="false">C50+D49</f>
        <v>210583.746695588</v>
      </c>
      <c r="E50" s="10" t="n">
        <f aca="false">C50-Assumptions!$D$204*(1+Assumptions!$D$269)^(3-1)</f>
        <v>209697.09084221</v>
      </c>
      <c r="F50" s="10" t="n">
        <f aca="false">E50+F49</f>
        <v>-2098816.25330441</v>
      </c>
      <c r="G50" s="10" t="n">
        <f aca="false">3yr_Scenarios!M56*100000/12</f>
        <v>317046.66551115</v>
      </c>
      <c r="H50" s="10" t="n">
        <f aca="false">G50+H49</f>
        <v>84321.1254868723</v>
      </c>
      <c r="I50" s="10" t="n">
        <f aca="false">G50-Assumptions!$D$204*(1+Assumptions!$D$269)^(3-1)</f>
        <v>229566.66551115</v>
      </c>
      <c r="J50" s="10" t="n">
        <f aca="false">I50+J49</f>
        <v>-2225078.87451313</v>
      </c>
      <c r="K50" s="10" t="n">
        <f aca="false">3yr_Scenarios!AB56*100000/12</f>
        <v>-33554.5585624836</v>
      </c>
      <c r="L50" s="10" t="n">
        <f aca="false">K50+L49</f>
        <v>-2772503.74444053</v>
      </c>
      <c r="M50" s="10" t="n">
        <f aca="false">K50-Assumptions!$D$204*(1+Assumptions!$D$269)^(3-1)</f>
        <v>-121034.558562484</v>
      </c>
      <c r="N50" s="10" t="n">
        <f aca="false">M50+N49</f>
        <v>-5081903.74444053</v>
      </c>
      <c r="O50" s="13" t="n">
        <f aca="false">IF(D50&lt;0,A50,0)</f>
        <v>0</v>
      </c>
      <c r="P50" s="13" t="n">
        <f aca="false">IF(F50&lt;0,A50,0)</f>
        <v>29</v>
      </c>
      <c r="Q50" s="13" t="n">
        <f aca="false">IF(H50&lt;0,A50,0)</f>
        <v>0</v>
      </c>
      <c r="R50" s="13" t="n">
        <f aca="false">IF(J50&lt;0,A50,0)</f>
        <v>29</v>
      </c>
      <c r="S50" s="13" t="n">
        <f aca="false">IF(L50&lt;0,A50,0)</f>
        <v>29</v>
      </c>
      <c r="T50" s="13" t="n">
        <f aca="false">IF(N50&lt;0,A50,0)</f>
        <v>29</v>
      </c>
    </row>
    <row r="51" customFormat="false" ht="15" hidden="false" customHeight="false" outlineLevel="0" collapsed="false">
      <c r="A51" s="0" t="n">
        <v>30</v>
      </c>
      <c r="B51" s="0" t="n">
        <v>3</v>
      </c>
      <c r="C51" s="10" t="n">
        <f aca="false">3yr_Scenarios!P56*100000/12</f>
        <v>297177.09084221</v>
      </c>
      <c r="D51" s="10" t="n">
        <f aca="false">C51+D50</f>
        <v>507760.837537798</v>
      </c>
      <c r="E51" s="10" t="n">
        <f aca="false">C51-Assumptions!$D$204*(1+Assumptions!$D$269)^(3-1)</f>
        <v>209697.09084221</v>
      </c>
      <c r="F51" s="10" t="n">
        <f aca="false">E51+F50</f>
        <v>-1889119.1624622</v>
      </c>
      <c r="G51" s="10" t="n">
        <f aca="false">3yr_Scenarios!M56*100000/12</f>
        <v>317046.66551115</v>
      </c>
      <c r="H51" s="10" t="n">
        <f aca="false">G51+H50</f>
        <v>401367.790998023</v>
      </c>
      <c r="I51" s="10" t="n">
        <f aca="false">G51-Assumptions!$D$204*(1+Assumptions!$D$269)^(3-1)</f>
        <v>229566.66551115</v>
      </c>
      <c r="J51" s="10" t="n">
        <f aca="false">I51+J50</f>
        <v>-1995512.20900198</v>
      </c>
      <c r="K51" s="10" t="n">
        <f aca="false">3yr_Scenarios!AB56*100000/12</f>
        <v>-33554.5585624836</v>
      </c>
      <c r="L51" s="10" t="n">
        <f aca="false">K51+L50</f>
        <v>-2806058.30300302</v>
      </c>
      <c r="M51" s="10" t="n">
        <f aca="false">K51-Assumptions!$D$204*(1+Assumptions!$D$269)^(3-1)</f>
        <v>-121034.558562484</v>
      </c>
      <c r="N51" s="10" t="n">
        <f aca="false">M51+N50</f>
        <v>-5202938.30300302</v>
      </c>
      <c r="O51" s="13" t="n">
        <f aca="false">IF(D51&lt;0,A51,0)</f>
        <v>0</v>
      </c>
      <c r="P51" s="13" t="n">
        <f aca="false">IF(F51&lt;0,A51,0)</f>
        <v>30</v>
      </c>
      <c r="Q51" s="13" t="n">
        <f aca="false">IF(H51&lt;0,A51,0)</f>
        <v>0</v>
      </c>
      <c r="R51" s="13" t="n">
        <f aca="false">IF(J51&lt;0,A51,0)</f>
        <v>30</v>
      </c>
      <c r="S51" s="13" t="n">
        <f aca="false">IF(L51&lt;0,A51,0)</f>
        <v>30</v>
      </c>
      <c r="T51" s="13" t="n">
        <f aca="false">IF(N51&lt;0,A51,0)</f>
        <v>30</v>
      </c>
    </row>
    <row r="52" customFormat="false" ht="15" hidden="false" customHeight="false" outlineLevel="0" collapsed="false">
      <c r="A52" s="0" t="n">
        <v>31</v>
      </c>
      <c r="B52" s="0" t="n">
        <v>3</v>
      </c>
      <c r="C52" s="10" t="n">
        <f aca="false">3yr_Scenarios!P56*100000/12</f>
        <v>297177.09084221</v>
      </c>
      <c r="D52" s="10" t="n">
        <f aca="false">C52+D51</f>
        <v>804937.928380008</v>
      </c>
      <c r="E52" s="10" t="n">
        <f aca="false">C52-Assumptions!$D$204*(1+Assumptions!$D$269)^(3-1)</f>
        <v>209697.09084221</v>
      </c>
      <c r="F52" s="10" t="n">
        <f aca="false">E52+F51</f>
        <v>-1679422.07161999</v>
      </c>
      <c r="G52" s="10" t="n">
        <f aca="false">3yr_Scenarios!M56*100000/12</f>
        <v>317046.66551115</v>
      </c>
      <c r="H52" s="10" t="n">
        <f aca="false">G52+H51</f>
        <v>718414.456509173</v>
      </c>
      <c r="I52" s="10" t="n">
        <f aca="false">G52-Assumptions!$D$204*(1+Assumptions!$D$269)^(3-1)</f>
        <v>229566.66551115</v>
      </c>
      <c r="J52" s="10" t="n">
        <f aca="false">I52+J51</f>
        <v>-1765945.54349083</v>
      </c>
      <c r="K52" s="10" t="n">
        <f aca="false">3yr_Scenarios!AB56*100000/12</f>
        <v>-33554.5585624836</v>
      </c>
      <c r="L52" s="10" t="n">
        <f aca="false">K52+L51</f>
        <v>-2839612.8615655</v>
      </c>
      <c r="M52" s="10" t="n">
        <f aca="false">K52-Assumptions!$D$204*(1+Assumptions!$D$269)^(3-1)</f>
        <v>-121034.558562484</v>
      </c>
      <c r="N52" s="10" t="n">
        <f aca="false">M52+N51</f>
        <v>-5323972.8615655</v>
      </c>
      <c r="O52" s="13" t="n">
        <f aca="false">IF(D52&lt;0,A52,0)</f>
        <v>0</v>
      </c>
      <c r="P52" s="13" t="n">
        <f aca="false">IF(F52&lt;0,A52,0)</f>
        <v>31</v>
      </c>
      <c r="Q52" s="13" t="n">
        <f aca="false">IF(H52&lt;0,A52,0)</f>
        <v>0</v>
      </c>
      <c r="R52" s="13" t="n">
        <f aca="false">IF(J52&lt;0,A52,0)</f>
        <v>31</v>
      </c>
      <c r="S52" s="13" t="n">
        <f aca="false">IF(L52&lt;0,A52,0)</f>
        <v>31</v>
      </c>
      <c r="T52" s="13" t="n">
        <f aca="false">IF(N52&lt;0,A52,0)</f>
        <v>31</v>
      </c>
    </row>
    <row r="53" customFormat="false" ht="15" hidden="false" customHeight="false" outlineLevel="0" collapsed="false">
      <c r="A53" s="0" t="n">
        <v>32</v>
      </c>
      <c r="B53" s="0" t="n">
        <v>3</v>
      </c>
      <c r="C53" s="10" t="n">
        <f aca="false">3yr_Scenarios!P56*100000/12</f>
        <v>297177.09084221</v>
      </c>
      <c r="D53" s="10" t="n">
        <f aca="false">C53+D52</f>
        <v>1102115.01922222</v>
      </c>
      <c r="E53" s="10" t="n">
        <f aca="false">C53-Assumptions!$D$204*(1+Assumptions!$D$269)^(3-1)</f>
        <v>209697.09084221</v>
      </c>
      <c r="F53" s="10" t="n">
        <f aca="false">E53+F52</f>
        <v>-1469724.98077778</v>
      </c>
      <c r="G53" s="10" t="n">
        <f aca="false">3yr_Scenarios!M56*100000/12</f>
        <v>317046.66551115</v>
      </c>
      <c r="H53" s="10" t="n">
        <f aca="false">G53+H52</f>
        <v>1035461.12202032</v>
      </c>
      <c r="I53" s="10" t="n">
        <f aca="false">G53-Assumptions!$D$204*(1+Assumptions!$D$269)^(3-1)</f>
        <v>229566.66551115</v>
      </c>
      <c r="J53" s="10" t="n">
        <f aca="false">I53+J52</f>
        <v>-1536378.87797968</v>
      </c>
      <c r="K53" s="10" t="n">
        <f aca="false">3yr_Scenarios!AB56*100000/12</f>
        <v>-33554.5585624836</v>
      </c>
      <c r="L53" s="10" t="n">
        <f aca="false">K53+L52</f>
        <v>-2873167.42012798</v>
      </c>
      <c r="M53" s="10" t="n">
        <f aca="false">K53-Assumptions!$D$204*(1+Assumptions!$D$269)^(3-1)</f>
        <v>-121034.558562484</v>
      </c>
      <c r="N53" s="10" t="n">
        <f aca="false">M53+N52</f>
        <v>-5445007.42012799</v>
      </c>
      <c r="O53" s="13" t="n">
        <f aca="false">IF(D53&lt;0,A53,0)</f>
        <v>0</v>
      </c>
      <c r="P53" s="13" t="n">
        <f aca="false">IF(F53&lt;0,A53,0)</f>
        <v>32</v>
      </c>
      <c r="Q53" s="13" t="n">
        <f aca="false">IF(H53&lt;0,A53,0)</f>
        <v>0</v>
      </c>
      <c r="R53" s="13" t="n">
        <f aca="false">IF(J53&lt;0,A53,0)</f>
        <v>32</v>
      </c>
      <c r="S53" s="13" t="n">
        <f aca="false">IF(L53&lt;0,A53,0)</f>
        <v>32</v>
      </c>
      <c r="T53" s="13" t="n">
        <f aca="false">IF(N53&lt;0,A53,0)</f>
        <v>32</v>
      </c>
    </row>
    <row r="54" customFormat="false" ht="15" hidden="false" customHeight="false" outlineLevel="0" collapsed="false">
      <c r="A54" s="0" t="n">
        <v>33</v>
      </c>
      <c r="B54" s="0" t="n">
        <v>3</v>
      </c>
      <c r="C54" s="10" t="n">
        <f aca="false">3yr_Scenarios!P56*100000/12</f>
        <v>297177.09084221</v>
      </c>
      <c r="D54" s="10" t="n">
        <f aca="false">C54+D53</f>
        <v>1399292.11006443</v>
      </c>
      <c r="E54" s="10" t="n">
        <f aca="false">C54-Assumptions!$D$204*(1+Assumptions!$D$269)^(3-1)</f>
        <v>209697.09084221</v>
      </c>
      <c r="F54" s="10" t="n">
        <f aca="false">E54+F53</f>
        <v>-1260027.88993557</v>
      </c>
      <c r="G54" s="10" t="n">
        <f aca="false">3yr_Scenarios!M56*100000/12</f>
        <v>317046.66551115</v>
      </c>
      <c r="H54" s="10" t="n">
        <f aca="false">G54+H53</f>
        <v>1352507.78753147</v>
      </c>
      <c r="I54" s="10" t="n">
        <f aca="false">G54-Assumptions!$D$204*(1+Assumptions!$D$269)^(3-1)</f>
        <v>229566.66551115</v>
      </c>
      <c r="J54" s="10" t="n">
        <f aca="false">I54+J53</f>
        <v>-1306812.21246853</v>
      </c>
      <c r="K54" s="10" t="n">
        <f aca="false">3yr_Scenarios!AB56*100000/12</f>
        <v>-33554.5585624836</v>
      </c>
      <c r="L54" s="10" t="n">
        <f aca="false">K54+L53</f>
        <v>-2906721.97869047</v>
      </c>
      <c r="M54" s="10" t="n">
        <f aca="false">K54-Assumptions!$D$204*(1+Assumptions!$D$269)^(3-1)</f>
        <v>-121034.558562484</v>
      </c>
      <c r="N54" s="10" t="n">
        <f aca="false">M54+N53</f>
        <v>-5566041.97869047</v>
      </c>
      <c r="O54" s="13" t="n">
        <f aca="false">IF(D54&lt;0,A54,0)</f>
        <v>0</v>
      </c>
      <c r="P54" s="13" t="n">
        <f aca="false">IF(F54&lt;0,A54,0)</f>
        <v>33</v>
      </c>
      <c r="Q54" s="13" t="n">
        <f aca="false">IF(H54&lt;0,A54,0)</f>
        <v>0</v>
      </c>
      <c r="R54" s="13" t="n">
        <f aca="false">IF(J54&lt;0,A54,0)</f>
        <v>33</v>
      </c>
      <c r="S54" s="13" t="n">
        <f aca="false">IF(L54&lt;0,A54,0)</f>
        <v>33</v>
      </c>
      <c r="T54" s="13" t="n">
        <f aca="false">IF(N54&lt;0,A54,0)</f>
        <v>33</v>
      </c>
    </row>
    <row r="55" customFormat="false" ht="15" hidden="false" customHeight="false" outlineLevel="0" collapsed="false">
      <c r="A55" s="0" t="n">
        <v>34</v>
      </c>
      <c r="B55" s="0" t="n">
        <v>3</v>
      </c>
      <c r="C55" s="10" t="n">
        <f aca="false">3yr_Scenarios!P56*100000/12</f>
        <v>297177.09084221</v>
      </c>
      <c r="D55" s="10" t="n">
        <f aca="false">C55+D54</f>
        <v>1696469.20090664</v>
      </c>
      <c r="E55" s="10" t="n">
        <f aca="false">C55-Assumptions!$D$204*(1+Assumptions!$D$269)^(3-1)</f>
        <v>209697.09084221</v>
      </c>
      <c r="F55" s="10" t="n">
        <f aca="false">E55+F54</f>
        <v>-1050330.79909336</v>
      </c>
      <c r="G55" s="10" t="n">
        <f aca="false">3yr_Scenarios!M56*100000/12</f>
        <v>317046.66551115</v>
      </c>
      <c r="H55" s="10" t="n">
        <f aca="false">G55+H54</f>
        <v>1669554.45304262</v>
      </c>
      <c r="I55" s="10" t="n">
        <f aca="false">G55-Assumptions!$D$204*(1+Assumptions!$D$269)^(3-1)</f>
        <v>229566.66551115</v>
      </c>
      <c r="J55" s="10" t="n">
        <f aca="false">I55+J54</f>
        <v>-1077245.54695738</v>
      </c>
      <c r="K55" s="10" t="n">
        <f aca="false">3yr_Scenarios!AB56*100000/12</f>
        <v>-33554.5585624836</v>
      </c>
      <c r="L55" s="10" t="n">
        <f aca="false">K55+L54</f>
        <v>-2940276.53725295</v>
      </c>
      <c r="M55" s="10" t="n">
        <f aca="false">K55-Assumptions!$D$204*(1+Assumptions!$D$269)^(3-1)</f>
        <v>-121034.558562484</v>
      </c>
      <c r="N55" s="10" t="n">
        <f aca="false">M55+N54</f>
        <v>-5687076.53725295</v>
      </c>
      <c r="O55" s="13" t="n">
        <f aca="false">IF(D55&lt;0,A55,0)</f>
        <v>0</v>
      </c>
      <c r="P55" s="13" t="n">
        <f aca="false">IF(F55&lt;0,A55,0)</f>
        <v>34</v>
      </c>
      <c r="Q55" s="13" t="n">
        <f aca="false">IF(H55&lt;0,A55,0)</f>
        <v>0</v>
      </c>
      <c r="R55" s="13" t="n">
        <f aca="false">IF(J55&lt;0,A55,0)</f>
        <v>34</v>
      </c>
      <c r="S55" s="13" t="n">
        <f aca="false">IF(L55&lt;0,A55,0)</f>
        <v>34</v>
      </c>
      <c r="T55" s="13" t="n">
        <f aca="false">IF(N55&lt;0,A55,0)</f>
        <v>34</v>
      </c>
    </row>
    <row r="56" customFormat="false" ht="15" hidden="false" customHeight="false" outlineLevel="0" collapsed="false">
      <c r="A56" s="0" t="n">
        <v>35</v>
      </c>
      <c r="B56" s="0" t="n">
        <v>3</v>
      </c>
      <c r="C56" s="10" t="n">
        <f aca="false">3yr_Scenarios!P56*100000/12</f>
        <v>297177.09084221</v>
      </c>
      <c r="D56" s="10" t="n">
        <f aca="false">C56+D55</f>
        <v>1993646.29174885</v>
      </c>
      <c r="E56" s="10" t="n">
        <f aca="false">C56-Assumptions!$D$204*(1+Assumptions!$D$269)^(3-1)</f>
        <v>209697.09084221</v>
      </c>
      <c r="F56" s="10" t="n">
        <f aca="false">E56+F55</f>
        <v>-840633.708251153</v>
      </c>
      <c r="G56" s="10" t="n">
        <f aca="false">3yr_Scenarios!M56*100000/12</f>
        <v>317046.66551115</v>
      </c>
      <c r="H56" s="10" t="n">
        <f aca="false">G56+H55</f>
        <v>1986601.11855377</v>
      </c>
      <c r="I56" s="10" t="n">
        <f aca="false">G56-Assumptions!$D$204*(1+Assumptions!$D$269)^(3-1)</f>
        <v>229566.66551115</v>
      </c>
      <c r="J56" s="10" t="n">
        <f aca="false">I56+J55</f>
        <v>-847678.881446226</v>
      </c>
      <c r="K56" s="10" t="n">
        <f aca="false">3yr_Scenarios!AB56*100000/12</f>
        <v>-33554.5585624836</v>
      </c>
      <c r="L56" s="10" t="n">
        <f aca="false">K56+L55</f>
        <v>-2973831.09581544</v>
      </c>
      <c r="M56" s="10" t="n">
        <f aca="false">K56-Assumptions!$D$204*(1+Assumptions!$D$269)^(3-1)</f>
        <v>-121034.558562484</v>
      </c>
      <c r="N56" s="10" t="n">
        <f aca="false">M56+N55</f>
        <v>-5808111.09581544</v>
      </c>
      <c r="O56" s="13" t="n">
        <f aca="false">IF(D56&lt;0,A56,0)</f>
        <v>0</v>
      </c>
      <c r="P56" s="13" t="n">
        <f aca="false">IF(F56&lt;0,A56,0)</f>
        <v>35</v>
      </c>
      <c r="Q56" s="13" t="n">
        <f aca="false">IF(H56&lt;0,A56,0)</f>
        <v>0</v>
      </c>
      <c r="R56" s="13" t="n">
        <f aca="false">IF(J56&lt;0,A56,0)</f>
        <v>35</v>
      </c>
      <c r="S56" s="13" t="n">
        <f aca="false">IF(L56&lt;0,A56,0)</f>
        <v>35</v>
      </c>
      <c r="T56" s="13" t="n">
        <f aca="false">IF(N56&lt;0,A56,0)</f>
        <v>35</v>
      </c>
    </row>
    <row r="57" customFormat="false" ht="15" hidden="false" customHeight="false" outlineLevel="0" collapsed="false">
      <c r="A57" s="0" t="n">
        <v>36</v>
      </c>
      <c r="B57" s="0" t="n">
        <v>3</v>
      </c>
      <c r="C57" s="10" t="n">
        <f aca="false">3yr_Scenarios!P56*100000/12</f>
        <v>297177.09084221</v>
      </c>
      <c r="D57" s="10" t="n">
        <f aca="false">C57+D56</f>
        <v>2290823.38259106</v>
      </c>
      <c r="E57" s="10" t="n">
        <f aca="false">C57-Assumptions!$D$204*(1+Assumptions!$D$269)^(3-1)</f>
        <v>209697.09084221</v>
      </c>
      <c r="F57" s="10" t="n">
        <f aca="false">E57+F56</f>
        <v>-630936.617408943</v>
      </c>
      <c r="G57" s="10" t="n">
        <f aca="false">3yr_Scenarios!M56*100000/12</f>
        <v>317046.66551115</v>
      </c>
      <c r="H57" s="10" t="n">
        <f aca="false">G57+H56</f>
        <v>2303647.78406493</v>
      </c>
      <c r="I57" s="10" t="n">
        <f aca="false">G57-Assumptions!$D$204*(1+Assumptions!$D$269)^(3-1)</f>
        <v>229566.66551115</v>
      </c>
      <c r="J57" s="10" t="n">
        <f aca="false">I57+J56</f>
        <v>-618112.215935075</v>
      </c>
      <c r="K57" s="10" t="n">
        <f aca="false">3yr_Scenarios!AB56*100000/12</f>
        <v>-33554.5585624836</v>
      </c>
      <c r="L57" s="10" t="n">
        <f aca="false">K57+L56</f>
        <v>-3007385.65437792</v>
      </c>
      <c r="M57" s="10" t="n">
        <f aca="false">K57-Assumptions!$D$204*(1+Assumptions!$D$269)^(3-1)</f>
        <v>-121034.558562484</v>
      </c>
      <c r="N57" s="10" t="n">
        <f aca="false">M57+N56</f>
        <v>-5929145.65437792</v>
      </c>
      <c r="O57" s="13" t="n">
        <f aca="false">IF(D57&lt;0,A57,0)</f>
        <v>0</v>
      </c>
      <c r="P57" s="13" t="n">
        <f aca="false">IF(F57&lt;0,A57,0)</f>
        <v>36</v>
      </c>
      <c r="Q57" s="13" t="n">
        <f aca="false">IF(H57&lt;0,A57,0)</f>
        <v>0</v>
      </c>
      <c r="R57" s="13" t="n">
        <f aca="false">IF(J57&lt;0,A57,0)</f>
        <v>36</v>
      </c>
      <c r="S57" s="13" t="n">
        <f aca="false">IF(L57&lt;0,A57,0)</f>
        <v>36</v>
      </c>
      <c r="T57" s="13" t="n">
        <f aca="false">IF(N57&lt;0,A57,0)</f>
        <v>36</v>
      </c>
    </row>
    <row r="58" customFormat="false" ht="15" hidden="false" customHeight="false" outlineLevel="0" collapsed="false">
      <c r="A58" s="0" t="n">
        <v>37</v>
      </c>
      <c r="B58" s="0" t="n">
        <v>4</v>
      </c>
      <c r="C58" s="10" t="n">
        <f aca="false">3yr_Scenarios!P56*100000/12</f>
        <v>297177.09084221</v>
      </c>
      <c r="D58" s="10" t="n">
        <f aca="false">C58+D57</f>
        <v>2588000.47343327</v>
      </c>
      <c r="E58" s="10" t="n">
        <f aca="false">C58-Assumptions!$D$204*(1+Assumptions!$D$269)^(4-1)</f>
        <v>202698.69084221</v>
      </c>
      <c r="F58" s="10" t="n">
        <f aca="false">E58+F57</f>
        <v>-428237.926566733</v>
      </c>
      <c r="G58" s="10" t="n">
        <f aca="false">3yr_Scenarios!M56*100000/12</f>
        <v>317046.66551115</v>
      </c>
      <c r="H58" s="10" t="n">
        <f aca="false">G58+H57</f>
        <v>2620694.44957608</v>
      </c>
      <c r="I58" s="10" t="n">
        <f aca="false">G58-Assumptions!$D$204*(1+Assumptions!$D$269)^(4-1)</f>
        <v>222568.26551115</v>
      </c>
      <c r="J58" s="10" t="n">
        <f aca="false">I58+J57</f>
        <v>-395543.950423925</v>
      </c>
      <c r="K58" s="10" t="n">
        <f aca="false">3yr_Scenarios!AB56*100000/12</f>
        <v>-33554.5585624836</v>
      </c>
      <c r="L58" s="10" t="n">
        <f aca="false">K58+L57</f>
        <v>-3040940.2129404</v>
      </c>
      <c r="M58" s="10" t="n">
        <f aca="false">K58-Assumptions!$D$204*(1+Assumptions!$D$269)^(4-1)</f>
        <v>-128032.958562484</v>
      </c>
      <c r="N58" s="10" t="n">
        <f aca="false">M58+N57</f>
        <v>-6057178.6129404</v>
      </c>
      <c r="O58" s="13" t="n">
        <f aca="false">IF(D58&lt;0,A58,0)</f>
        <v>0</v>
      </c>
      <c r="P58" s="13" t="n">
        <f aca="false">IF(F58&lt;0,A58,0)</f>
        <v>37</v>
      </c>
      <c r="Q58" s="13" t="n">
        <f aca="false">IF(H58&lt;0,A58,0)</f>
        <v>0</v>
      </c>
      <c r="R58" s="13" t="n">
        <f aca="false">IF(J58&lt;0,A58,0)</f>
        <v>37</v>
      </c>
      <c r="S58" s="13" t="n">
        <f aca="false">IF(L58&lt;0,A58,0)</f>
        <v>37</v>
      </c>
      <c r="T58" s="13" t="n">
        <f aca="false">IF(N58&lt;0,A58,0)</f>
        <v>37</v>
      </c>
    </row>
    <row r="59" customFormat="false" ht="15" hidden="false" customHeight="false" outlineLevel="0" collapsed="false">
      <c r="A59" s="0" t="n">
        <v>38</v>
      </c>
      <c r="B59" s="0" t="n">
        <v>4</v>
      </c>
      <c r="C59" s="10" t="n">
        <f aca="false">3yr_Scenarios!P56*100000/12</f>
        <v>297177.09084221</v>
      </c>
      <c r="D59" s="10" t="n">
        <f aca="false">C59+D58</f>
        <v>2885177.56427548</v>
      </c>
      <c r="E59" s="10" t="n">
        <f aca="false">C59-Assumptions!$D$204*(1+Assumptions!$D$269)^(4-1)</f>
        <v>202698.69084221</v>
      </c>
      <c r="F59" s="10" t="n">
        <f aca="false">E59+F58</f>
        <v>-225539.235724523</v>
      </c>
      <c r="G59" s="10" t="n">
        <f aca="false">3yr_Scenarios!M56*100000/12</f>
        <v>317046.66551115</v>
      </c>
      <c r="H59" s="10" t="n">
        <f aca="false">G59+H58</f>
        <v>2937741.11508723</v>
      </c>
      <c r="I59" s="10" t="n">
        <f aca="false">G59-Assumptions!$D$204*(1+Assumptions!$D$269)^(4-1)</f>
        <v>222568.26551115</v>
      </c>
      <c r="J59" s="10" t="n">
        <f aca="false">I59+J58</f>
        <v>-172975.684912774</v>
      </c>
      <c r="K59" s="10" t="n">
        <f aca="false">3yr_Scenarios!AB56*100000/12</f>
        <v>-33554.5585624836</v>
      </c>
      <c r="L59" s="10" t="n">
        <f aca="false">K59+L58</f>
        <v>-3074494.77150289</v>
      </c>
      <c r="M59" s="10" t="n">
        <f aca="false">K59-Assumptions!$D$204*(1+Assumptions!$D$269)^(4-1)</f>
        <v>-128032.958562484</v>
      </c>
      <c r="N59" s="10" t="n">
        <f aca="false">M59+N58</f>
        <v>-6185211.57150289</v>
      </c>
      <c r="O59" s="13" t="n">
        <f aca="false">IF(D59&lt;0,A59,0)</f>
        <v>0</v>
      </c>
      <c r="P59" s="13" t="n">
        <f aca="false">IF(F59&lt;0,A59,0)</f>
        <v>38</v>
      </c>
      <c r="Q59" s="13" t="n">
        <f aca="false">IF(H59&lt;0,A59,0)</f>
        <v>0</v>
      </c>
      <c r="R59" s="13" t="n">
        <f aca="false">IF(J59&lt;0,A59,0)</f>
        <v>38</v>
      </c>
      <c r="S59" s="13" t="n">
        <f aca="false">IF(L59&lt;0,A59,0)</f>
        <v>38</v>
      </c>
      <c r="T59" s="13" t="n">
        <f aca="false">IF(N59&lt;0,A59,0)</f>
        <v>38</v>
      </c>
    </row>
    <row r="60" customFormat="false" ht="15" hidden="false" customHeight="false" outlineLevel="0" collapsed="false">
      <c r="A60" s="0" t="n">
        <v>39</v>
      </c>
      <c r="B60" s="0" t="n">
        <v>4</v>
      </c>
      <c r="C60" s="10" t="n">
        <f aca="false">3yr_Scenarios!P56*100000/12</f>
        <v>297177.09084221</v>
      </c>
      <c r="D60" s="10" t="n">
        <f aca="false">C60+D59</f>
        <v>3182354.65511769</v>
      </c>
      <c r="E60" s="10" t="n">
        <f aca="false">C60-Assumptions!$D$204*(1+Assumptions!$D$269)^(4-1)</f>
        <v>202698.69084221</v>
      </c>
      <c r="F60" s="10" t="n">
        <f aca="false">E60+F59</f>
        <v>-22840.5448823129</v>
      </c>
      <c r="G60" s="10" t="n">
        <f aca="false">3yr_Scenarios!M56*100000/12</f>
        <v>317046.66551115</v>
      </c>
      <c r="H60" s="10" t="n">
        <f aca="false">G60+H59</f>
        <v>3254787.78059838</v>
      </c>
      <c r="I60" s="10" t="n">
        <f aca="false">G60-Assumptions!$D$204*(1+Assumptions!$D$269)^(4-1)</f>
        <v>222568.26551115</v>
      </c>
      <c r="J60" s="10" t="n">
        <f aca="false">I60+J59</f>
        <v>49592.5805983761</v>
      </c>
      <c r="K60" s="10" t="n">
        <f aca="false">3yr_Scenarios!AB56*100000/12</f>
        <v>-33554.5585624836</v>
      </c>
      <c r="L60" s="10" t="n">
        <f aca="false">K60+L59</f>
        <v>-3108049.33006537</v>
      </c>
      <c r="M60" s="10" t="n">
        <f aca="false">K60-Assumptions!$D$204*(1+Assumptions!$D$269)^(4-1)</f>
        <v>-128032.958562484</v>
      </c>
      <c r="N60" s="10" t="n">
        <f aca="false">M60+N59</f>
        <v>-6313244.53006537</v>
      </c>
      <c r="O60" s="13" t="n">
        <f aca="false">IF(D60&lt;0,A60,0)</f>
        <v>0</v>
      </c>
      <c r="P60" s="13" t="n">
        <f aca="false">IF(F60&lt;0,A60,0)</f>
        <v>39</v>
      </c>
      <c r="Q60" s="13" t="n">
        <f aca="false">IF(H60&lt;0,A60,0)</f>
        <v>0</v>
      </c>
      <c r="R60" s="13" t="n">
        <f aca="false">IF(J60&lt;0,A60,0)</f>
        <v>0</v>
      </c>
      <c r="S60" s="13" t="n">
        <f aca="false">IF(L60&lt;0,A60,0)</f>
        <v>39</v>
      </c>
      <c r="T60" s="13" t="n">
        <f aca="false">IF(N60&lt;0,A60,0)</f>
        <v>39</v>
      </c>
    </row>
    <row r="61" customFormat="false" ht="15" hidden="false" customHeight="false" outlineLevel="0" collapsed="false">
      <c r="A61" s="0" t="n">
        <v>40</v>
      </c>
      <c r="B61" s="0" t="n">
        <v>4</v>
      </c>
      <c r="C61" s="10" t="n">
        <f aca="false">3yr_Scenarios!P56*100000/12</f>
        <v>297177.09084221</v>
      </c>
      <c r="D61" s="10" t="n">
        <f aca="false">C61+D60</f>
        <v>3479531.7459599</v>
      </c>
      <c r="E61" s="10" t="n">
        <f aca="false">C61-Assumptions!$D$204*(1+Assumptions!$D$269)^(4-1)</f>
        <v>202698.69084221</v>
      </c>
      <c r="F61" s="10" t="n">
        <f aca="false">E61+F60</f>
        <v>179858.145959897</v>
      </c>
      <c r="G61" s="10" t="n">
        <f aca="false">3yr_Scenarios!M56*100000/12</f>
        <v>317046.66551115</v>
      </c>
      <c r="H61" s="10" t="n">
        <f aca="false">G61+H60</f>
        <v>3571834.44610953</v>
      </c>
      <c r="I61" s="10" t="n">
        <f aca="false">G61-Assumptions!$D$204*(1+Assumptions!$D$269)^(4-1)</f>
        <v>222568.26551115</v>
      </c>
      <c r="J61" s="10" t="n">
        <f aca="false">I61+J60</f>
        <v>272160.846109526</v>
      </c>
      <c r="K61" s="10" t="n">
        <f aca="false">3yr_Scenarios!AB56*100000/12</f>
        <v>-33554.5585624836</v>
      </c>
      <c r="L61" s="10" t="n">
        <f aca="false">K61+L60</f>
        <v>-3141603.88862785</v>
      </c>
      <c r="M61" s="10" t="n">
        <f aca="false">K61-Assumptions!$D$204*(1+Assumptions!$D$269)^(4-1)</f>
        <v>-128032.958562484</v>
      </c>
      <c r="N61" s="10" t="n">
        <f aca="false">M61+N60</f>
        <v>-6441277.48862786</v>
      </c>
      <c r="O61" s="13" t="n">
        <f aca="false">IF(D61&lt;0,A61,0)</f>
        <v>0</v>
      </c>
      <c r="P61" s="13" t="n">
        <f aca="false">IF(F61&lt;0,A61,0)</f>
        <v>0</v>
      </c>
      <c r="Q61" s="13" t="n">
        <f aca="false">IF(H61&lt;0,A61,0)</f>
        <v>0</v>
      </c>
      <c r="R61" s="13" t="n">
        <f aca="false">IF(J61&lt;0,A61,0)</f>
        <v>0</v>
      </c>
      <c r="S61" s="13" t="n">
        <f aca="false">IF(L61&lt;0,A61,0)</f>
        <v>40</v>
      </c>
      <c r="T61" s="13" t="n">
        <f aca="false">IF(N61&lt;0,A61,0)</f>
        <v>40</v>
      </c>
    </row>
    <row r="62" customFormat="false" ht="15" hidden="false" customHeight="false" outlineLevel="0" collapsed="false">
      <c r="A62" s="0" t="n">
        <v>41</v>
      </c>
      <c r="B62" s="0" t="n">
        <v>4</v>
      </c>
      <c r="C62" s="10" t="n">
        <f aca="false">3yr_Scenarios!P56*100000/12</f>
        <v>297177.09084221</v>
      </c>
      <c r="D62" s="10" t="n">
        <f aca="false">C62+D61</f>
        <v>3776708.83680211</v>
      </c>
      <c r="E62" s="10" t="n">
        <f aca="false">C62-Assumptions!$D$204*(1+Assumptions!$D$269)^(4-1)</f>
        <v>202698.69084221</v>
      </c>
      <c r="F62" s="10" t="n">
        <f aca="false">E62+F61</f>
        <v>382556.836802107</v>
      </c>
      <c r="G62" s="10" t="n">
        <f aca="false">3yr_Scenarios!M56*100000/12</f>
        <v>317046.66551115</v>
      </c>
      <c r="H62" s="10" t="n">
        <f aca="false">G62+H61</f>
        <v>3888881.11162068</v>
      </c>
      <c r="I62" s="10" t="n">
        <f aca="false">G62-Assumptions!$D$204*(1+Assumptions!$D$269)^(4-1)</f>
        <v>222568.26551115</v>
      </c>
      <c r="J62" s="10" t="n">
        <f aca="false">I62+J61</f>
        <v>494729.111620677</v>
      </c>
      <c r="K62" s="10" t="n">
        <f aca="false">3yr_Scenarios!AB56*100000/12</f>
        <v>-33554.5585624836</v>
      </c>
      <c r="L62" s="10" t="n">
        <f aca="false">K62+L61</f>
        <v>-3175158.44719034</v>
      </c>
      <c r="M62" s="10" t="n">
        <f aca="false">K62-Assumptions!$D$204*(1+Assumptions!$D$269)^(4-1)</f>
        <v>-128032.958562484</v>
      </c>
      <c r="N62" s="10" t="n">
        <f aca="false">M62+N61</f>
        <v>-6569310.44719034</v>
      </c>
      <c r="O62" s="13" t="n">
        <f aca="false">IF(D62&lt;0,A62,0)</f>
        <v>0</v>
      </c>
      <c r="P62" s="13" t="n">
        <f aca="false">IF(F62&lt;0,A62,0)</f>
        <v>0</v>
      </c>
      <c r="Q62" s="13" t="n">
        <f aca="false">IF(H62&lt;0,A62,0)</f>
        <v>0</v>
      </c>
      <c r="R62" s="13" t="n">
        <f aca="false">IF(J62&lt;0,A62,0)</f>
        <v>0</v>
      </c>
      <c r="S62" s="13" t="n">
        <f aca="false">IF(L62&lt;0,A62,0)</f>
        <v>41</v>
      </c>
      <c r="T62" s="13" t="n">
        <f aca="false">IF(N62&lt;0,A62,0)</f>
        <v>41</v>
      </c>
    </row>
    <row r="63" customFormat="false" ht="15" hidden="false" customHeight="false" outlineLevel="0" collapsed="false">
      <c r="A63" s="0" t="n">
        <v>42</v>
      </c>
      <c r="B63" s="0" t="n">
        <v>4</v>
      </c>
      <c r="C63" s="10" t="n">
        <f aca="false">3yr_Scenarios!P56*100000/12</f>
        <v>297177.09084221</v>
      </c>
      <c r="D63" s="10" t="n">
        <f aca="false">C63+D62</f>
        <v>4073885.92764432</v>
      </c>
      <c r="E63" s="10" t="n">
        <f aca="false">C63-Assumptions!$D$204*(1+Assumptions!$D$269)^(4-1)</f>
        <v>202698.69084221</v>
      </c>
      <c r="F63" s="10" t="n">
        <f aca="false">E63+F62</f>
        <v>585255.527644317</v>
      </c>
      <c r="G63" s="10" t="n">
        <f aca="false">3yr_Scenarios!M56*100000/12</f>
        <v>317046.66551115</v>
      </c>
      <c r="H63" s="10" t="n">
        <f aca="false">G63+H62</f>
        <v>4205927.77713183</v>
      </c>
      <c r="I63" s="10" t="n">
        <f aca="false">G63-Assumptions!$D$204*(1+Assumptions!$D$269)^(4-1)</f>
        <v>222568.26551115</v>
      </c>
      <c r="J63" s="10" t="n">
        <f aca="false">I63+J62</f>
        <v>717297.377131827</v>
      </c>
      <c r="K63" s="10" t="n">
        <f aca="false">3yr_Scenarios!AB56*100000/12</f>
        <v>-33554.5585624836</v>
      </c>
      <c r="L63" s="10" t="n">
        <f aca="false">K63+L62</f>
        <v>-3208713.00575282</v>
      </c>
      <c r="M63" s="10" t="n">
        <f aca="false">K63-Assumptions!$D$204*(1+Assumptions!$D$269)^(4-1)</f>
        <v>-128032.958562484</v>
      </c>
      <c r="N63" s="10" t="n">
        <f aca="false">M63+N62</f>
        <v>-6697343.40575282</v>
      </c>
      <c r="O63" s="13" t="n">
        <f aca="false">IF(D63&lt;0,A63,0)</f>
        <v>0</v>
      </c>
      <c r="P63" s="13" t="n">
        <f aca="false">IF(F63&lt;0,A63,0)</f>
        <v>0</v>
      </c>
      <c r="Q63" s="13" t="n">
        <f aca="false">IF(H63&lt;0,A63,0)</f>
        <v>0</v>
      </c>
      <c r="R63" s="13" t="n">
        <f aca="false">IF(J63&lt;0,A63,0)</f>
        <v>0</v>
      </c>
      <c r="S63" s="13" t="n">
        <f aca="false">IF(L63&lt;0,A63,0)</f>
        <v>42</v>
      </c>
      <c r="T63" s="13" t="n">
        <f aca="false">IF(N63&lt;0,A63,0)</f>
        <v>42</v>
      </c>
    </row>
    <row r="64" customFormat="false" ht="15" hidden="false" customHeight="false" outlineLevel="0" collapsed="false">
      <c r="A64" s="0" t="n">
        <v>43</v>
      </c>
      <c r="B64" s="0" t="n">
        <v>4</v>
      </c>
      <c r="C64" s="10" t="n">
        <f aca="false">3yr_Scenarios!P56*100000/12</f>
        <v>297177.09084221</v>
      </c>
      <c r="D64" s="10" t="n">
        <f aca="false">C64+D63</f>
        <v>4371063.01848653</v>
      </c>
      <c r="E64" s="10" t="n">
        <f aca="false">C64-Assumptions!$D$204*(1+Assumptions!$D$269)^(4-1)</f>
        <v>202698.69084221</v>
      </c>
      <c r="F64" s="10" t="n">
        <f aca="false">E64+F63</f>
        <v>787954.218486527</v>
      </c>
      <c r="G64" s="10" t="n">
        <f aca="false">3yr_Scenarios!M56*100000/12</f>
        <v>317046.66551115</v>
      </c>
      <c r="H64" s="10" t="n">
        <f aca="false">G64+H63</f>
        <v>4522974.44264298</v>
      </c>
      <c r="I64" s="10" t="n">
        <f aca="false">G64-Assumptions!$D$204*(1+Assumptions!$D$269)^(4-1)</f>
        <v>222568.26551115</v>
      </c>
      <c r="J64" s="10" t="n">
        <f aca="false">I64+J63</f>
        <v>939865.642642978</v>
      </c>
      <c r="K64" s="10" t="n">
        <f aca="false">3yr_Scenarios!AB56*100000/12</f>
        <v>-33554.5585624836</v>
      </c>
      <c r="L64" s="10" t="n">
        <f aca="false">K64+L63</f>
        <v>-3242267.5643153</v>
      </c>
      <c r="M64" s="10" t="n">
        <f aca="false">K64-Assumptions!$D$204*(1+Assumptions!$D$269)^(4-1)</f>
        <v>-128032.958562484</v>
      </c>
      <c r="N64" s="10" t="n">
        <f aca="false">M64+N63</f>
        <v>-6825376.36431531</v>
      </c>
      <c r="O64" s="13" t="n">
        <f aca="false">IF(D64&lt;0,A64,0)</f>
        <v>0</v>
      </c>
      <c r="P64" s="13" t="n">
        <f aca="false">IF(F64&lt;0,A64,0)</f>
        <v>0</v>
      </c>
      <c r="Q64" s="13" t="n">
        <f aca="false">IF(H64&lt;0,A64,0)</f>
        <v>0</v>
      </c>
      <c r="R64" s="13" t="n">
        <f aca="false">IF(J64&lt;0,A64,0)</f>
        <v>0</v>
      </c>
      <c r="S64" s="13" t="n">
        <f aca="false">IF(L64&lt;0,A64,0)</f>
        <v>43</v>
      </c>
      <c r="T64" s="13" t="n">
        <f aca="false">IF(N64&lt;0,A64,0)</f>
        <v>43</v>
      </c>
    </row>
    <row r="65" customFormat="false" ht="15" hidden="false" customHeight="false" outlineLevel="0" collapsed="false">
      <c r="A65" s="0" t="n">
        <v>44</v>
      </c>
      <c r="B65" s="0" t="n">
        <v>4</v>
      </c>
      <c r="C65" s="10" t="n">
        <f aca="false">3yr_Scenarios!P56*100000/12</f>
        <v>297177.09084221</v>
      </c>
      <c r="D65" s="10" t="n">
        <f aca="false">C65+D64</f>
        <v>4668240.10932874</v>
      </c>
      <c r="E65" s="10" t="n">
        <f aca="false">C65-Assumptions!$D$204*(1+Assumptions!$D$269)^(4-1)</f>
        <v>202698.69084221</v>
      </c>
      <c r="F65" s="10" t="n">
        <f aca="false">E65+F64</f>
        <v>990652.909328737</v>
      </c>
      <c r="G65" s="10" t="n">
        <f aca="false">3yr_Scenarios!M56*100000/12</f>
        <v>317046.66551115</v>
      </c>
      <c r="H65" s="10" t="n">
        <f aca="false">G65+H64</f>
        <v>4840021.10815413</v>
      </c>
      <c r="I65" s="10" t="n">
        <f aca="false">G65-Assumptions!$D$204*(1+Assumptions!$D$269)^(4-1)</f>
        <v>222568.26551115</v>
      </c>
      <c r="J65" s="10" t="n">
        <f aca="false">I65+J64</f>
        <v>1162433.90815413</v>
      </c>
      <c r="K65" s="10" t="n">
        <f aca="false">3yr_Scenarios!AB56*100000/12</f>
        <v>-33554.5585624836</v>
      </c>
      <c r="L65" s="10" t="n">
        <f aca="false">K65+L64</f>
        <v>-3275822.12287779</v>
      </c>
      <c r="M65" s="10" t="n">
        <f aca="false">K65-Assumptions!$D$204*(1+Assumptions!$D$269)^(4-1)</f>
        <v>-128032.958562484</v>
      </c>
      <c r="N65" s="10" t="n">
        <f aca="false">M65+N64</f>
        <v>-6953409.32287779</v>
      </c>
      <c r="O65" s="13" t="n">
        <f aca="false">IF(D65&lt;0,A65,0)</f>
        <v>0</v>
      </c>
      <c r="P65" s="13" t="n">
        <f aca="false">IF(F65&lt;0,A65,0)</f>
        <v>0</v>
      </c>
      <c r="Q65" s="13" t="n">
        <f aca="false">IF(H65&lt;0,A65,0)</f>
        <v>0</v>
      </c>
      <c r="R65" s="13" t="n">
        <f aca="false">IF(J65&lt;0,A65,0)</f>
        <v>0</v>
      </c>
      <c r="S65" s="13" t="n">
        <f aca="false">IF(L65&lt;0,A65,0)</f>
        <v>44</v>
      </c>
      <c r="T65" s="13" t="n">
        <f aca="false">IF(N65&lt;0,A65,0)</f>
        <v>44</v>
      </c>
    </row>
    <row r="66" customFormat="false" ht="15" hidden="false" customHeight="false" outlineLevel="0" collapsed="false">
      <c r="A66" s="0" t="n">
        <v>45</v>
      </c>
      <c r="B66" s="0" t="n">
        <v>4</v>
      </c>
      <c r="C66" s="10" t="n">
        <f aca="false">3yr_Scenarios!P56*100000/12</f>
        <v>297177.09084221</v>
      </c>
      <c r="D66" s="10" t="n">
        <f aca="false">C66+D65</f>
        <v>4965417.20017095</v>
      </c>
      <c r="E66" s="10" t="n">
        <f aca="false">C66-Assumptions!$D$204*(1+Assumptions!$D$269)^(4-1)</f>
        <v>202698.69084221</v>
      </c>
      <c r="F66" s="10" t="n">
        <f aca="false">E66+F65</f>
        <v>1193351.60017095</v>
      </c>
      <c r="G66" s="10" t="n">
        <f aca="false">3yr_Scenarios!M56*100000/12</f>
        <v>317046.66551115</v>
      </c>
      <c r="H66" s="10" t="n">
        <f aca="false">G66+H65</f>
        <v>5157067.77366528</v>
      </c>
      <c r="I66" s="10" t="n">
        <f aca="false">G66-Assumptions!$D$204*(1+Assumptions!$D$269)^(4-1)</f>
        <v>222568.26551115</v>
      </c>
      <c r="J66" s="10" t="n">
        <f aca="false">I66+J65</f>
        <v>1385002.17366528</v>
      </c>
      <c r="K66" s="10" t="n">
        <f aca="false">3yr_Scenarios!AB56*100000/12</f>
        <v>-33554.5585624836</v>
      </c>
      <c r="L66" s="10" t="n">
        <f aca="false">K66+L65</f>
        <v>-3309376.68144027</v>
      </c>
      <c r="M66" s="10" t="n">
        <f aca="false">K66-Assumptions!$D$204*(1+Assumptions!$D$269)^(4-1)</f>
        <v>-128032.958562484</v>
      </c>
      <c r="N66" s="10" t="n">
        <f aca="false">M66+N65</f>
        <v>-7081442.28144028</v>
      </c>
      <c r="O66" s="13" t="n">
        <f aca="false">IF(D66&lt;0,A66,0)</f>
        <v>0</v>
      </c>
      <c r="P66" s="13" t="n">
        <f aca="false">IF(F66&lt;0,A66,0)</f>
        <v>0</v>
      </c>
      <c r="Q66" s="13" t="n">
        <f aca="false">IF(H66&lt;0,A66,0)</f>
        <v>0</v>
      </c>
      <c r="R66" s="13" t="n">
        <f aca="false">IF(J66&lt;0,A66,0)</f>
        <v>0</v>
      </c>
      <c r="S66" s="13" t="n">
        <f aca="false">IF(L66&lt;0,A66,0)</f>
        <v>45</v>
      </c>
      <c r="T66" s="13" t="n">
        <f aca="false">IF(N66&lt;0,A66,0)</f>
        <v>45</v>
      </c>
    </row>
    <row r="67" customFormat="false" ht="15" hidden="false" customHeight="false" outlineLevel="0" collapsed="false">
      <c r="A67" s="0" t="n">
        <v>46</v>
      </c>
      <c r="B67" s="0" t="n">
        <v>4</v>
      </c>
      <c r="C67" s="10" t="n">
        <f aca="false">3yr_Scenarios!P56*100000/12</f>
        <v>297177.09084221</v>
      </c>
      <c r="D67" s="10" t="n">
        <f aca="false">C67+D66</f>
        <v>5262594.29101316</v>
      </c>
      <c r="E67" s="10" t="n">
        <f aca="false">C67-Assumptions!$D$204*(1+Assumptions!$D$269)^(4-1)</f>
        <v>202698.69084221</v>
      </c>
      <c r="F67" s="10" t="n">
        <f aca="false">E67+F66</f>
        <v>1396050.29101316</v>
      </c>
      <c r="G67" s="10" t="n">
        <f aca="false">3yr_Scenarios!M56*100000/12</f>
        <v>317046.66551115</v>
      </c>
      <c r="H67" s="10" t="n">
        <f aca="false">G67+H66</f>
        <v>5474114.43917643</v>
      </c>
      <c r="I67" s="10" t="n">
        <f aca="false">G67-Assumptions!$D$204*(1+Assumptions!$D$269)^(4-1)</f>
        <v>222568.26551115</v>
      </c>
      <c r="J67" s="10" t="n">
        <f aca="false">I67+J66</f>
        <v>1607570.43917643</v>
      </c>
      <c r="K67" s="10" t="n">
        <f aca="false">3yr_Scenarios!AB56*100000/12</f>
        <v>-33554.5585624836</v>
      </c>
      <c r="L67" s="10" t="n">
        <f aca="false">K67+L66</f>
        <v>-3342931.24000276</v>
      </c>
      <c r="M67" s="10" t="n">
        <f aca="false">K67-Assumptions!$D$204*(1+Assumptions!$D$269)^(4-1)</f>
        <v>-128032.958562484</v>
      </c>
      <c r="N67" s="10" t="n">
        <f aca="false">M67+N66</f>
        <v>-7209475.24000276</v>
      </c>
      <c r="O67" s="13" t="n">
        <f aca="false">IF(D67&lt;0,A67,0)</f>
        <v>0</v>
      </c>
      <c r="P67" s="13" t="n">
        <f aca="false">IF(F67&lt;0,A67,0)</f>
        <v>0</v>
      </c>
      <c r="Q67" s="13" t="n">
        <f aca="false">IF(H67&lt;0,A67,0)</f>
        <v>0</v>
      </c>
      <c r="R67" s="13" t="n">
        <f aca="false">IF(J67&lt;0,A67,0)</f>
        <v>0</v>
      </c>
      <c r="S67" s="13" t="n">
        <f aca="false">IF(L67&lt;0,A67,0)</f>
        <v>46</v>
      </c>
      <c r="T67" s="13" t="n">
        <f aca="false">IF(N67&lt;0,A67,0)</f>
        <v>46</v>
      </c>
    </row>
    <row r="68" customFormat="false" ht="15" hidden="false" customHeight="false" outlineLevel="0" collapsed="false">
      <c r="A68" s="0" t="n">
        <v>47</v>
      </c>
      <c r="B68" s="0" t="n">
        <v>4</v>
      </c>
      <c r="C68" s="10" t="n">
        <f aca="false">3yr_Scenarios!P56*100000/12</f>
        <v>297177.09084221</v>
      </c>
      <c r="D68" s="10" t="n">
        <f aca="false">C68+D67</f>
        <v>5559771.38185537</v>
      </c>
      <c r="E68" s="10" t="n">
        <f aca="false">C68-Assumptions!$D$204*(1+Assumptions!$D$269)^(4-1)</f>
        <v>202698.69084221</v>
      </c>
      <c r="F68" s="10" t="n">
        <f aca="false">E68+F67</f>
        <v>1598748.98185537</v>
      </c>
      <c r="G68" s="10" t="n">
        <f aca="false">3yr_Scenarios!M56*100000/12</f>
        <v>317046.66551115</v>
      </c>
      <c r="H68" s="10" t="n">
        <f aca="false">G68+H67</f>
        <v>5791161.10468758</v>
      </c>
      <c r="I68" s="10" t="n">
        <f aca="false">G68-Assumptions!$D$204*(1+Assumptions!$D$269)^(4-1)</f>
        <v>222568.26551115</v>
      </c>
      <c r="J68" s="10" t="n">
        <f aca="false">I68+J67</f>
        <v>1830138.70468758</v>
      </c>
      <c r="K68" s="10" t="n">
        <f aca="false">3yr_Scenarios!AB56*100000/12</f>
        <v>-33554.5585624836</v>
      </c>
      <c r="L68" s="10" t="n">
        <f aca="false">K68+L67</f>
        <v>-3376485.79856524</v>
      </c>
      <c r="M68" s="10" t="n">
        <f aca="false">K68-Assumptions!$D$204*(1+Assumptions!$D$269)^(4-1)</f>
        <v>-128032.958562484</v>
      </c>
      <c r="N68" s="10" t="n">
        <f aca="false">M68+N67</f>
        <v>-7337508.19856524</v>
      </c>
      <c r="O68" s="13" t="n">
        <f aca="false">IF(D68&lt;0,A68,0)</f>
        <v>0</v>
      </c>
      <c r="P68" s="13" t="n">
        <f aca="false">IF(F68&lt;0,A68,0)</f>
        <v>0</v>
      </c>
      <c r="Q68" s="13" t="n">
        <f aca="false">IF(H68&lt;0,A68,0)</f>
        <v>0</v>
      </c>
      <c r="R68" s="13" t="n">
        <f aca="false">IF(J68&lt;0,A68,0)</f>
        <v>0</v>
      </c>
      <c r="S68" s="13" t="n">
        <f aca="false">IF(L68&lt;0,A68,0)</f>
        <v>47</v>
      </c>
      <c r="T68" s="13" t="n">
        <f aca="false">IF(N68&lt;0,A68,0)</f>
        <v>47</v>
      </c>
    </row>
    <row r="69" customFormat="false" ht="15" hidden="false" customHeight="false" outlineLevel="0" collapsed="false">
      <c r="A69" s="0" t="n">
        <v>48</v>
      </c>
      <c r="B69" s="0" t="n">
        <v>4</v>
      </c>
      <c r="C69" s="10" t="n">
        <f aca="false">3yr_Scenarios!P56*100000/12</f>
        <v>297177.09084221</v>
      </c>
      <c r="D69" s="10" t="n">
        <f aca="false">C69+D68</f>
        <v>5856948.47269758</v>
      </c>
      <c r="E69" s="10" t="n">
        <f aca="false">C69-Assumptions!$D$204*(1+Assumptions!$D$269)^(4-1)</f>
        <v>202698.69084221</v>
      </c>
      <c r="F69" s="10" t="n">
        <f aca="false">E69+F68</f>
        <v>1801447.67269758</v>
      </c>
      <c r="G69" s="10" t="n">
        <f aca="false">3yr_Scenarios!M56*100000/12</f>
        <v>317046.66551115</v>
      </c>
      <c r="H69" s="10" t="n">
        <f aca="false">G69+H68</f>
        <v>6108207.77019873</v>
      </c>
      <c r="I69" s="10" t="n">
        <f aca="false">G69-Assumptions!$D$204*(1+Assumptions!$D$269)^(4-1)</f>
        <v>222568.26551115</v>
      </c>
      <c r="J69" s="10" t="n">
        <f aca="false">I69+J68</f>
        <v>2052706.97019873</v>
      </c>
      <c r="K69" s="10" t="n">
        <f aca="false">3yr_Scenarios!AB56*100000/12</f>
        <v>-33554.5585624836</v>
      </c>
      <c r="L69" s="10" t="n">
        <f aca="false">K69+L68</f>
        <v>-3410040.35712772</v>
      </c>
      <c r="M69" s="10" t="n">
        <f aca="false">K69-Assumptions!$D$204*(1+Assumptions!$D$269)^(4-1)</f>
        <v>-128032.958562484</v>
      </c>
      <c r="N69" s="10" t="n">
        <f aca="false">M69+N68</f>
        <v>-7465541.15712773</v>
      </c>
      <c r="O69" s="13" t="n">
        <f aca="false">IF(D69&lt;0,A69,0)</f>
        <v>0</v>
      </c>
      <c r="P69" s="13" t="n">
        <f aca="false">IF(F69&lt;0,A69,0)</f>
        <v>0</v>
      </c>
      <c r="Q69" s="13" t="n">
        <f aca="false">IF(H69&lt;0,A69,0)</f>
        <v>0</v>
      </c>
      <c r="R69" s="13" t="n">
        <f aca="false">IF(J69&lt;0,A69,0)</f>
        <v>0</v>
      </c>
      <c r="S69" s="13" t="n">
        <f aca="false">IF(L69&lt;0,A69,0)</f>
        <v>48</v>
      </c>
      <c r="T69" s="13" t="n">
        <f aca="false">IF(N69&lt;0,A69,0)</f>
        <v>48</v>
      </c>
    </row>
    <row r="70" customFormat="false" ht="15" hidden="false" customHeight="false" outlineLevel="0" collapsed="false">
      <c r="A70" s="0" t="n">
        <v>49</v>
      </c>
      <c r="B70" s="0" t="n">
        <v>5</v>
      </c>
      <c r="C70" s="10" t="n">
        <f aca="false">3yr_Scenarios!P56*100000/12</f>
        <v>297177.09084221</v>
      </c>
      <c r="D70" s="10" t="n">
        <f aca="false">C70+D69</f>
        <v>6154125.56353979</v>
      </c>
      <c r="E70" s="10" t="n">
        <f aca="false">C70-Assumptions!$D$204*(1+Assumptions!$D$269)^(5-1)</f>
        <v>195140.41884221</v>
      </c>
      <c r="F70" s="10" t="n">
        <f aca="false">E70+F69</f>
        <v>1996588.09153979</v>
      </c>
      <c r="G70" s="10" t="n">
        <f aca="false">3yr_Scenarios!M56*100000/12</f>
        <v>317046.66551115</v>
      </c>
      <c r="H70" s="10" t="n">
        <f aca="false">G70+H69</f>
        <v>6425254.43570988</v>
      </c>
      <c r="I70" s="10" t="n">
        <f aca="false">G70-Assumptions!$D$204*(1+Assumptions!$D$269)^(5-1)</f>
        <v>215009.99351115</v>
      </c>
      <c r="J70" s="10" t="n">
        <f aca="false">I70+J69</f>
        <v>2267716.96370988</v>
      </c>
      <c r="K70" s="10" t="n">
        <f aca="false">3yr_Scenarios!AB56*100000/12</f>
        <v>-33554.5585624836</v>
      </c>
      <c r="L70" s="10" t="n">
        <f aca="false">K70+L69</f>
        <v>-3443594.91569021</v>
      </c>
      <c r="M70" s="10" t="n">
        <f aca="false">K70-Assumptions!$D$204*(1+Assumptions!$D$269)^(5-1)</f>
        <v>-135591.230562484</v>
      </c>
      <c r="N70" s="10" t="n">
        <f aca="false">M70+N69</f>
        <v>-7601132.38769021</v>
      </c>
      <c r="O70" s="13" t="n">
        <f aca="false">IF(D70&lt;0,A70,0)</f>
        <v>0</v>
      </c>
      <c r="P70" s="13" t="n">
        <f aca="false">IF(F70&lt;0,A70,0)</f>
        <v>0</v>
      </c>
      <c r="Q70" s="13" t="n">
        <f aca="false">IF(H70&lt;0,A70,0)</f>
        <v>0</v>
      </c>
      <c r="R70" s="13" t="n">
        <f aca="false">IF(J70&lt;0,A70,0)</f>
        <v>0</v>
      </c>
      <c r="S70" s="13" t="n">
        <f aca="false">IF(L70&lt;0,A70,0)</f>
        <v>49</v>
      </c>
      <c r="T70" s="13" t="n">
        <f aca="false">IF(N70&lt;0,A70,0)</f>
        <v>49</v>
      </c>
    </row>
    <row r="71" customFormat="false" ht="15" hidden="false" customHeight="false" outlineLevel="0" collapsed="false">
      <c r="A71" s="0" t="n">
        <v>50</v>
      </c>
      <c r="B71" s="0" t="n">
        <v>5</v>
      </c>
      <c r="C71" s="10" t="n">
        <f aca="false">3yr_Scenarios!P56*100000/12</f>
        <v>297177.09084221</v>
      </c>
      <c r="D71" s="10" t="n">
        <f aca="false">C71+D70</f>
        <v>6451302.654382</v>
      </c>
      <c r="E71" s="10" t="n">
        <f aca="false">C71-Assumptions!$D$204*(1+Assumptions!$D$269)^(5-1)</f>
        <v>195140.41884221</v>
      </c>
      <c r="F71" s="10" t="n">
        <f aca="false">E71+F70</f>
        <v>2191728.510382</v>
      </c>
      <c r="G71" s="10" t="n">
        <f aca="false">3yr_Scenarios!M56*100000/12</f>
        <v>317046.66551115</v>
      </c>
      <c r="H71" s="10" t="n">
        <f aca="false">G71+H70</f>
        <v>6742301.10122103</v>
      </c>
      <c r="I71" s="10" t="n">
        <f aca="false">G71-Assumptions!$D$204*(1+Assumptions!$D$269)^(5-1)</f>
        <v>215009.99351115</v>
      </c>
      <c r="J71" s="10" t="n">
        <f aca="false">I71+J70</f>
        <v>2482726.95722103</v>
      </c>
      <c r="K71" s="10" t="n">
        <f aca="false">3yr_Scenarios!AB56*100000/12</f>
        <v>-33554.5585624836</v>
      </c>
      <c r="L71" s="10" t="n">
        <f aca="false">K71+L70</f>
        <v>-3477149.47425269</v>
      </c>
      <c r="M71" s="10" t="n">
        <f aca="false">K71-Assumptions!$D$204*(1+Assumptions!$D$269)^(5-1)</f>
        <v>-135591.230562484</v>
      </c>
      <c r="N71" s="10" t="n">
        <f aca="false">M71+N70</f>
        <v>-7736723.6182527</v>
      </c>
      <c r="O71" s="13" t="n">
        <f aca="false">IF(D71&lt;0,A71,0)</f>
        <v>0</v>
      </c>
      <c r="P71" s="13" t="n">
        <f aca="false">IF(F71&lt;0,A71,0)</f>
        <v>0</v>
      </c>
      <c r="Q71" s="13" t="n">
        <f aca="false">IF(H71&lt;0,A71,0)</f>
        <v>0</v>
      </c>
      <c r="R71" s="13" t="n">
        <f aca="false">IF(J71&lt;0,A71,0)</f>
        <v>0</v>
      </c>
      <c r="S71" s="13" t="n">
        <f aca="false">IF(L71&lt;0,A71,0)</f>
        <v>50</v>
      </c>
      <c r="T71" s="13" t="n">
        <f aca="false">IF(N71&lt;0,A71,0)</f>
        <v>50</v>
      </c>
    </row>
    <row r="72" customFormat="false" ht="15" hidden="false" customHeight="false" outlineLevel="0" collapsed="false">
      <c r="A72" s="0" t="n">
        <v>51</v>
      </c>
      <c r="B72" s="0" t="n">
        <v>5</v>
      </c>
      <c r="C72" s="10" t="n">
        <f aca="false">3yr_Scenarios!P56*100000/12</f>
        <v>297177.09084221</v>
      </c>
      <c r="D72" s="10" t="n">
        <f aca="false">C72+D71</f>
        <v>6748479.74522421</v>
      </c>
      <c r="E72" s="10" t="n">
        <f aca="false">C72-Assumptions!$D$204*(1+Assumptions!$D$269)^(5-1)</f>
        <v>195140.41884221</v>
      </c>
      <c r="F72" s="10" t="n">
        <f aca="false">E72+F71</f>
        <v>2386868.92922421</v>
      </c>
      <c r="G72" s="10" t="n">
        <f aca="false">3yr_Scenarios!M56*100000/12</f>
        <v>317046.66551115</v>
      </c>
      <c r="H72" s="10" t="n">
        <f aca="false">G72+H71</f>
        <v>7059347.76673219</v>
      </c>
      <c r="I72" s="10" t="n">
        <f aca="false">G72-Assumptions!$D$204*(1+Assumptions!$D$269)^(5-1)</f>
        <v>215009.99351115</v>
      </c>
      <c r="J72" s="10" t="n">
        <f aca="false">I72+J71</f>
        <v>2697736.95073218</v>
      </c>
      <c r="K72" s="10" t="n">
        <f aca="false">3yr_Scenarios!AB56*100000/12</f>
        <v>-33554.5585624836</v>
      </c>
      <c r="L72" s="10" t="n">
        <f aca="false">K72+L71</f>
        <v>-3510704.03281517</v>
      </c>
      <c r="M72" s="10" t="n">
        <f aca="false">K72-Assumptions!$D$204*(1+Assumptions!$D$269)^(5-1)</f>
        <v>-135591.230562484</v>
      </c>
      <c r="N72" s="10" t="n">
        <f aca="false">M72+N71</f>
        <v>-7872314.84881518</v>
      </c>
      <c r="O72" s="13" t="n">
        <f aca="false">IF(D72&lt;0,A72,0)</f>
        <v>0</v>
      </c>
      <c r="P72" s="13" t="n">
        <f aca="false">IF(F72&lt;0,A72,0)</f>
        <v>0</v>
      </c>
      <c r="Q72" s="13" t="n">
        <f aca="false">IF(H72&lt;0,A72,0)</f>
        <v>0</v>
      </c>
      <c r="R72" s="13" t="n">
        <f aca="false">IF(J72&lt;0,A72,0)</f>
        <v>0</v>
      </c>
      <c r="S72" s="13" t="n">
        <f aca="false">IF(L72&lt;0,A72,0)</f>
        <v>51</v>
      </c>
      <c r="T72" s="13" t="n">
        <f aca="false">IF(N72&lt;0,A72,0)</f>
        <v>51</v>
      </c>
    </row>
    <row r="73" customFormat="false" ht="15" hidden="false" customHeight="false" outlineLevel="0" collapsed="false">
      <c r="A73" s="0" t="n">
        <v>52</v>
      </c>
      <c r="B73" s="0" t="n">
        <v>5</v>
      </c>
      <c r="C73" s="10" t="n">
        <f aca="false">3yr_Scenarios!P56*100000/12</f>
        <v>297177.09084221</v>
      </c>
      <c r="D73" s="10" t="n">
        <f aca="false">C73+D72</f>
        <v>7045656.83606642</v>
      </c>
      <c r="E73" s="10" t="n">
        <f aca="false">C73-Assumptions!$D$204*(1+Assumptions!$D$269)^(5-1)</f>
        <v>195140.41884221</v>
      </c>
      <c r="F73" s="10" t="n">
        <f aca="false">E73+F72</f>
        <v>2582009.34806642</v>
      </c>
      <c r="G73" s="10" t="n">
        <f aca="false">3yr_Scenarios!M56*100000/12</f>
        <v>317046.66551115</v>
      </c>
      <c r="H73" s="10" t="n">
        <f aca="false">G73+H72</f>
        <v>7376394.43224334</v>
      </c>
      <c r="I73" s="10" t="n">
        <f aca="false">G73-Assumptions!$D$204*(1+Assumptions!$D$269)^(5-1)</f>
        <v>215009.99351115</v>
      </c>
      <c r="J73" s="10" t="n">
        <f aca="false">I73+J72</f>
        <v>2912746.94424333</v>
      </c>
      <c r="K73" s="10" t="n">
        <f aca="false">3yr_Scenarios!AB56*100000/12</f>
        <v>-33554.5585624836</v>
      </c>
      <c r="L73" s="10" t="n">
        <f aca="false">K73+L72</f>
        <v>-3544258.59137766</v>
      </c>
      <c r="M73" s="10" t="n">
        <f aca="false">K73-Assumptions!$D$204*(1+Assumptions!$D$269)^(5-1)</f>
        <v>-135591.230562484</v>
      </c>
      <c r="N73" s="10" t="n">
        <f aca="false">M73+N72</f>
        <v>-8007906.07937766</v>
      </c>
      <c r="O73" s="13" t="n">
        <f aca="false">IF(D73&lt;0,A73,0)</f>
        <v>0</v>
      </c>
      <c r="P73" s="13" t="n">
        <f aca="false">IF(F73&lt;0,A73,0)</f>
        <v>0</v>
      </c>
      <c r="Q73" s="13" t="n">
        <f aca="false">IF(H73&lt;0,A73,0)</f>
        <v>0</v>
      </c>
      <c r="R73" s="13" t="n">
        <f aca="false">IF(J73&lt;0,A73,0)</f>
        <v>0</v>
      </c>
      <c r="S73" s="13" t="n">
        <f aca="false">IF(L73&lt;0,A73,0)</f>
        <v>52</v>
      </c>
      <c r="T73" s="13" t="n">
        <f aca="false">IF(N73&lt;0,A73,0)</f>
        <v>52</v>
      </c>
    </row>
    <row r="74" customFormat="false" ht="15" hidden="false" customHeight="false" outlineLevel="0" collapsed="false">
      <c r="A74" s="0" t="n">
        <v>53</v>
      </c>
      <c r="B74" s="0" t="n">
        <v>5</v>
      </c>
      <c r="C74" s="10" t="n">
        <f aca="false">3yr_Scenarios!P56*100000/12</f>
        <v>297177.09084221</v>
      </c>
      <c r="D74" s="10" t="n">
        <f aca="false">C74+D73</f>
        <v>7342833.92690862</v>
      </c>
      <c r="E74" s="10" t="n">
        <f aca="false">C74-Assumptions!$D$204*(1+Assumptions!$D$269)^(5-1)</f>
        <v>195140.41884221</v>
      </c>
      <c r="F74" s="10" t="n">
        <f aca="false">E74+F73</f>
        <v>2777149.76690863</v>
      </c>
      <c r="G74" s="10" t="n">
        <f aca="false">3yr_Scenarios!M56*100000/12</f>
        <v>317046.66551115</v>
      </c>
      <c r="H74" s="10" t="n">
        <f aca="false">G74+H73</f>
        <v>7693441.09775449</v>
      </c>
      <c r="I74" s="10" t="n">
        <f aca="false">G74-Assumptions!$D$204*(1+Assumptions!$D$269)^(5-1)</f>
        <v>215009.99351115</v>
      </c>
      <c r="J74" s="10" t="n">
        <f aca="false">I74+J73</f>
        <v>3127756.93775448</v>
      </c>
      <c r="K74" s="10" t="n">
        <f aca="false">3yr_Scenarios!AB56*100000/12</f>
        <v>-33554.5585624836</v>
      </c>
      <c r="L74" s="10" t="n">
        <f aca="false">K74+L73</f>
        <v>-3577813.14994014</v>
      </c>
      <c r="M74" s="10" t="n">
        <f aca="false">K74-Assumptions!$D$204*(1+Assumptions!$D$269)^(5-1)</f>
        <v>-135591.230562484</v>
      </c>
      <c r="N74" s="10" t="n">
        <f aca="false">M74+N73</f>
        <v>-8143497.30994015</v>
      </c>
      <c r="O74" s="13" t="n">
        <f aca="false">IF(D74&lt;0,A74,0)</f>
        <v>0</v>
      </c>
      <c r="P74" s="13" t="n">
        <f aca="false">IF(F74&lt;0,A74,0)</f>
        <v>0</v>
      </c>
      <c r="Q74" s="13" t="n">
        <f aca="false">IF(H74&lt;0,A74,0)</f>
        <v>0</v>
      </c>
      <c r="R74" s="13" t="n">
        <f aca="false">IF(J74&lt;0,A74,0)</f>
        <v>0</v>
      </c>
      <c r="S74" s="13" t="n">
        <f aca="false">IF(L74&lt;0,A74,0)</f>
        <v>53</v>
      </c>
      <c r="T74" s="13" t="n">
        <f aca="false">IF(N74&lt;0,A74,0)</f>
        <v>53</v>
      </c>
    </row>
    <row r="75" customFormat="false" ht="15" hidden="false" customHeight="false" outlineLevel="0" collapsed="false">
      <c r="A75" s="0" t="n">
        <v>54</v>
      </c>
      <c r="B75" s="0" t="n">
        <v>5</v>
      </c>
      <c r="C75" s="10" t="n">
        <f aca="false">3yr_Scenarios!P56*100000/12</f>
        <v>297177.09084221</v>
      </c>
      <c r="D75" s="10" t="n">
        <f aca="false">C75+D74</f>
        <v>7640011.01775083</v>
      </c>
      <c r="E75" s="10" t="n">
        <f aca="false">C75-Assumptions!$D$204*(1+Assumptions!$D$269)^(5-1)</f>
        <v>195140.41884221</v>
      </c>
      <c r="F75" s="10" t="n">
        <f aca="false">E75+F74</f>
        <v>2972290.18575084</v>
      </c>
      <c r="G75" s="10" t="n">
        <f aca="false">3yr_Scenarios!M56*100000/12</f>
        <v>317046.66551115</v>
      </c>
      <c r="H75" s="10" t="n">
        <f aca="false">G75+H74</f>
        <v>8010487.76326564</v>
      </c>
      <c r="I75" s="10" t="n">
        <f aca="false">G75-Assumptions!$D$204*(1+Assumptions!$D$269)^(5-1)</f>
        <v>215009.99351115</v>
      </c>
      <c r="J75" s="10" t="n">
        <f aca="false">I75+J74</f>
        <v>3342766.93126563</v>
      </c>
      <c r="K75" s="10" t="n">
        <f aca="false">3yr_Scenarios!AB56*100000/12</f>
        <v>-33554.5585624836</v>
      </c>
      <c r="L75" s="10" t="n">
        <f aca="false">K75+L74</f>
        <v>-3611367.70850262</v>
      </c>
      <c r="M75" s="10" t="n">
        <f aca="false">K75-Assumptions!$D$204*(1+Assumptions!$D$269)^(5-1)</f>
        <v>-135591.230562484</v>
      </c>
      <c r="N75" s="10" t="n">
        <f aca="false">M75+N74</f>
        <v>-8279088.54050263</v>
      </c>
      <c r="O75" s="13" t="n">
        <f aca="false">IF(D75&lt;0,A75,0)</f>
        <v>0</v>
      </c>
      <c r="P75" s="13" t="n">
        <f aca="false">IF(F75&lt;0,A75,0)</f>
        <v>0</v>
      </c>
      <c r="Q75" s="13" t="n">
        <f aca="false">IF(H75&lt;0,A75,0)</f>
        <v>0</v>
      </c>
      <c r="R75" s="13" t="n">
        <f aca="false">IF(J75&lt;0,A75,0)</f>
        <v>0</v>
      </c>
      <c r="S75" s="13" t="n">
        <f aca="false">IF(L75&lt;0,A75,0)</f>
        <v>54</v>
      </c>
      <c r="T75" s="13" t="n">
        <f aca="false">IF(N75&lt;0,A75,0)</f>
        <v>54</v>
      </c>
    </row>
    <row r="76" customFormat="false" ht="15" hidden="false" customHeight="false" outlineLevel="0" collapsed="false">
      <c r="A76" s="0" t="n">
        <v>55</v>
      </c>
      <c r="B76" s="0" t="n">
        <v>5</v>
      </c>
      <c r="C76" s="10" t="n">
        <f aca="false">3yr_Scenarios!P56*100000/12</f>
        <v>297177.09084221</v>
      </c>
      <c r="D76" s="10" t="n">
        <f aca="false">C76+D75</f>
        <v>7937188.10859304</v>
      </c>
      <c r="E76" s="10" t="n">
        <f aca="false">C76-Assumptions!$D$204*(1+Assumptions!$D$269)^(5-1)</f>
        <v>195140.41884221</v>
      </c>
      <c r="F76" s="10" t="n">
        <f aca="false">E76+F75</f>
        <v>3167430.60459305</v>
      </c>
      <c r="G76" s="10" t="n">
        <f aca="false">3yr_Scenarios!M56*100000/12</f>
        <v>317046.66551115</v>
      </c>
      <c r="H76" s="10" t="n">
        <f aca="false">G76+H75</f>
        <v>8327534.42877679</v>
      </c>
      <c r="I76" s="10" t="n">
        <f aca="false">G76-Assumptions!$D$204*(1+Assumptions!$D$269)^(5-1)</f>
        <v>215009.99351115</v>
      </c>
      <c r="J76" s="10" t="n">
        <f aca="false">I76+J75</f>
        <v>3557776.92477678</v>
      </c>
      <c r="K76" s="10" t="n">
        <f aca="false">3yr_Scenarios!AB56*100000/12</f>
        <v>-33554.5585624836</v>
      </c>
      <c r="L76" s="10" t="n">
        <f aca="false">K76+L75</f>
        <v>-3644922.26706511</v>
      </c>
      <c r="M76" s="10" t="n">
        <f aca="false">K76-Assumptions!$D$204*(1+Assumptions!$D$269)^(5-1)</f>
        <v>-135591.230562484</v>
      </c>
      <c r="N76" s="10" t="n">
        <f aca="false">M76+N75</f>
        <v>-8414679.77106511</v>
      </c>
      <c r="O76" s="13" t="n">
        <f aca="false">IF(D76&lt;0,A76,0)</f>
        <v>0</v>
      </c>
      <c r="P76" s="13" t="n">
        <f aca="false">IF(F76&lt;0,A76,0)</f>
        <v>0</v>
      </c>
      <c r="Q76" s="13" t="n">
        <f aca="false">IF(H76&lt;0,A76,0)</f>
        <v>0</v>
      </c>
      <c r="R76" s="13" t="n">
        <f aca="false">IF(J76&lt;0,A76,0)</f>
        <v>0</v>
      </c>
      <c r="S76" s="13" t="n">
        <f aca="false">IF(L76&lt;0,A76,0)</f>
        <v>55</v>
      </c>
      <c r="T76" s="13" t="n">
        <f aca="false">IF(N76&lt;0,A76,0)</f>
        <v>55</v>
      </c>
    </row>
    <row r="77" customFormat="false" ht="15" hidden="false" customHeight="false" outlineLevel="0" collapsed="false">
      <c r="A77" s="0" t="n">
        <v>56</v>
      </c>
      <c r="B77" s="0" t="n">
        <v>5</v>
      </c>
      <c r="C77" s="10" t="n">
        <f aca="false">3yr_Scenarios!P56*100000/12</f>
        <v>297177.09084221</v>
      </c>
      <c r="D77" s="10" t="n">
        <f aca="false">C77+D76</f>
        <v>8234365.19943525</v>
      </c>
      <c r="E77" s="10" t="n">
        <f aca="false">C77-Assumptions!$D$204*(1+Assumptions!$D$269)^(5-1)</f>
        <v>195140.41884221</v>
      </c>
      <c r="F77" s="10" t="n">
        <f aca="false">E77+F76</f>
        <v>3362571.02343526</v>
      </c>
      <c r="G77" s="10" t="n">
        <f aca="false">3yr_Scenarios!M56*100000/12</f>
        <v>317046.66551115</v>
      </c>
      <c r="H77" s="10" t="n">
        <f aca="false">G77+H76</f>
        <v>8644581.09428794</v>
      </c>
      <c r="I77" s="10" t="n">
        <f aca="false">G77-Assumptions!$D$204*(1+Assumptions!$D$269)^(5-1)</f>
        <v>215009.99351115</v>
      </c>
      <c r="J77" s="10" t="n">
        <f aca="false">I77+J76</f>
        <v>3772786.91828793</v>
      </c>
      <c r="K77" s="10" t="n">
        <f aca="false">3yr_Scenarios!AB56*100000/12</f>
        <v>-33554.5585624836</v>
      </c>
      <c r="L77" s="10" t="n">
        <f aca="false">K77+L76</f>
        <v>-3678476.82562759</v>
      </c>
      <c r="M77" s="10" t="n">
        <f aca="false">K77-Assumptions!$D$204*(1+Assumptions!$D$269)^(5-1)</f>
        <v>-135591.230562484</v>
      </c>
      <c r="N77" s="10" t="n">
        <f aca="false">M77+N76</f>
        <v>-8550271.0016276</v>
      </c>
      <c r="O77" s="13" t="n">
        <f aca="false">IF(D77&lt;0,A77,0)</f>
        <v>0</v>
      </c>
      <c r="P77" s="13" t="n">
        <f aca="false">IF(F77&lt;0,A77,0)</f>
        <v>0</v>
      </c>
      <c r="Q77" s="13" t="n">
        <f aca="false">IF(H77&lt;0,A77,0)</f>
        <v>0</v>
      </c>
      <c r="R77" s="13" t="n">
        <f aca="false">IF(J77&lt;0,A77,0)</f>
        <v>0</v>
      </c>
      <c r="S77" s="13" t="n">
        <f aca="false">IF(L77&lt;0,A77,0)</f>
        <v>56</v>
      </c>
      <c r="T77" s="13" t="n">
        <f aca="false">IF(N77&lt;0,A77,0)</f>
        <v>56</v>
      </c>
    </row>
    <row r="78" customFormat="false" ht="15" hidden="false" customHeight="false" outlineLevel="0" collapsed="false">
      <c r="A78" s="0" t="n">
        <v>57</v>
      </c>
      <c r="B78" s="0" t="n">
        <v>5</v>
      </c>
      <c r="C78" s="10" t="n">
        <f aca="false">3yr_Scenarios!P56*100000/12</f>
        <v>297177.09084221</v>
      </c>
      <c r="D78" s="10" t="n">
        <f aca="false">C78+D77</f>
        <v>8531542.29027746</v>
      </c>
      <c r="E78" s="10" t="n">
        <f aca="false">C78-Assumptions!$D$204*(1+Assumptions!$D$269)^(5-1)</f>
        <v>195140.41884221</v>
      </c>
      <c r="F78" s="10" t="n">
        <f aca="false">E78+F77</f>
        <v>3557711.44227747</v>
      </c>
      <c r="G78" s="10" t="n">
        <f aca="false">3yr_Scenarios!M56*100000/12</f>
        <v>317046.66551115</v>
      </c>
      <c r="H78" s="10" t="n">
        <f aca="false">G78+H77</f>
        <v>8961627.75979909</v>
      </c>
      <c r="I78" s="10" t="n">
        <f aca="false">G78-Assumptions!$D$204*(1+Assumptions!$D$269)^(5-1)</f>
        <v>215009.99351115</v>
      </c>
      <c r="J78" s="10" t="n">
        <f aca="false">I78+J77</f>
        <v>3987796.91179909</v>
      </c>
      <c r="K78" s="10" t="n">
        <f aca="false">3yr_Scenarios!AB56*100000/12</f>
        <v>-33554.5585624836</v>
      </c>
      <c r="L78" s="10" t="n">
        <f aca="false">K78+L77</f>
        <v>-3712031.38419008</v>
      </c>
      <c r="M78" s="10" t="n">
        <f aca="false">K78-Assumptions!$D$204*(1+Assumptions!$D$269)^(5-1)</f>
        <v>-135591.230562484</v>
      </c>
      <c r="N78" s="10" t="n">
        <f aca="false">M78+N77</f>
        <v>-8685862.23219008</v>
      </c>
      <c r="O78" s="13" t="n">
        <f aca="false">IF(D78&lt;0,A78,0)</f>
        <v>0</v>
      </c>
      <c r="P78" s="13" t="n">
        <f aca="false">IF(F78&lt;0,A78,0)</f>
        <v>0</v>
      </c>
      <c r="Q78" s="13" t="n">
        <f aca="false">IF(H78&lt;0,A78,0)</f>
        <v>0</v>
      </c>
      <c r="R78" s="13" t="n">
        <f aca="false">IF(J78&lt;0,A78,0)</f>
        <v>0</v>
      </c>
      <c r="S78" s="13" t="n">
        <f aca="false">IF(L78&lt;0,A78,0)</f>
        <v>57</v>
      </c>
      <c r="T78" s="13" t="n">
        <f aca="false">IF(N78&lt;0,A78,0)</f>
        <v>57</v>
      </c>
    </row>
    <row r="79" customFormat="false" ht="15" hidden="false" customHeight="false" outlineLevel="0" collapsed="false">
      <c r="A79" s="0" t="n">
        <v>58</v>
      </c>
      <c r="B79" s="0" t="n">
        <v>5</v>
      </c>
      <c r="C79" s="10" t="n">
        <f aca="false">3yr_Scenarios!P56*100000/12</f>
        <v>297177.09084221</v>
      </c>
      <c r="D79" s="10" t="n">
        <f aca="false">C79+D78</f>
        <v>8828719.38111967</v>
      </c>
      <c r="E79" s="10" t="n">
        <f aca="false">C79-Assumptions!$D$204*(1+Assumptions!$D$269)^(5-1)</f>
        <v>195140.41884221</v>
      </c>
      <c r="F79" s="10" t="n">
        <f aca="false">E79+F78</f>
        <v>3752851.86111968</v>
      </c>
      <c r="G79" s="10" t="n">
        <f aca="false">3yr_Scenarios!M56*100000/12</f>
        <v>317046.66551115</v>
      </c>
      <c r="H79" s="10" t="n">
        <f aca="false">G79+H78</f>
        <v>9278674.42531024</v>
      </c>
      <c r="I79" s="10" t="n">
        <f aca="false">G79-Assumptions!$D$204*(1+Assumptions!$D$269)^(5-1)</f>
        <v>215009.99351115</v>
      </c>
      <c r="J79" s="10" t="n">
        <f aca="false">I79+J78</f>
        <v>4202806.90531024</v>
      </c>
      <c r="K79" s="10" t="n">
        <f aca="false">3yr_Scenarios!AB56*100000/12</f>
        <v>-33554.5585624836</v>
      </c>
      <c r="L79" s="10" t="n">
        <f aca="false">K79+L78</f>
        <v>-3745585.94275256</v>
      </c>
      <c r="M79" s="10" t="n">
        <f aca="false">K79-Assumptions!$D$204*(1+Assumptions!$D$269)^(5-1)</f>
        <v>-135591.230562484</v>
      </c>
      <c r="N79" s="10" t="n">
        <f aca="false">M79+N78</f>
        <v>-8821453.46275257</v>
      </c>
      <c r="O79" s="13" t="n">
        <f aca="false">IF(D79&lt;0,A79,0)</f>
        <v>0</v>
      </c>
      <c r="P79" s="13" t="n">
        <f aca="false">IF(F79&lt;0,A79,0)</f>
        <v>0</v>
      </c>
      <c r="Q79" s="13" t="n">
        <f aca="false">IF(H79&lt;0,A79,0)</f>
        <v>0</v>
      </c>
      <c r="R79" s="13" t="n">
        <f aca="false">IF(J79&lt;0,A79,0)</f>
        <v>0</v>
      </c>
      <c r="S79" s="13" t="n">
        <f aca="false">IF(L79&lt;0,A79,0)</f>
        <v>58</v>
      </c>
      <c r="T79" s="13" t="n">
        <f aca="false">IF(N79&lt;0,A79,0)</f>
        <v>58</v>
      </c>
    </row>
    <row r="80" customFormat="false" ht="15" hidden="false" customHeight="false" outlineLevel="0" collapsed="false">
      <c r="A80" s="0" t="n">
        <v>59</v>
      </c>
      <c r="B80" s="0" t="n">
        <v>5</v>
      </c>
      <c r="C80" s="10" t="n">
        <f aca="false">3yr_Scenarios!P56*100000/12</f>
        <v>297177.09084221</v>
      </c>
      <c r="D80" s="10" t="n">
        <f aca="false">C80+D79</f>
        <v>9125896.47196188</v>
      </c>
      <c r="E80" s="10" t="n">
        <f aca="false">C80-Assumptions!$D$204*(1+Assumptions!$D$269)^(5-1)</f>
        <v>195140.41884221</v>
      </c>
      <c r="F80" s="10" t="n">
        <f aca="false">E80+F79</f>
        <v>3947992.27996189</v>
      </c>
      <c r="G80" s="10" t="n">
        <f aca="false">3yr_Scenarios!M56*100000/12</f>
        <v>317046.66551115</v>
      </c>
      <c r="H80" s="10" t="n">
        <f aca="false">G80+H79</f>
        <v>9595721.09082139</v>
      </c>
      <c r="I80" s="10" t="n">
        <f aca="false">G80-Assumptions!$D$204*(1+Assumptions!$D$269)^(5-1)</f>
        <v>215009.99351115</v>
      </c>
      <c r="J80" s="10" t="n">
        <f aca="false">I80+J79</f>
        <v>4417816.89882139</v>
      </c>
      <c r="K80" s="10" t="n">
        <f aca="false">3yr_Scenarios!AB56*100000/12</f>
        <v>-33554.5585624836</v>
      </c>
      <c r="L80" s="10" t="n">
        <f aca="false">K80+L79</f>
        <v>-3779140.50131504</v>
      </c>
      <c r="M80" s="10" t="n">
        <f aca="false">K80-Assumptions!$D$204*(1+Assumptions!$D$269)^(5-1)</f>
        <v>-135591.230562484</v>
      </c>
      <c r="N80" s="10" t="n">
        <f aca="false">M80+N79</f>
        <v>-8957044.69331505</v>
      </c>
      <c r="O80" s="13" t="n">
        <f aca="false">IF(D80&lt;0,A80,0)</f>
        <v>0</v>
      </c>
      <c r="P80" s="13" t="n">
        <f aca="false">IF(F80&lt;0,A80,0)</f>
        <v>0</v>
      </c>
      <c r="Q80" s="13" t="n">
        <f aca="false">IF(H80&lt;0,A80,0)</f>
        <v>0</v>
      </c>
      <c r="R80" s="13" t="n">
        <f aca="false">IF(J80&lt;0,A80,0)</f>
        <v>0</v>
      </c>
      <c r="S80" s="13" t="n">
        <f aca="false">IF(L80&lt;0,A80,0)</f>
        <v>59</v>
      </c>
      <c r="T80" s="13" t="n">
        <f aca="false">IF(N80&lt;0,A80,0)</f>
        <v>59</v>
      </c>
    </row>
    <row r="81" customFormat="false" ht="15" hidden="false" customHeight="false" outlineLevel="0" collapsed="false">
      <c r="A81" s="0" t="n">
        <v>60</v>
      </c>
      <c r="B81" s="0" t="n">
        <v>5</v>
      </c>
      <c r="C81" s="10" t="n">
        <f aca="false">3yr_Scenarios!P56*100000/12</f>
        <v>297177.09084221</v>
      </c>
      <c r="D81" s="10" t="n">
        <f aca="false">C81+D80</f>
        <v>9423073.56280409</v>
      </c>
      <c r="E81" s="10" t="n">
        <f aca="false">C81-Assumptions!$D$204*(1+Assumptions!$D$269)^(5-1)</f>
        <v>195140.41884221</v>
      </c>
      <c r="F81" s="10" t="n">
        <f aca="false">E81+F80</f>
        <v>4143132.6988041</v>
      </c>
      <c r="G81" s="10" t="n">
        <f aca="false">3yr_Scenarios!M56*100000/12</f>
        <v>317046.66551115</v>
      </c>
      <c r="H81" s="10" t="n">
        <f aca="false">G81+H80</f>
        <v>9912767.75633254</v>
      </c>
      <c r="I81" s="10" t="n">
        <f aca="false">G81-Assumptions!$D$204*(1+Assumptions!$D$269)^(5-1)</f>
        <v>215009.99351115</v>
      </c>
      <c r="J81" s="10" t="n">
        <f aca="false">I81+J80</f>
        <v>4632826.89233254</v>
      </c>
      <c r="K81" s="10" t="n">
        <f aca="false">3yr_Scenarios!AB56*100000/12</f>
        <v>-33554.5585624836</v>
      </c>
      <c r="L81" s="10" t="n">
        <f aca="false">K81+L80</f>
        <v>-3812695.05987753</v>
      </c>
      <c r="M81" s="10" t="n">
        <f aca="false">K81-Assumptions!$D$204*(1+Assumptions!$D$269)^(5-1)</f>
        <v>-135591.230562484</v>
      </c>
      <c r="N81" s="10" t="n">
        <f aca="false">M81+N80</f>
        <v>-9092635.92387753</v>
      </c>
      <c r="O81" s="13" t="n">
        <f aca="false">IF(D81&lt;0,A81,0)</f>
        <v>0</v>
      </c>
      <c r="P81" s="13" t="n">
        <f aca="false">IF(F81&lt;0,A81,0)</f>
        <v>0</v>
      </c>
      <c r="Q81" s="13" t="n">
        <f aca="false">IF(H81&lt;0,A81,0)</f>
        <v>0</v>
      </c>
      <c r="R81" s="13" t="n">
        <f aca="false">IF(J81&lt;0,A81,0)</f>
        <v>0</v>
      </c>
      <c r="S81" s="13" t="n">
        <f aca="false">IF(L81&lt;0,A81,0)</f>
        <v>60</v>
      </c>
      <c r="T81" s="13" t="n">
        <f aca="false">IF(N81&lt;0,A81,0)</f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1285</v>
      </c>
    </row>
    <row r="4" customFormat="false" ht="28.35" hidden="false" customHeight="false" outlineLevel="0" collapsed="false">
      <c r="A4" s="5" t="s">
        <v>103</v>
      </c>
      <c r="B4" s="5" t="s">
        <v>1286</v>
      </c>
      <c r="C4" s="5" t="s">
        <v>1287</v>
      </c>
      <c r="D4" s="5" t="s">
        <v>980</v>
      </c>
    </row>
    <row r="5" customFormat="false" ht="15" hidden="false" customHeight="false" outlineLevel="0" collapsed="false">
      <c r="A5" s="0" t="s">
        <v>1047</v>
      </c>
      <c r="B5" s="6" t="n">
        <f aca="false">Assumptions!$I$213</f>
        <v>8</v>
      </c>
      <c r="C5" s="6" t="n">
        <f aca="false">MAX(Assumptions!$I$218,Assumptions!$I$213)</f>
        <v>12</v>
      </c>
      <c r="D5" s="2" t="s">
        <v>1288</v>
      </c>
    </row>
    <row r="6" customFormat="false" ht="15" hidden="false" customHeight="false" outlineLevel="0" collapsed="false">
      <c r="A6" s="0" t="s">
        <v>1048</v>
      </c>
      <c r="B6" s="6" t="n">
        <f aca="false">Assumptions!$I$214</f>
        <v>2</v>
      </c>
      <c r="C6" s="6" t="n">
        <f aca="false">Assumptions!$I$219</f>
        <v>2.5</v>
      </c>
      <c r="D6" s="2" t="s">
        <v>1289</v>
      </c>
    </row>
    <row r="7" customFormat="false" ht="15" hidden="false" customHeight="false" outlineLevel="0" collapsed="false">
      <c r="A7" s="0" t="s">
        <v>1290</v>
      </c>
      <c r="B7" s="6" t="n">
        <f aca="false">B5*B6</f>
        <v>16</v>
      </c>
      <c r="C7" s="6" t="n">
        <f aca="false">C5*C6</f>
        <v>30</v>
      </c>
      <c r="D7" s="2"/>
    </row>
    <row r="8" customFormat="false" ht="15" hidden="false" customHeight="false" outlineLevel="0" collapsed="false">
      <c r="A8" s="0" t="s">
        <v>1291</v>
      </c>
      <c r="B8" s="6" t="n">
        <f aca="false">B7*Assumptions!$I$220</f>
        <v>14.4</v>
      </c>
      <c r="C8" s="6" t="n">
        <f aca="false">C7*Assumptions!$I$220</f>
        <v>27</v>
      </c>
      <c r="D8" s="2"/>
    </row>
    <row r="9" customFormat="false" ht="15" hidden="false" customHeight="false" outlineLevel="0" collapsed="false">
      <c r="A9" s="0" t="s">
        <v>1292</v>
      </c>
      <c r="B9" s="6" t="n">
        <f aca="false">B8*12/Assumptions!$I$103</f>
        <v>57.6</v>
      </c>
      <c r="C9" s="6" t="n">
        <f aca="false">C8*12/Assumptions!$I$103</f>
        <v>108</v>
      </c>
      <c r="D9" s="2" t="s">
        <v>1293</v>
      </c>
    </row>
    <row r="10" customFormat="false" ht="15" hidden="false" customHeight="false" outlineLevel="0" collapsed="false">
      <c r="A10" s="0" t="s">
        <v>1294</v>
      </c>
      <c r="B10" s="6" t="n">
        <f aca="false">Assumptions!$I$25*12*(Assumptions!$I$26*Assumptions!$I$103+(1-Assumptions!$I$26))</f>
        <v>264</v>
      </c>
      <c r="C10" s="6" t="n">
        <f aca="false">B10</f>
        <v>264</v>
      </c>
      <c r="D10" s="2"/>
    </row>
    <row r="11" customFormat="false" ht="15" hidden="false" customHeight="false" outlineLevel="0" collapsed="false">
      <c r="A11" s="0" t="s">
        <v>1295</v>
      </c>
      <c r="B11" s="8" t="n">
        <f aca="false">B10/(B8*12)</f>
        <v>1.52777777777778</v>
      </c>
      <c r="C11" s="8" t="n">
        <f aca="false">C10/(C8*12)</f>
        <v>0.814814814814815</v>
      </c>
      <c r="D11" s="2" t="s">
        <v>1296</v>
      </c>
    </row>
    <row r="12" customFormat="false" ht="15" hidden="false" customHeight="false" outlineLevel="0" collapsed="false">
      <c r="A12" s="0" t="s">
        <v>1297</v>
      </c>
      <c r="B12" s="6" t="n">
        <f aca="false">B10/12/Assumptions!$I$102</f>
        <v>2.2</v>
      </c>
      <c r="C12" s="6" t="n">
        <f aca="false">B12</f>
        <v>2.2</v>
      </c>
      <c r="D12" s="2"/>
    </row>
    <row r="13" customFormat="false" ht="15" hidden="false" customHeight="false" outlineLevel="0" collapsed="false">
      <c r="A13" s="0" t="s">
        <v>1298</v>
      </c>
      <c r="B13" s="6" t="n">
        <f aca="false">B12*(1-Assumptions!$I$158)/Assumptions!$I$101</f>
        <v>0.77</v>
      </c>
      <c r="C13" s="6" t="n">
        <f aca="false">B13</f>
        <v>0.77</v>
      </c>
      <c r="D13" s="2" t="s">
        <v>1299</v>
      </c>
    </row>
    <row r="14" customFormat="false" ht="15" hidden="false" customHeight="false" outlineLevel="0" collapsed="false">
      <c r="A14" s="0" t="s">
        <v>1300</v>
      </c>
      <c r="B14" s="6" t="n">
        <f aca="false">B12*4*22*Assumptions!$I$158</f>
        <v>58.08</v>
      </c>
      <c r="C14" s="6" t="n">
        <f aca="false">B14</f>
        <v>58.08</v>
      </c>
      <c r="D14" s="2" t="s">
        <v>1301</v>
      </c>
    </row>
    <row r="15" customFormat="false" ht="15" hidden="false" customHeight="false" outlineLevel="0" collapsed="false">
      <c r="A15" s="0" t="s">
        <v>1302</v>
      </c>
      <c r="B15" s="10" t="n">
        <f aca="false">Assumptions!$I$221</f>
        <v>35000</v>
      </c>
      <c r="C15" s="10" t="n">
        <f aca="false">Assumptions!$I$216*Assumptions!$I$217</f>
        <v>104000</v>
      </c>
      <c r="D15" s="2" t="s">
        <v>1303</v>
      </c>
    </row>
    <row r="16" customFormat="false" ht="15" hidden="false" customHeight="false" outlineLevel="0" collapsed="false">
      <c r="A16" s="0" t="s">
        <v>1304</v>
      </c>
      <c r="B16" s="10" t="n">
        <f aca="false">B15/B8</f>
        <v>2430.55555555556</v>
      </c>
      <c r="C16" s="10" t="n">
        <f aca="false">IFERROR(C15/C8,0)</f>
        <v>3851.85185185185</v>
      </c>
      <c r="D16" s="2"/>
    </row>
    <row r="17" customFormat="false" ht="15" hidden="false" customHeight="false" outlineLevel="0" collapsed="false">
      <c r="A17" s="0" t="s">
        <v>1305</v>
      </c>
      <c r="B17" s="6" t="n">
        <f aca="false">Outlook_Base!B164</f>
        <v>6</v>
      </c>
      <c r="C17" s="6"/>
      <c r="D17" s="2" t="s">
        <v>1306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1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7"/>
    <col collapsed="false" customWidth="true" hidden="false" outlineLevel="0" max="9" min="8" style="0" width="15"/>
    <col collapsed="false" customWidth="true" hidden="false" outlineLevel="0" max="11" min="10" style="0" width="12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1307</v>
      </c>
    </row>
    <row r="2" customFormat="false" ht="15" hidden="false" customHeight="false" outlineLevel="0" collapsed="false">
      <c r="A2" s="2" t="s">
        <v>1308</v>
      </c>
    </row>
    <row r="4" customFormat="false" ht="41.75" hidden="false" customHeight="false" outlineLevel="0" collapsed="false">
      <c r="A4" s="5" t="s">
        <v>1309</v>
      </c>
      <c r="B4" s="5" t="s">
        <v>1310</v>
      </c>
      <c r="C4" s="5" t="s">
        <v>1311</v>
      </c>
      <c r="D4" s="5" t="s">
        <v>1312</v>
      </c>
      <c r="E4" s="5" t="s">
        <v>1313</v>
      </c>
      <c r="F4" s="5" t="s">
        <v>1314</v>
      </c>
      <c r="G4" s="5" t="s">
        <v>1315</v>
      </c>
      <c r="H4" s="5" t="s">
        <v>1316</v>
      </c>
      <c r="I4" s="5" t="s">
        <v>1317</v>
      </c>
      <c r="J4" s="5" t="s">
        <v>1318</v>
      </c>
      <c r="K4" s="5" t="s">
        <v>1319</v>
      </c>
      <c r="L4" s="5" t="s">
        <v>1320</v>
      </c>
    </row>
    <row r="5" customFormat="false" ht="15" hidden="false" customHeight="false" outlineLevel="0" collapsed="false">
      <c r="A5" s="3" t="s">
        <v>1321</v>
      </c>
      <c r="D5" s="10" t="n">
        <f aca="false">Staged_G1M9!B153</f>
        <v>-281881.419978914</v>
      </c>
      <c r="E5" s="10" t="n">
        <f aca="false">Staged_G1M9!B153</f>
        <v>-281881.419978914</v>
      </c>
      <c r="H5" s="10" t="n">
        <f aca="false">Staged_G1M9!B157</f>
        <v>2518332.24604047</v>
      </c>
      <c r="J5" s="6" t="n">
        <f aca="false">Staged_G1M9!B160</f>
        <v>81.0218308581928</v>
      </c>
    </row>
    <row r="6" customFormat="false" ht="15" hidden="false" customHeight="false" outlineLevel="0" collapsed="false">
      <c r="A6" s="0" t="s">
        <v>1322</v>
      </c>
      <c r="B6" s="0" t="s">
        <v>1323</v>
      </c>
      <c r="C6" s="0" t="s">
        <v>1324</v>
      </c>
      <c r="D6" s="10" t="n">
        <f aca="false">Flex_conv_lo!B153</f>
        <v>-1009236.01942183</v>
      </c>
      <c r="E6" s="10" t="n">
        <f aca="false">Flex_conv_hi!B153</f>
        <v>248458.958246781</v>
      </c>
      <c r="F6" s="10" t="n">
        <f aca="false">ABS(E6-D6)</f>
        <v>1257694.97766861</v>
      </c>
      <c r="G6" s="13" t="n">
        <f aca="false">RANK(F6,$F$6:$F$13)</f>
        <v>2</v>
      </c>
      <c r="H6" s="10" t="n">
        <f aca="false">Flex_conv_lo!B157</f>
        <v>2965686.79472387</v>
      </c>
      <c r="I6" s="10" t="n">
        <f aca="false">Flex_conv_hi!B157</f>
        <v>2193611.44303444</v>
      </c>
      <c r="J6" s="6" t="n">
        <f aca="false">Flex_conv_lo!B160</f>
        <v>71.1398535904549</v>
      </c>
      <c r="K6" s="6" t="n">
        <f aca="false">Flex_conv_hi!B160</f>
        <v>85.9211295327312</v>
      </c>
      <c r="L6" s="0" t="str">
        <f aca="false">REPT("█",ROUND(F6/MAX($F$6:$F$13)*30,0))</f>
        <v>███████████████████</v>
      </c>
    </row>
    <row r="7" customFormat="false" ht="15" hidden="false" customHeight="false" outlineLevel="0" collapsed="false">
      <c r="A7" s="0" t="s">
        <v>1325</v>
      </c>
      <c r="B7" s="0" t="s">
        <v>1323</v>
      </c>
      <c r="C7" s="0" t="s">
        <v>1326</v>
      </c>
      <c r="D7" s="10" t="n">
        <f aca="false">Flex_fee_lo!B153</f>
        <v>-1407359.19596434</v>
      </c>
      <c r="E7" s="10" t="n">
        <f aca="false">Flex_fee_hi!B153</f>
        <v>562226.912010157</v>
      </c>
      <c r="F7" s="10" t="n">
        <f aca="false">ABS(E7-D7)</f>
        <v>1969586.1079745</v>
      </c>
      <c r="G7" s="13" t="n">
        <f aca="false">RANK(F7,$F$6:$F$13)</f>
        <v>1</v>
      </c>
      <c r="H7" s="10" t="n">
        <f aca="false">Flex_fee_lo!B157</f>
        <v>3329798.18843281</v>
      </c>
      <c r="I7" s="10" t="n">
        <f aca="false">Flex_fee_hi!B157</f>
        <v>2041574.30227885</v>
      </c>
      <c r="J7" s="6" t="n">
        <f aca="false">Flex_fee_lo!B160</f>
        <v>81.0218308581928</v>
      </c>
      <c r="K7" s="6" t="n">
        <f aca="false">Flex_fee_hi!B160</f>
        <v>81.0218308581928</v>
      </c>
      <c r="L7" s="0" t="str">
        <f aca="false">REPT("█",ROUND(F7/MAX($F$6:$F$13)*30,0))</f>
        <v>██████████████████████████████</v>
      </c>
    </row>
    <row r="8" customFormat="false" ht="15" hidden="false" customHeight="false" outlineLevel="0" collapsed="false">
      <c r="A8" s="0" t="s">
        <v>1327</v>
      </c>
      <c r="B8" s="0" t="s">
        <v>1323</v>
      </c>
      <c r="C8" s="0" t="s">
        <v>1324</v>
      </c>
      <c r="D8" s="10" t="n">
        <f aca="false">Flex_fill_lo!B153</f>
        <v>-335881.419978914</v>
      </c>
      <c r="E8" s="10" t="n">
        <f aca="false">Flex_fill_hi!B153</f>
        <v>-263881.419978914</v>
      </c>
      <c r="F8" s="10" t="n">
        <f aca="false">ABS(E8-D8)</f>
        <v>72000</v>
      </c>
      <c r="G8" s="13" t="n">
        <f aca="false">RANK(F8,$F$6:$F$13)</f>
        <v>8</v>
      </c>
      <c r="H8" s="10" t="n">
        <f aca="false">Flex_fill_lo!B157</f>
        <v>2572332.24604047</v>
      </c>
      <c r="I8" s="10" t="n">
        <f aca="false">Flex_fill_hi!B157</f>
        <v>2518332.24604047</v>
      </c>
      <c r="J8" s="6" t="n">
        <f aca="false">Flex_fill_lo!B160</f>
        <v>81.0218308581928</v>
      </c>
      <c r="K8" s="6" t="n">
        <f aca="false">Flex_fill_hi!B160</f>
        <v>81.0218308581928</v>
      </c>
      <c r="L8" s="0" t="str">
        <f aca="false">REPT("█",ROUND(F8/MAX($F$6:$F$13)*30,0))</f>
        <v>█</v>
      </c>
    </row>
    <row r="9" customFormat="false" ht="15" hidden="false" customHeight="false" outlineLevel="0" collapsed="false">
      <c r="A9" s="0" t="s">
        <v>1328</v>
      </c>
      <c r="B9" s="0" t="s">
        <v>1329</v>
      </c>
      <c r="C9" s="0" t="s">
        <v>1330</v>
      </c>
      <c r="D9" s="10" t="n">
        <f aca="false">Flex_cpl_lo!B153</f>
        <v>-475292.304184268</v>
      </c>
      <c r="E9" s="10" t="n">
        <f aca="false">Flex_cpl_hi!B153</f>
        <v>-226995.826040595</v>
      </c>
      <c r="F9" s="10" t="n">
        <f aca="false">ABS(E9-D9)</f>
        <v>248296.478143673</v>
      </c>
      <c r="G9" s="13" t="n">
        <f aca="false">RANK(F9,$F$6:$F$13)</f>
        <v>6</v>
      </c>
      <c r="H9" s="10" t="n">
        <f aca="false">Flex_cpl_lo!B157</f>
        <v>2595001.23128011</v>
      </c>
      <c r="I9" s="10" t="n">
        <f aca="false">Flex_cpl_hi!B157</f>
        <v>2481044.17581907</v>
      </c>
      <c r="J9" s="6" t="n">
        <f aca="false">Flex_cpl_lo!B160</f>
        <v>75.8307317268858</v>
      </c>
      <c r="K9" s="6" t="n">
        <f aca="false">Flex_cpl_hi!B160</f>
        <v>82.8398842261218</v>
      </c>
      <c r="L9" s="0" t="str">
        <f aca="false">REPT("█",ROUND(F9/MAX($F$6:$F$13)*30,0))</f>
        <v>████</v>
      </c>
    </row>
    <row r="10" customFormat="false" ht="15" hidden="false" customHeight="false" outlineLevel="0" collapsed="false">
      <c r="A10" s="0" t="s">
        <v>1331</v>
      </c>
      <c r="B10" s="0" t="s">
        <v>1332</v>
      </c>
      <c r="C10" s="0" t="s">
        <v>1333</v>
      </c>
      <c r="D10" s="10" t="n">
        <f aca="false">Flex_var_lo!B153</f>
        <v>-536468.773142407</v>
      </c>
      <c r="E10" s="10" t="n">
        <f aca="false">Flex_var_hi!B153</f>
        <v>-27294.0668154219</v>
      </c>
      <c r="F10" s="10" t="n">
        <f aca="false">ABS(E10-D10)</f>
        <v>509174.706326985</v>
      </c>
      <c r="G10" s="13" t="n">
        <f aca="false">RANK(F10,$F$6:$F$13)</f>
        <v>5</v>
      </c>
      <c r="H10" s="10" t="n">
        <f aca="false">Flex_var_lo!B157</f>
        <v>2714698.67726232</v>
      </c>
      <c r="I10" s="10" t="n">
        <f aca="false">Flex_var_hi!B157</f>
        <v>2333729.45004913</v>
      </c>
      <c r="J10" s="6" t="n">
        <f aca="false">Flex_var_lo!B160</f>
        <v>81.0218308581928</v>
      </c>
      <c r="K10" s="6" t="n">
        <f aca="false">Flex_var_hi!B160</f>
        <v>81.0218308581928</v>
      </c>
      <c r="L10" s="0" t="str">
        <f aca="false">REPT("█",ROUND(F10/MAX($F$6:$F$13)*30,0))</f>
        <v>████████</v>
      </c>
    </row>
    <row r="11" customFormat="false" ht="15" hidden="false" customHeight="false" outlineLevel="0" collapsed="false">
      <c r="A11" s="0" t="s">
        <v>1334</v>
      </c>
      <c r="B11" s="0" t="s">
        <v>1335</v>
      </c>
      <c r="C11" s="0" t="s">
        <v>1336</v>
      </c>
      <c r="D11" s="10" t="n">
        <f aca="false">Flex_rent_lo!B153</f>
        <v>-673756.419978914</v>
      </c>
      <c r="E11" s="10" t="n">
        <f aca="false">Flex_rent_hi!B153</f>
        <v>-23243.9199789141</v>
      </c>
      <c r="F11" s="10" t="n">
        <f aca="false">ABS(E11-D11)</f>
        <v>650512.5</v>
      </c>
      <c r="G11" s="13" t="n">
        <f aca="false">RANK(F11,$F$6:$F$13)</f>
        <v>4</v>
      </c>
      <c r="H11" s="10" t="n">
        <f aca="false">Flex_rent_lo!B157</f>
        <v>2963194.56973428</v>
      </c>
      <c r="I11" s="10" t="n">
        <f aca="false">Flex_rent_hi!B157</f>
        <v>2259694.74604047</v>
      </c>
      <c r="J11" s="6" t="n">
        <f aca="false">Flex_rent_lo!B160</f>
        <v>81.0218308581928</v>
      </c>
      <c r="K11" s="6" t="n">
        <f aca="false">Flex_rent_hi!B160</f>
        <v>81.0218308581928</v>
      </c>
      <c r="L11" s="0" t="str">
        <f aca="false">REPT("█",ROUND(F11/MAX($F$6:$F$13)*30,0))</f>
        <v>██████████</v>
      </c>
    </row>
    <row r="12" customFormat="false" ht="15" hidden="false" customHeight="false" outlineLevel="0" collapsed="false">
      <c r="A12" s="0" t="s">
        <v>1337</v>
      </c>
      <c r="B12" s="0" t="s">
        <v>1330</v>
      </c>
      <c r="C12" s="0" t="s">
        <v>1329</v>
      </c>
      <c r="D12" s="10" t="n">
        <f aca="false">Flex_budget_lo!B153</f>
        <v>-337354.567461084</v>
      </c>
      <c r="E12" s="10" t="n">
        <f aca="false">Flex_budget_hi!B153</f>
        <v>-444350.208472084</v>
      </c>
      <c r="F12" s="10" t="n">
        <f aca="false">ABS(E12-D12)</f>
        <v>106995.641011</v>
      </c>
      <c r="G12" s="13" t="n">
        <f aca="false">RANK(F12,$F$6:$F$13)</f>
        <v>7</v>
      </c>
      <c r="H12" s="10" t="n">
        <f aca="false">Flex_budget_lo!B157</f>
        <v>2476236.55149251</v>
      </c>
      <c r="I12" s="10" t="n">
        <f aca="false">Flex_budget_hi!B157</f>
        <v>2614518.72834147</v>
      </c>
      <c r="J12" s="6" t="n">
        <f aca="false">Flex_budget_lo!B160</f>
        <v>73.9080587691942</v>
      </c>
      <c r="K12" s="6" t="n">
        <f aca="false">Flex_budget_hi!B160</f>
        <v>82.5660317044761</v>
      </c>
      <c r="L12" s="0" t="str">
        <f aca="false">REPT("█",ROUND(F12/MAX($F$6:$F$13)*30,0))</f>
        <v>██</v>
      </c>
    </row>
    <row r="13" customFormat="false" ht="15" hidden="false" customHeight="false" outlineLevel="0" collapsed="false">
      <c r="A13" s="0" t="s">
        <v>1338</v>
      </c>
      <c r="B13" s="0" t="s">
        <v>1339</v>
      </c>
      <c r="C13" s="0" t="s">
        <v>1340</v>
      </c>
      <c r="D13" s="10" t="n">
        <f aca="false">Staged_G1M9!B153</f>
        <v>-281881.419978914</v>
      </c>
      <c r="E13" s="10" t="n">
        <f aca="false">Flex_gst_ontop!B153</f>
        <v>804588.842996617</v>
      </c>
      <c r="F13" s="10" t="n">
        <f aca="false">ABS(E13-D13)</f>
        <v>1086470.26297553</v>
      </c>
      <c r="G13" s="13" t="n">
        <f aca="false">RANK(F13,$F$6:$F$13)</f>
        <v>3</v>
      </c>
      <c r="H13" s="10" t="n">
        <f aca="false">Staged_G1M9!B157</f>
        <v>2518332.24604047</v>
      </c>
      <c r="I13" s="10" t="n">
        <f aca="false">Flex_gst_ontop!B157</f>
        <v>1908756.39506182</v>
      </c>
      <c r="J13" s="6" t="n">
        <f aca="false">Staged_G1M9!B160</f>
        <v>81.0218308581928</v>
      </c>
      <c r="K13" s="6" t="n">
        <f aca="false">Flex_gst_ontop!B160</f>
        <v>81.0218308581928</v>
      </c>
      <c r="L13" s="0" t="str">
        <f aca="false">REPT("█",ROUND(F13/MAX($F$6:$F$13)*30,0))</f>
        <v>█████████████████</v>
      </c>
    </row>
    <row r="15" customFormat="false" ht="15" hidden="false" customHeight="false" outlineLevel="0" collapsed="false">
      <c r="A15" s="2" t="s">
        <v>1341</v>
      </c>
    </row>
    <row r="16" customFormat="false" ht="15" hidden="false" customHeight="false" outlineLevel="0" collapsed="false">
      <c r="A16" s="2" t="s">
        <v>1342</v>
      </c>
    </row>
    <row r="18" customFormat="false" ht="15" hidden="false" customHeight="false" outlineLevel="0" collapsed="false">
      <c r="A18" s="18" t="s">
        <v>1343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customFormat="false" ht="28.35" hidden="false" customHeight="false" outlineLevel="0" collapsed="false">
      <c r="A19" s="5" t="s">
        <v>1344</v>
      </c>
      <c r="B19" s="5" t="s">
        <v>1345</v>
      </c>
      <c r="C19" s="5"/>
      <c r="D19" s="5" t="s">
        <v>1346</v>
      </c>
      <c r="E19" s="5" t="s">
        <v>1347</v>
      </c>
      <c r="F19" s="5"/>
      <c r="G19" s="5"/>
      <c r="H19" s="5" t="s">
        <v>1348</v>
      </c>
      <c r="I19" s="5" t="s">
        <v>1347</v>
      </c>
      <c r="J19" s="5" t="s">
        <v>1349</v>
      </c>
      <c r="K19" s="5" t="s">
        <v>1350</v>
      </c>
    </row>
    <row r="20" customFormat="false" ht="15" hidden="false" customHeight="false" outlineLevel="0" collapsed="false">
      <c r="A20" s="0" t="s">
        <v>169</v>
      </c>
      <c r="B20" s="0" t="s">
        <v>1351</v>
      </c>
      <c r="D20" s="10" t="n">
        <f aca="false">Flex_pr1_10!B153</f>
        <v>-364315.287398158</v>
      </c>
      <c r="E20" s="10" t="n">
        <f aca="false">D20-$D$5</f>
        <v>-82433.8674192434</v>
      </c>
      <c r="H20" s="10" t="n">
        <f aca="false">Flex_pr1_10!B157</f>
        <v>2520743.20235156</v>
      </c>
      <c r="I20" s="10" t="n">
        <f aca="false">H20-$H$5</f>
        <v>2410.95631109551</v>
      </c>
      <c r="J20" s="6" t="n">
        <f aca="false">Flex_pr1_10!B160</f>
        <v>79.0246517056032</v>
      </c>
      <c r="K20" s="6" t="n">
        <f aca="false">J20-$J$5</f>
        <v>-1.99717915258961</v>
      </c>
    </row>
    <row r="21" customFormat="false" ht="15" hidden="false" customHeight="false" outlineLevel="0" collapsed="false">
      <c r="A21" s="0" t="s">
        <v>170</v>
      </c>
      <c r="B21" s="0" t="s">
        <v>1352</v>
      </c>
      <c r="D21" s="10" t="n">
        <f aca="false">Flex_pr1_20!B153</f>
        <v>-478581.321563128</v>
      </c>
      <c r="E21" s="10" t="n">
        <f aca="false">D21-$D$5</f>
        <v>-196699.901584214</v>
      </c>
      <c r="H21" s="10" t="n">
        <f aca="false">Flex_pr1_20!B157</f>
        <v>2535166.83496884</v>
      </c>
      <c r="I21" s="10" t="n">
        <f aca="false">H21-$H$5</f>
        <v>16834.588928374</v>
      </c>
      <c r="J21" s="6" t="n">
        <f aca="false">Flex_pr1_20!B160</f>
        <v>76.3093517056032</v>
      </c>
      <c r="K21" s="6" t="n">
        <f aca="false">J21-$J$5</f>
        <v>-4.71247915258961</v>
      </c>
    </row>
    <row r="22" customFormat="false" ht="15" hidden="false" customHeight="false" outlineLevel="0" collapsed="false">
      <c r="A22" s="0" t="s">
        <v>171</v>
      </c>
      <c r="B22" s="0" t="s">
        <v>1353</v>
      </c>
      <c r="D22" s="10" t="n">
        <f aca="false">Flex_npe_flat!B153</f>
        <v>-533561.333645094</v>
      </c>
      <c r="E22" s="10" t="n">
        <f aca="false">D22-$D$5</f>
        <v>-251679.91366618</v>
      </c>
      <c r="H22" s="10" t="n">
        <f aca="false">Flex_npe_flat!B157</f>
        <v>2634758.26687503</v>
      </c>
      <c r="I22" s="10" t="n">
        <f aca="false">H22-$H$5</f>
        <v>116426.020834565</v>
      </c>
      <c r="J22" s="6" t="n">
        <f aca="false">Flex_npe_flat!B160</f>
        <v>74.1559766529934</v>
      </c>
      <c r="K22" s="6" t="n">
        <f aca="false">J22-$J$5</f>
        <v>-6.8658542051994</v>
      </c>
    </row>
    <row r="23" customFormat="false" ht="15" hidden="false" customHeight="false" outlineLevel="0" collapsed="false">
      <c r="A23" s="0" t="s">
        <v>172</v>
      </c>
      <c r="B23" s="0" t="s">
        <v>1354</v>
      </c>
      <c r="D23" s="10" t="n">
        <f aca="false">Flex_mc_half!B153</f>
        <v>-871982.429621287</v>
      </c>
      <c r="E23" s="10" t="n">
        <f aca="false">D23-$D$5</f>
        <v>-590101.009642373</v>
      </c>
      <c r="H23" s="10" t="n">
        <f aca="false">Flex_mc_half!B157</f>
        <v>2939060.31013869</v>
      </c>
      <c r="I23" s="10" t="n">
        <f aca="false">H23-$H$5</f>
        <v>420728.064098225</v>
      </c>
      <c r="J23" s="6" t="n">
        <f aca="false">Flex_mc_half!B160</f>
        <v>81.0218308581928</v>
      </c>
      <c r="K23" s="6" t="n">
        <f aca="false">J23-$J$5</f>
        <v>0</v>
      </c>
    </row>
    <row r="24" customFormat="false" ht="15" hidden="false" customHeight="false" outlineLevel="0" collapsed="false">
      <c r="A24" s="0" t="s">
        <v>173</v>
      </c>
      <c r="B24" s="0" t="s">
        <v>1355</v>
      </c>
      <c r="D24" s="10" t="n">
        <f aca="false">Flex_lead75k!B153</f>
        <v>-446881.419978914</v>
      </c>
      <c r="E24" s="10" t="n">
        <f aca="false">D24-$D$5</f>
        <v>-165000</v>
      </c>
      <c r="H24" s="10" t="n">
        <f aca="false">Flex_lead75k!B157</f>
        <v>2641319.56973428</v>
      </c>
      <c r="I24" s="10" t="n">
        <f aca="false">H24-$H$5</f>
        <v>122987.323693817</v>
      </c>
      <c r="J24" s="6" t="n">
        <f aca="false">Flex_lead75k!B160</f>
        <v>81.0218308581928</v>
      </c>
      <c r="K24" s="6" t="n">
        <f aca="false">J24-$J$5</f>
        <v>0</v>
      </c>
    </row>
    <row r="26" customFormat="false" ht="15" hidden="false" customHeight="false" outlineLevel="0" collapsed="false">
      <c r="A26" s="18" t="s">
        <v>1356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customFormat="false" ht="41.75" hidden="false" customHeight="false" outlineLevel="0" collapsed="false">
      <c r="A27" s="5" t="s">
        <v>1357</v>
      </c>
      <c r="B27" s="5"/>
      <c r="C27" s="5"/>
      <c r="D27" s="5" t="s">
        <v>1358</v>
      </c>
      <c r="E27" s="5" t="s">
        <v>1359</v>
      </c>
      <c r="F27" s="5" t="s">
        <v>1360</v>
      </c>
      <c r="G27" s="5" t="s">
        <v>1361</v>
      </c>
      <c r="H27" s="5" t="s">
        <v>1362</v>
      </c>
      <c r="I27" s="5" t="s">
        <v>1363</v>
      </c>
    </row>
    <row r="28" customFormat="false" ht="15" hidden="false" customHeight="false" outlineLevel="0" collapsed="false">
      <c r="A28" s="0" t="s">
        <v>1364</v>
      </c>
      <c r="D28" s="6" t="n">
        <f aca="false">3yr_Scenarios!O40</f>
        <v>113.720137903584</v>
      </c>
      <c r="E28" s="6" t="n">
        <f aca="false">3yr_Scenarios!P40</f>
        <v>162.903398580199</v>
      </c>
      <c r="F28" s="6" t="n">
        <f aca="false">3yr_Scenarios!O51</f>
        <v>16.2912845304904</v>
      </c>
      <c r="G28" s="6" t="n">
        <f aca="false">3yr_Scenarios!P51</f>
        <v>39.2612509010652</v>
      </c>
      <c r="H28" s="6" t="n">
        <f aca="false">G28-$G$29</f>
        <v>14.5439737414333</v>
      </c>
      <c r="I28" s="10" t="n">
        <f aca="false">3yr_Scenarios!P19</f>
        <v>127.847836212142</v>
      </c>
    </row>
    <row r="29" customFormat="false" ht="15" hidden="false" customHeight="false" outlineLevel="0" collapsed="false">
      <c r="A29" s="0" t="s">
        <v>1365</v>
      </c>
      <c r="D29" s="6" t="n">
        <f aca="false">3yr_Scenarios!R40</f>
        <v>105.35723789798</v>
      </c>
      <c r="E29" s="6" t="n">
        <f aca="false">3yr_Scenarios!S40</f>
        <v>147.68605749578</v>
      </c>
      <c r="F29" s="6" t="n">
        <f aca="false">3yr_Scenarios!R51</f>
        <v>8.29844285013424</v>
      </c>
      <c r="G29" s="6" t="n">
        <f aca="false">3yr_Scenarios!S51</f>
        <v>24.7172771596319</v>
      </c>
      <c r="H29" s="6" t="n">
        <f aca="false">G29-$G$29</f>
        <v>0</v>
      </c>
      <c r="I29" s="10" t="n">
        <f aca="false">3yr_Scenarios!S19</f>
        <v>127.847836212142</v>
      </c>
    </row>
    <row r="30" customFormat="false" ht="15" hidden="false" customHeight="false" outlineLevel="0" collapsed="false">
      <c r="A30" s="0" t="s">
        <v>1366</v>
      </c>
      <c r="D30" s="6" t="n">
        <f aca="false">3yr_Scenarios!U40</f>
        <v>108.705045891612</v>
      </c>
      <c r="E30" s="6" t="n">
        <f aca="false">3yr_Scenarios!V40</f>
        <v>154.721171384605</v>
      </c>
      <c r="F30" s="6" t="n">
        <f aca="false">3yr_Scenarios!U51</f>
        <v>11.9944028923002</v>
      </c>
      <c r="G30" s="6" t="n">
        <f aca="false">3yr_Scenarios!V51</f>
        <v>32.194754758014</v>
      </c>
      <c r="H30" s="6" t="n">
        <f aca="false">G30-$G$29</f>
        <v>7.47747759838214</v>
      </c>
      <c r="I30" s="10" t="n">
        <f aca="false">3yr_Scenarios!V19</f>
        <v>115.063052590928</v>
      </c>
    </row>
    <row r="31" customFormat="false" ht="15" hidden="false" customHeight="false" outlineLevel="0" collapsed="false">
      <c r="A31" s="0" t="s">
        <v>1367</v>
      </c>
      <c r="D31" s="6" t="n">
        <f aca="false">3yr_Scenarios!X40</f>
        <v>103.68995387964</v>
      </c>
      <c r="E31" s="6" t="n">
        <f aca="false">3yr_Scenarios!Y40</f>
        <v>146.538944189011</v>
      </c>
      <c r="F31" s="6" t="n">
        <f aca="false">3yr_Scenarios!X51</f>
        <v>7.69752125410999</v>
      </c>
      <c r="G31" s="6" t="n">
        <f aca="false">3yr_Scenarios!Y51</f>
        <v>25.1282586149628</v>
      </c>
      <c r="H31" s="6" t="n">
        <f aca="false">G31-$G$29</f>
        <v>0.410981455330969</v>
      </c>
      <c r="I31" s="10" t="n">
        <f aca="false">3yr_Scenarios!Y19</f>
        <v>102.278268969714</v>
      </c>
    </row>
    <row r="32" customFormat="false" ht="15" hidden="false" customHeight="false" outlineLevel="0" collapsed="false">
      <c r="A32" s="3" t="s">
        <v>1368</v>
      </c>
      <c r="G32" s="8" t="n">
        <f aca="false">IFERROR(0.2*(G28-G29)/(G28-G31),0)</f>
        <v>0.205815915653405</v>
      </c>
    </row>
    <row r="34" customFormat="false" ht="15" hidden="false" customHeight="false" outlineLevel="0" collapsed="false">
      <c r="A34" s="18" t="s">
        <v>1369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customFormat="false" ht="28.35" hidden="false" customHeight="false" outlineLevel="0" collapsed="false">
      <c r="A35" s="5" t="s">
        <v>1309</v>
      </c>
      <c r="B35" s="5" t="s">
        <v>1370</v>
      </c>
      <c r="C35" s="5" t="s">
        <v>1371</v>
      </c>
      <c r="D35" s="5" t="s">
        <v>1372</v>
      </c>
      <c r="E35" s="5" t="s">
        <v>1373</v>
      </c>
      <c r="F35" s="5" t="s">
        <v>1374</v>
      </c>
    </row>
    <row r="36" customFormat="false" ht="15" hidden="false" customHeight="false" outlineLevel="0" collapsed="false">
      <c r="A36" s="0" t="s">
        <v>1375</v>
      </c>
      <c r="B36" s="0" t="s">
        <v>1323</v>
      </c>
      <c r="C36" s="0" t="s">
        <v>1326</v>
      </c>
      <c r="D36" s="10" t="n">
        <f aca="false">(Assumptions!$D$20*0.8)/(1+Assumptions!$D$15*Assumptions!$D$16)-Assumptions!$D$91-Assumptions!$D$103*(Assumptions!$D$99+Assumptions!$D$100)/Assumptions!$D$101/Assumptions!$D$102-(Assumptions!$D$20*0.8)*Assumptions!$D$70*Assumptions!$D$71-(Assumptions!$D$20*0.8)*Assumptions!$D$76-Assumptions!$D$115*Assumptions!$D$120</f>
        <v>25770.6214689266</v>
      </c>
      <c r="E36" s="10" t="n">
        <f aca="false">(Assumptions!$D$20*1.15)/(1+Assumptions!$D$15*Assumptions!$D$16)-Assumptions!$D$91-Assumptions!$D$103*(Assumptions!$D$99+Assumptions!$D$100)/Assumptions!$D$101/Assumptions!$D$102-(Assumptions!$D$20*1.15)*Assumptions!$D$70*Assumptions!$D$71-(Assumptions!$D$20*1.15)*Assumptions!$D$76-Assumptions!$D$115*Assumptions!$D$120</f>
        <v>48449.4350282486</v>
      </c>
      <c r="F36" s="10" t="n">
        <f aca="false">ABS(E36-D36)</f>
        <v>22678.813559322</v>
      </c>
    </row>
    <row r="37" customFormat="false" ht="15" hidden="false" customHeight="false" outlineLevel="0" collapsed="false">
      <c r="A37" s="0" t="s">
        <v>1376</v>
      </c>
      <c r="B37" s="0" t="s">
        <v>1323</v>
      </c>
      <c r="C37" s="0" t="s">
        <v>1324</v>
      </c>
      <c r="D37" s="10" t="n">
        <f aca="false">Assumptions!$D$20/(1+Assumptions!$D$15*Assumptions!$D$16)-Assumptions!$D$91-Assumptions!$D$103*(Assumptions!$D$99+Assumptions!$D$100)/Assumptions!$D$101/(Assumptions!$D$102*0.8)-Assumptions!$D$20*Assumptions!$D$70*Assumptions!$D$71-Assumptions!$D$20*Assumptions!$D$76-Assumptions!$D$115*Assumptions!$D$120</f>
        <v>36629.9435028249</v>
      </c>
      <c r="E37" s="10" t="n">
        <f aca="false">Assumptions!$D$20/(1+Assumptions!$D$15*Assumptions!$D$16)-Assumptions!$D$91-Assumptions!$D$103*(Assumptions!$D$99+Assumptions!$D$100)/Assumptions!$D$101/(Assumptions!$D$102*1.2)-Assumptions!$D$20*Assumptions!$D$70*Assumptions!$D$71-Assumptions!$D$20*Assumptions!$D$76-Assumptions!$D$115*Assumptions!$D$120</f>
        <v>40129.9435028249</v>
      </c>
      <c r="F37" s="10" t="n">
        <f aca="false">ABS(E37-D37)</f>
        <v>3500</v>
      </c>
    </row>
    <row r="38" customFormat="false" ht="15" hidden="false" customHeight="false" outlineLevel="0" collapsed="false">
      <c r="A38" s="0" t="s">
        <v>1377</v>
      </c>
      <c r="B38" s="0" t="s">
        <v>1329</v>
      </c>
      <c r="C38" s="0" t="s">
        <v>1330</v>
      </c>
      <c r="D38" s="10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1.3)</f>
        <v>35229.9435028249</v>
      </c>
      <c r="E38" s="10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0.7)</f>
        <v>42229.9435028249</v>
      </c>
      <c r="F38" s="10" t="n">
        <f aca="false">ABS(E38-D38)</f>
        <v>7000</v>
      </c>
    </row>
    <row r="39" customFormat="false" ht="15" hidden="false" customHeight="false" outlineLevel="0" collapsed="false">
      <c r="A39" s="0" t="s">
        <v>1378</v>
      </c>
      <c r="B39" s="0" t="s">
        <v>1332</v>
      </c>
      <c r="C39" s="0" t="s">
        <v>1333</v>
      </c>
      <c r="D39" s="10" t="n">
        <f aca="false">Assumptions!$D$20/(1+Assumptions!$D$15*Assumptions!$D$16)-(Assumptions!$D$91*1.25)-Assumptions!$D$103*(Assumptions!$D$99+Assumptions!$D$100)/Assumptions!$D$101/Assumptions!$D$102-Assumptions!$D$20*Assumptions!$D$70*Assumptions!$D$71-Assumptions!$D$20*Assumptions!$D$76-Assumptions!$D$115*Assumptions!$D$120</f>
        <v>37229.9435028249</v>
      </c>
      <c r="E39" s="10" t="n">
        <f aca="false">Assumptions!$D$20/(1+Assumptions!$D$15*Assumptions!$D$16)-(Assumptions!$D$91*0.75)-Assumptions!$D$103*(Assumptions!$D$99+Assumptions!$D$100)/Assumptions!$D$101/Assumptions!$D$102-Assumptions!$D$20*Assumptions!$D$70*Assumptions!$D$71-Assumptions!$D$20*Assumptions!$D$76-Assumptions!$D$115*Assumptions!$D$120</f>
        <v>40229.9435028249</v>
      </c>
      <c r="F39" s="10" t="n">
        <f aca="false">ABS(E39-D39)</f>
        <v>3000</v>
      </c>
    </row>
    <row r="40" customFormat="false" ht="15" hidden="false" customHeight="false" outlineLevel="0" collapsed="false">
      <c r="A40" s="0" t="s">
        <v>1379</v>
      </c>
      <c r="B40" s="0" t="s">
        <v>1380</v>
      </c>
      <c r="C40" s="0" t="s">
        <v>1381</v>
      </c>
      <c r="D40" s="10" t="n">
        <f aca="false">Assumptions!$D$20/(1+Assumptions!$D$15*Assumptions!$D$16)-Assumptions!$D$91-Assumptions!$D$103*(Assumptions!$D$99+Assumptions!$D$100)/Assumptions!$D$101/Assumptions!$D$102-Assumptions!$D$20*Assumptions!$D$70*(Assumptions!$D$71*1.4)-Assumptions!$D$20*Assumptions!$D$76-Assumptions!$D$115*Assumptions!$D$120</f>
        <v>38169.9435028249</v>
      </c>
      <c r="E40" s="10" t="n">
        <f aca="false">Assumptions!$D$20/(1+Assumptions!$D$15*Assumptions!$D$16)-Assumptions!$D$91-Assumptions!$D$103*(Assumptions!$D$99+Assumptions!$D$100)/Assumptions!$D$101/Assumptions!$D$102-Assumptions!$D$20*Assumptions!$D$70*(Assumptions!$D$71*0.6)-Assumptions!$D$20*Assumptions!$D$76-Assumptions!$D$115*Assumptions!$D$120</f>
        <v>39289.9435028249</v>
      </c>
      <c r="F40" s="10" t="n">
        <f aca="false">ABS(E40-D40)</f>
        <v>1120</v>
      </c>
    </row>
    <row r="41" customFormat="false" ht="15" hidden="false" customHeight="false" outlineLevel="0" collapsed="false">
      <c r="A41" s="3" t="s">
        <v>1382</v>
      </c>
      <c r="D41" s="10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Assumptions!$D$115*Assumptions!$D$120</f>
        <v>38729.9435028249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1383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1</v>
      </c>
      <c r="C3" s="13" t="s">
        <v>1386</v>
      </c>
      <c r="D3" s="37" t="n">
        <v>1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0</v>
      </c>
      <c r="R3" s="2" t="s">
        <v>1393</v>
      </c>
      <c r="S3" s="37" t="n">
        <v>1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1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1</v>
      </c>
      <c r="D9" s="10" t="n">
        <f aca="false">IF(2&gt;=$U$4,1,$D$3)</f>
        <v>1</v>
      </c>
      <c r="E9" s="10" t="n">
        <f aca="false">IF(3&gt;=$U$4,1,$D$3)</f>
        <v>1</v>
      </c>
      <c r="F9" s="10" t="n">
        <f aca="false">IF(4&gt;=$U$4,1,$D$3)</f>
        <v>1</v>
      </c>
      <c r="G9" s="10" t="n">
        <f aca="false">IF(5&gt;=$U$4,1,$D$3)</f>
        <v>1</v>
      </c>
      <c r="H9" s="10" t="n">
        <f aca="false">IF(6&gt;=$U$4,1,$D$3)</f>
        <v>1</v>
      </c>
      <c r="I9" s="10" t="n">
        <f aca="false">IF(7&gt;=$U$4,1,$D$3)</f>
        <v>1</v>
      </c>
      <c r="J9" s="10" t="n">
        <f aca="false">IF(8&gt;=$U$4,1,$D$3)</f>
        <v>1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0.933333333333333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0.866666666666667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0.8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0.733333333333333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0.666666666666667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0.6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0.566666666666667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0.533333333333333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1.65</v>
      </c>
      <c r="E15" s="16" t="n">
        <f aca="false">E14+(INDEX(Assumptions!$C$25:$E$25,E$9)*(1-(INDEX(Assumptions!$C$27:$E$27,$B$3)+INDEX(Assumptions!$C$28:$E$28,$B$3)+INDEX(Assumptions!$C$31:$E$31,$B$3)))-E14)*MIN(1,(3-1)/6)*$N$4</f>
        <v>1.8</v>
      </c>
      <c r="F15" s="16" t="n">
        <f aca="false">F14+(INDEX(Assumptions!$C$25:$E$25,F$9)*(1-(INDEX(Assumptions!$C$27:$E$27,$B$3)+INDEX(Assumptions!$C$28:$E$28,$B$3)+INDEX(Assumptions!$C$31:$E$31,$B$3)))-F14)*MIN(1,(4-1)/6)*$N$4</f>
        <v>1.95</v>
      </c>
      <c r="G15" s="16" t="n">
        <f aca="false">G14+(INDEX(Assumptions!$C$25:$E$25,G$9)*(1-(INDEX(Assumptions!$C$27:$E$27,$B$3)+INDEX(Assumptions!$C$28:$E$28,$B$3)+INDEX(Assumptions!$C$31:$E$31,$B$3)))-G14)*MIN(1,(5-1)/6)*$N$4</f>
        <v>2.1</v>
      </c>
      <c r="H15" s="16" t="n">
        <f aca="false">H14+(INDEX(Assumptions!$C$25:$E$25,H$9)*(1-(INDEX(Assumptions!$C$27:$E$27,$B$3)+INDEX(Assumptions!$C$28:$E$28,$B$3)+INDEX(Assumptions!$C$31:$E$31,$B$3)))-H14)*MIN(1,(6-1)/6)*$N$4</f>
        <v>2.25</v>
      </c>
      <c r="I15" s="16" t="n">
        <f aca="false">I14+(INDEX(Assumptions!$C$25:$E$25,I$9)*(1-(INDEX(Assumptions!$C$27:$E$27,$B$3)+INDEX(Assumptions!$C$28:$E$28,$B$3)+INDEX(Assumptions!$C$31:$E$31,$B$3)))-I14)*MIN(1,(7-1)/6)*$N$4</f>
        <v>2.4</v>
      </c>
      <c r="J15" s="16" t="n">
        <f aca="false">J14+(INDEX(Assumptions!$C$25:$E$25,J$9)*(1-(INDEX(Assumptions!$C$27:$E$27,$B$3)+INDEX(Assumptions!$C$28:$E$28,$B$3)+INDEX(Assumptions!$C$31:$E$31,$B$3)))-J14)*MIN(1,(8-1)/6)*$N$4</f>
        <v>2.4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25.65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0.6</v>
      </c>
      <c r="E16" s="16" t="n">
        <f aca="false">INDEX(Assumptions!$C$25:$E$25,E$9)*(INDEX(Assumptions!$C$27:$E$27,$B$3)+INDEX(Assumptions!$C$28:$E$28,$B$3)+INDEX(Assumptions!$C$31:$E$31,$B$3))*MIN(1,(3-1)/6)</f>
        <v>1.2</v>
      </c>
      <c r="F16" s="16" t="n">
        <f aca="false">INDEX(Assumptions!$C$25:$E$25,F$9)*(INDEX(Assumptions!$C$27:$E$27,$B$3)+INDEX(Assumptions!$C$28:$E$28,$B$3)+INDEX(Assumptions!$C$31:$E$31,$B$3))*MIN(1,(4-1)/6)</f>
        <v>1.8</v>
      </c>
      <c r="G16" s="16" t="n">
        <f aca="false">INDEX(Assumptions!$C$25:$E$25,G$9)*(INDEX(Assumptions!$C$27:$E$27,$B$3)+INDEX(Assumptions!$C$28:$E$28,$B$3)+INDEX(Assumptions!$C$31:$E$31,$B$3))*MIN(1,(5-1)/6)</f>
        <v>2.4</v>
      </c>
      <c r="H16" s="16" t="n">
        <f aca="false">INDEX(Assumptions!$C$25:$E$25,H$9)*(INDEX(Assumptions!$C$27:$E$27,$B$3)+INDEX(Assumptions!$C$28:$E$28,$B$3)+INDEX(Assumptions!$C$31:$E$31,$B$3))*MIN(1,(6-1)/6)</f>
        <v>3</v>
      </c>
      <c r="I16" s="16" t="n">
        <f aca="false">INDEX(Assumptions!$C$25:$E$25,I$9)*(INDEX(Assumptions!$C$27:$E$27,$B$3)+INDEX(Assumptions!$C$28:$E$28,$B$3)+INDEX(Assumptions!$C$31:$E$31,$B$3))*MIN(1,(7-1)/6)</f>
        <v>3.6</v>
      </c>
      <c r="J16" s="16" t="n">
        <f aca="false">INDEX(Assumptions!$C$25:$E$25,J$9)*(INDEX(Assumptions!$C$27:$E$27,$B$3)+INDEX(Assumptions!$C$28:$E$28,$B$3)+INDEX(Assumptions!$C$31:$E$31,$B$3))*MIN(1,(8-1)/6)</f>
        <v>3.6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30.6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1.5</v>
      </c>
      <c r="D17" s="16" t="n">
        <f aca="false">D15+D16</f>
        <v>2.25</v>
      </c>
      <c r="E17" s="16" t="n">
        <f aca="false">E15+E16</f>
        <v>3</v>
      </c>
      <c r="F17" s="16" t="n">
        <f aca="false">F15+F16</f>
        <v>3.75</v>
      </c>
      <c r="G17" s="16" t="n">
        <f aca="false">G15+G16</f>
        <v>4.5</v>
      </c>
      <c r="H17" s="16" t="n">
        <f aca="false">H15+H16</f>
        <v>5.25</v>
      </c>
      <c r="I17" s="16" t="n">
        <f aca="false">I15+I16</f>
        <v>6</v>
      </c>
      <c r="J17" s="16" t="n">
        <f aca="false">J15+J16</f>
        <v>6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56.25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10000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30000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35000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40000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40000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40000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40000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40000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40000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40000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40000</v>
      </c>
      <c r="O18" s="40" t="n">
        <f aca="false">SUM(C18:N18)</f>
        <v>410000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0.5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0.875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0.173597122302158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0.520791366906475</v>
      </c>
      <c r="F21" s="16" t="n">
        <f aca="false">F18*INDEX(Assumptions!$C$119:$E$119,$B$3)/F19</f>
        <v>0.607589928057554</v>
      </c>
      <c r="G21" s="16" t="n">
        <f aca="false">G18*INDEX(Assumptions!$C$119:$E$119,$B$3)/G19</f>
        <v>0.694388489208633</v>
      </c>
      <c r="H21" s="16" t="n">
        <f aca="false">H18*INDEX(Assumptions!$C$119:$E$119,$B$3)/H19</f>
        <v>0.694388489208633</v>
      </c>
      <c r="I21" s="16" t="n">
        <f aca="false">I18*INDEX(Assumptions!$C$119:$E$119,$B$3)/I19</f>
        <v>0.694388489208633</v>
      </c>
      <c r="J21" s="16" t="n">
        <f aca="false">J18*INDEX(Assumptions!$C$119:$E$119,$B$3)/J19</f>
        <v>0.694388489208633</v>
      </c>
      <c r="K21" s="16" t="n">
        <f aca="false">K18*INDEX(Assumptions!$C$119:$E$119,$B$3)/K19</f>
        <v>0.694388489208633</v>
      </c>
      <c r="L21" s="16" t="n">
        <f aca="false">L18*INDEX(Assumptions!$C$119:$E$119,$B$3)/L19</f>
        <v>0.694388489208633</v>
      </c>
      <c r="M21" s="16" t="n">
        <f aca="false">M18*INDEX(Assumptions!$C$119:$E$119,$B$3)/M19</f>
        <v>0.694388489208633</v>
      </c>
      <c r="N21" s="16" t="n">
        <f aca="false">N18*INDEX(Assumptions!$C$119:$E$119,$B$3)/N19</f>
        <v>0.694388489208633</v>
      </c>
      <c r="O21" s="38" t="n">
        <f aca="false">SUM(C21:N21)</f>
        <v>7.11748201438849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1.27889838129496</v>
      </c>
      <c r="E24" s="38" t="n">
        <f aca="false">E10*(E14*$F$3+(E15-E14)*$F$3*E20+MIN(E16,E21*E20))*E22*E23</f>
        <v>1.33727697841727</v>
      </c>
      <c r="F24" s="38" t="n">
        <f aca="false">F10*(F14*$F$3+(F15-F14)*$F$3*F20+MIN(F16,F21*F20))*F22*F23</f>
        <v>2.04607194244604</v>
      </c>
      <c r="G24" s="38" t="n">
        <f aca="false">G10*(G14*$F$3+(G15-G14)*$F$3*G20+MIN(G16,G21*G20))*G22*G23</f>
        <v>2.51494964028777</v>
      </c>
      <c r="H24" s="38" t="n">
        <f aca="false">H10*(H14*$F$3+(H15-H14)*$F$3*H20+MIN(H16,H21*H20))*H22*H23</f>
        <v>2.94438848920863</v>
      </c>
      <c r="I24" s="38" t="n">
        <f aca="false">I10*(I14*$F$3+(I15-I14)*$F$3*I20+MIN(I16,I21*I20))*I22*I23</f>
        <v>4.02270503597122</v>
      </c>
      <c r="J24" s="38" t="n">
        <f aca="false">J10*(J14*$F$3+(J15-J14)*$F$3*J20+MIN(J16,J21*J20))*J22*J23</f>
        <v>4.17742446043166</v>
      </c>
      <c r="K24" s="38" t="n">
        <f aca="false">K10*(K14*$F$3+(K15-K14)*$F$3*K20+MIN(K16,K21*K20))*K22*K23</f>
        <v>3.86798561151079</v>
      </c>
      <c r="L24" s="38" t="n">
        <f aca="false">L10*(L14*$F$3+(L15-L14)*$F$3*L20+MIN(L16,L21*L20))*L22*L23</f>
        <v>3.4038273381295</v>
      </c>
      <c r="M24" s="38" t="n">
        <f aca="false">M10*(M14*$F$3+(M15-M14)*$F$3*M20+MIN(M16,M21*M20))*M22*M23</f>
        <v>3.24910791366907</v>
      </c>
      <c r="N24" s="38" t="n">
        <f aca="false">N10*(N14*$F$3+(N15-N14)*$F$3*N20+MIN(N16,N21*N20))*N22*N23</f>
        <v>3.09438848920863</v>
      </c>
      <c r="O24" s="17" t="n">
        <f aca="false">SUM(C24:N24)</f>
        <v>33.1370242805755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</v>
      </c>
      <c r="O26" s="41" t="n">
        <f aca="false">N26</f>
        <v>2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14.4</v>
      </c>
      <c r="J27" s="6" t="n">
        <f aca="false">J25*J26*INDEX(Assumptions!$C$220:$E$220,$B$3)</f>
        <v>14.4</v>
      </c>
      <c r="K27" s="6" t="n">
        <f aca="false">K25*K26*INDEX(Assumptions!$C$220:$E$220,$B$3)</f>
        <v>14.4</v>
      </c>
      <c r="L27" s="6" t="n">
        <f aca="false">L25*L26*INDEX(Assumptions!$C$220:$E$220,$B$3)</f>
        <v>14.4</v>
      </c>
      <c r="M27" s="6" t="n">
        <f aca="false">M25*M26*INDEX(Assumptions!$C$220:$E$220,$B$3)</f>
        <v>14.4</v>
      </c>
      <c r="N27" s="6" t="n">
        <f aca="false">N25*N26*INDEX(Assumptions!$C$220:$E$220,$B$3)</f>
        <v>14.4</v>
      </c>
      <c r="O27" s="41" t="n">
        <f aca="false">N27</f>
        <v>14.4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1.38944919064748</v>
      </c>
      <c r="F31" s="6" t="n">
        <f aca="false">E34+D34+E37+D37+1.25*E35</f>
        <v>1.61794997751799</v>
      </c>
      <c r="G31" s="6" t="n">
        <f aca="false">F34+E34+F37+E37+1.25*F35</f>
        <v>2.01869638039568</v>
      </c>
      <c r="H31" s="6" t="n">
        <f aca="false">G34+F34+G37+F37+1.25*G35</f>
        <v>2.70342940647482</v>
      </c>
      <c r="I31" s="6" t="n">
        <f aca="false">H34+G34+H37+G37+1.25*H35</f>
        <v>3.29979676258993</v>
      </c>
      <c r="J31" s="6" t="n">
        <f aca="false">I34+H34+I37+H37+1.25*I35</f>
        <v>4.16596402877698</v>
      </c>
      <c r="K31" s="6" t="n">
        <f aca="false">J34+I34+J37+I37+1.25*J35</f>
        <v>4.97095143884892</v>
      </c>
      <c r="L31" s="6" t="n">
        <f aca="false">K34+J34+K37+J37+1.25*K35</f>
        <v>5.04772122302158</v>
      </c>
      <c r="M31" s="6" t="n">
        <f aca="false">L34+K34+L37+K37+1.25*L35</f>
        <v>4.64158273381295</v>
      </c>
      <c r="N31" s="6" t="n">
        <f aca="false">M34+L34+M37+L37+1.25*M35</f>
        <v>4.23544424460432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1.42889838129496</v>
      </c>
      <c r="E32" s="6" t="n">
        <f aca="false">E24*(INDEX(Assumptions!$C$26:$E$26,$B$3)*(1-E28)+(1-INDEX(Assumptions!$C$26:$E$26,$B$3)))+1.25*E30+D36*INDEX(Assumptions!$C$89:$E$89,$B$3)</f>
        <v>1.49713927607914</v>
      </c>
      <c r="F32" s="6" t="n">
        <f aca="false">F24*(INDEX(Assumptions!$C$26:$E$26,$B$3)*(1-F28)+(1-INDEX(Assumptions!$C$26:$E$26,$B$3)))+1.25*F30+E36*INDEX(Assumptions!$C$89:$E$89,$B$3)</f>
        <v>2.2132315647482</v>
      </c>
      <c r="G32" s="6" t="n">
        <f aca="false">G24*(INDEX(Assumptions!$C$26:$E$26,$B$3)*(1-G28)+(1-INDEX(Assumptions!$C$26:$E$26,$B$3)))+1.25*G30+F36*INDEX(Assumptions!$C$89:$E$89,$B$3)</f>
        <v>2.77070863309353</v>
      </c>
      <c r="H32" s="6" t="n">
        <f aca="false">H24*(INDEX(Assumptions!$C$26:$E$26,$B$3)*(1-H28)+(1-INDEX(Assumptions!$C$26:$E$26,$B$3)))+1.25*H30+G36*INDEX(Assumptions!$C$89:$E$89,$B$3)</f>
        <v>3.25875719424461</v>
      </c>
      <c r="I32" s="6" t="n">
        <f aca="false">I24*(INDEX(Assumptions!$C$26:$E$26,$B$3)*(1-I28)+(1-INDEX(Assumptions!$C$26:$E$26,$B$3)))+1.25*I30+H36*INDEX(Assumptions!$C$89:$E$89,$B$3)</f>
        <v>4.3907535971223</v>
      </c>
      <c r="J32" s="6" t="n">
        <f aca="false">J24*(INDEX(Assumptions!$C$26:$E$26,$B$3)*(1-J28)+(1-INDEX(Assumptions!$C$26:$E$26,$B$3)))+1.25*J30+I36*INDEX(Assumptions!$C$89:$E$89,$B$3)</f>
        <v>4.68026258992806</v>
      </c>
      <c r="K32" s="6" t="n">
        <f aca="false">K24*(INDEX(Assumptions!$C$26:$E$26,$B$3)*(1-K28)+(1-INDEX(Assumptions!$C$26:$E$26,$B$3)))+1.25*K30+J36*INDEX(Assumptions!$C$89:$E$89,$B$3)</f>
        <v>4.39016366906475</v>
      </c>
      <c r="L32" s="6" t="n">
        <f aca="false">L24*(INDEX(Assumptions!$C$26:$E$26,$B$3)*(1-L28)+(1-INDEX(Assumptions!$C$26:$E$26,$B$3)))+1.25*L30+K36*INDEX(Assumptions!$C$89:$E$89,$B$3)</f>
        <v>3.88732553956835</v>
      </c>
      <c r="M32" s="6" t="n">
        <f aca="false">M24*(INDEX(Assumptions!$C$26:$E$26,$B$3)*(1-M28)+(1-INDEX(Assumptions!$C$26:$E$26,$B$3)))+1.25*M30+L36*INDEX(Assumptions!$C$89:$E$89,$B$3)</f>
        <v>3.67458633093525</v>
      </c>
      <c r="N32" s="6" t="n">
        <f aca="false">N24*(INDEX(Assumptions!$C$26:$E$26,$B$3)*(1-N28)+(1-INDEX(Assumptions!$C$26:$E$26,$B$3)))+1.25*N30+M36*INDEX(Assumptions!$C$89:$E$89,$B$3)</f>
        <v>3.50052697841727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0.639449190647482</v>
      </c>
      <c r="E34" s="38" t="n">
        <f aca="false">E24*INDEX(Assumptions!$C$26:$E$26,$B$3)*(1-E28)*E33</f>
        <v>0.668638489208633</v>
      </c>
      <c r="F34" s="38" t="n">
        <f aca="false">F24*INDEX(Assumptions!$C$26:$E$26,$B$3)*(1-F28)*F33</f>
        <v>1.02303597122302</v>
      </c>
      <c r="G34" s="38" t="n">
        <f aca="false">G24*INDEX(Assumptions!$C$26:$E$26,$B$3)*(1-G28)*G33</f>
        <v>1.25747482014389</v>
      </c>
      <c r="H34" s="38" t="n">
        <f aca="false">H24*INDEX(Assumptions!$C$26:$E$26,$B$3)*(1-H28)*H33</f>
        <v>1.47219424460432</v>
      </c>
      <c r="I34" s="38" t="n">
        <f aca="false">I24*INDEX(Assumptions!$C$26:$E$26,$B$3)*(1-I28)*I33</f>
        <v>2.01135251798561</v>
      </c>
      <c r="J34" s="38" t="n">
        <f aca="false">J24*INDEX(Assumptions!$C$26:$E$26,$B$3)*(1-J28)*J33</f>
        <v>2.08871223021583</v>
      </c>
      <c r="K34" s="38" t="n">
        <f aca="false">K24*INDEX(Assumptions!$C$26:$E$26,$B$3)*(1-K28)*K33</f>
        <v>1.9339928057554</v>
      </c>
      <c r="L34" s="38" t="n">
        <f aca="false">L24*INDEX(Assumptions!$C$26:$E$26,$B$3)*(1-L28)*L33</f>
        <v>1.70191366906475</v>
      </c>
      <c r="M34" s="38" t="n">
        <f aca="false">M24*INDEX(Assumptions!$C$26:$E$26,$B$3)*(1-M28)*M33</f>
        <v>1.62455395683453</v>
      </c>
      <c r="N34" s="38" t="n">
        <f aca="false">N24*INDEX(Assumptions!$C$26:$E$26,$B$3)*(1-N28)*N33</f>
        <v>1.54719424460432</v>
      </c>
      <c r="O34" s="17" t="n">
        <f aca="false">SUM(C34:N34)</f>
        <v>16.5685121402878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0.6</v>
      </c>
      <c r="D36" s="16" t="n">
        <f aca="false">D24*(1-INDEX(Assumptions!$C$26:$E$26,$B$3))*D33</f>
        <v>0.639449190647482</v>
      </c>
      <c r="E36" s="16" t="n">
        <f aca="false">E24*(1-INDEX(Assumptions!$C$26:$E$26,$B$3))*E33</f>
        <v>0.668638489208633</v>
      </c>
      <c r="F36" s="16" t="n">
        <f aca="false">F24*(1-INDEX(Assumptions!$C$26:$E$26,$B$3))*F33</f>
        <v>1.02303597122302</v>
      </c>
      <c r="G36" s="16" t="n">
        <f aca="false">G24*(1-INDEX(Assumptions!$C$26:$E$26,$B$3))*G33</f>
        <v>1.25747482014389</v>
      </c>
      <c r="H36" s="16" t="n">
        <f aca="false">H24*(1-INDEX(Assumptions!$C$26:$E$26,$B$3))*H33</f>
        <v>1.47219424460432</v>
      </c>
      <c r="I36" s="16" t="n">
        <f aca="false">I24*(1-INDEX(Assumptions!$C$26:$E$26,$B$3))*I33</f>
        <v>2.01135251798561</v>
      </c>
      <c r="J36" s="16" t="n">
        <f aca="false">J24*(1-INDEX(Assumptions!$C$26:$E$26,$B$3))*J33</f>
        <v>2.08871223021583</v>
      </c>
      <c r="K36" s="16" t="n">
        <f aca="false">K24*(1-INDEX(Assumptions!$C$26:$E$26,$B$3))*K33</f>
        <v>1.9339928057554</v>
      </c>
      <c r="L36" s="16" t="n">
        <f aca="false">L24*(1-INDEX(Assumptions!$C$26:$E$26,$B$3))*L33</f>
        <v>1.70191366906475</v>
      </c>
      <c r="M36" s="16" t="n">
        <f aca="false">M24*(1-INDEX(Assumptions!$C$26:$E$26,$B$3))*M33</f>
        <v>1.62455395683453</v>
      </c>
      <c r="N36" s="16" t="n">
        <f aca="false">N24*(1-INDEX(Assumptions!$C$26:$E$26,$B$3))*N33</f>
        <v>1.54719424460432</v>
      </c>
      <c r="O36" s="38" t="n">
        <f aca="false">SUM(C36:N36)</f>
        <v>16.5685121402878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0.159862297661871</v>
      </c>
      <c r="F37" s="16" t="n">
        <f aca="false">E36*INDEX(Assumptions!$C$89:$E$89,$B$3)*F33</f>
        <v>0.167159622302158</v>
      </c>
      <c r="G37" s="16" t="n">
        <f aca="false">F36*INDEX(Assumptions!$C$89:$E$89,$B$3)*G33</f>
        <v>0.255758992805755</v>
      </c>
      <c r="H37" s="16" t="n">
        <f aca="false">G36*INDEX(Assumptions!$C$89:$E$89,$B$3)*H33</f>
        <v>0.314368705035971</v>
      </c>
      <c r="I37" s="16" t="n">
        <f aca="false">H36*INDEX(Assumptions!$C$89:$E$89,$B$3)*I33</f>
        <v>0.368048561151079</v>
      </c>
      <c r="J37" s="16" t="n">
        <f aca="false">I36*INDEX(Assumptions!$C$89:$E$89,$B$3)*J33</f>
        <v>0.502838129496403</v>
      </c>
      <c r="K37" s="16" t="n">
        <f aca="false">J36*INDEX(Assumptions!$C$89:$E$89,$B$3)*K33</f>
        <v>0.522178057553957</v>
      </c>
      <c r="L37" s="16" t="n">
        <f aca="false">K36*INDEX(Assumptions!$C$89:$E$89,$B$3)*L33</f>
        <v>0.483498201438849</v>
      </c>
      <c r="M37" s="16" t="n">
        <f aca="false">L36*INDEX(Assumptions!$C$89:$E$89,$B$3)*M33</f>
        <v>0.425478417266187</v>
      </c>
      <c r="N37" s="16" t="n">
        <f aca="false">M36*INDEX(Assumptions!$C$89:$E$89,$B$3)*N33</f>
        <v>0.406138489208633</v>
      </c>
      <c r="O37" s="38" t="n">
        <f aca="false">SUM(C37:N37)</f>
        <v>3.75532947392086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1.2</v>
      </c>
      <c r="D38" s="38" t="n">
        <f aca="false">D34+D35+D36</f>
        <v>1.27889838129496</v>
      </c>
      <c r="E38" s="38" t="n">
        <f aca="false">E34+E35+E36</f>
        <v>1.33727697841727</v>
      </c>
      <c r="F38" s="38" t="n">
        <f aca="false">F34+F35+F36</f>
        <v>2.04607194244604</v>
      </c>
      <c r="G38" s="38" t="n">
        <f aca="false">G34+G35+G36</f>
        <v>2.51494964028777</v>
      </c>
      <c r="H38" s="38" t="n">
        <f aca="false">H34+H35+H36</f>
        <v>2.94438848920863</v>
      </c>
      <c r="I38" s="38" t="n">
        <f aca="false">I34+I35+I36</f>
        <v>4.02270503597122</v>
      </c>
      <c r="J38" s="38" t="n">
        <f aca="false">J34+J35+J36</f>
        <v>4.17742446043166</v>
      </c>
      <c r="K38" s="38" t="n">
        <f aca="false">K34+K35+K36</f>
        <v>3.86798561151079</v>
      </c>
      <c r="L38" s="38" t="n">
        <f aca="false">L34+L35+L36</f>
        <v>3.4038273381295</v>
      </c>
      <c r="M38" s="38" t="n">
        <f aca="false">M34+M35+M36</f>
        <v>3.24910791366907</v>
      </c>
      <c r="N38" s="38" t="n">
        <f aca="false">N34+N35+N36</f>
        <v>3.09438848920863</v>
      </c>
      <c r="O38" s="17" t="n">
        <f aca="false">SUM(C38:N38)</f>
        <v>33.1370242805755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1.27889838129496</v>
      </c>
      <c r="E39" s="16" t="n">
        <f aca="false">IF(3&lt;IF($Q$3=1,$Q$4+1,INDEX(Assumptions!$C$215:$E$215,$D$3)),E24,E38)</f>
        <v>1.33727697841727</v>
      </c>
      <c r="F39" s="16" t="n">
        <f aca="false">IF(4&lt;IF($Q$3=1,$Q$4+1,INDEX(Assumptions!$C$215:$E$215,$D$3)),F24,F38)</f>
        <v>2.04607194244604</v>
      </c>
      <c r="G39" s="16" t="n">
        <f aca="false">IF(5&lt;IF($Q$3=1,$Q$4+1,INDEX(Assumptions!$C$215:$E$215,$D$3)),G24,G38)</f>
        <v>2.51494964028777</v>
      </c>
      <c r="H39" s="16" t="n">
        <f aca="false">IF(6&lt;IF($Q$3=1,$Q$4+1,INDEX(Assumptions!$C$215:$E$215,$D$3)),H24,H38)</f>
        <v>2.94438848920863</v>
      </c>
      <c r="I39" s="16" t="n">
        <f aca="false">IF(7&lt;IF($Q$3=1,$Q$4+1,INDEX(Assumptions!$C$215:$E$215,$D$3)),I24,I38)</f>
        <v>4.02270503597122</v>
      </c>
      <c r="J39" s="16" t="n">
        <f aca="false">IF(8&lt;IF($Q$3=1,$Q$4+1,INDEX(Assumptions!$C$215:$E$215,$D$3)),J24,J38)</f>
        <v>4.17742446043166</v>
      </c>
      <c r="K39" s="16" t="n">
        <f aca="false">IF(9&lt;IF($Q$3=1,$Q$4+1,INDEX(Assumptions!$C$215:$E$215,$D$3)),K24,K38)</f>
        <v>3.86798561151079</v>
      </c>
      <c r="L39" s="16" t="n">
        <f aca="false">IF(10&lt;IF($Q$3=1,$Q$4+1,INDEX(Assumptions!$C$215:$E$215,$D$3)),L24,L38)</f>
        <v>3.4038273381295</v>
      </c>
      <c r="M39" s="16" t="n">
        <f aca="false">IF(11&lt;IF($Q$3=1,$Q$4+1,INDEX(Assumptions!$C$215:$E$215,$D$3)),M24,M38)</f>
        <v>3.24910791366907</v>
      </c>
      <c r="N39" s="16" t="n">
        <f aca="false">IF(12&lt;IF($Q$3=1,$Q$4+1,INDEX(Assumptions!$C$215:$E$215,$D$3)),N24,N38)</f>
        <v>3.09438848920863</v>
      </c>
      <c r="O39" s="38" t="n">
        <f aca="false">SUM(C39:N39)</f>
        <v>33.1370242805755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0.18</v>
      </c>
      <c r="D40" s="16" t="n">
        <f aca="false">D38*INDEX(Assumptions!$C$74:$E$74,$B$3)</f>
        <v>0.191834757194245</v>
      </c>
      <c r="E40" s="16" t="n">
        <f aca="false">E38*INDEX(Assumptions!$C$74:$E$74,$B$3)</f>
        <v>0.20059154676259</v>
      </c>
      <c r="F40" s="16" t="n">
        <f aca="false">F38*INDEX(Assumptions!$C$74:$E$74,$B$3)</f>
        <v>0.306910791366907</v>
      </c>
      <c r="G40" s="16" t="n">
        <f aca="false">G38*INDEX(Assumptions!$C$74:$E$74,$B$3)</f>
        <v>0.377242446043166</v>
      </c>
      <c r="H40" s="16" t="n">
        <f aca="false">H38*INDEX(Assumptions!$C$74:$E$74,$B$3)</f>
        <v>0.441658273381295</v>
      </c>
      <c r="I40" s="16" t="n">
        <f aca="false">I38*INDEX(Assumptions!$C$74:$E$74,$B$3)</f>
        <v>0.603405755395684</v>
      </c>
      <c r="J40" s="16" t="n">
        <f aca="false">J38*INDEX(Assumptions!$C$74:$E$74,$B$3)</f>
        <v>0.626613669064748</v>
      </c>
      <c r="K40" s="16" t="n">
        <f aca="false">K38*INDEX(Assumptions!$C$74:$E$74,$B$3)</f>
        <v>0.580197841726619</v>
      </c>
      <c r="L40" s="16" t="n">
        <f aca="false">L38*INDEX(Assumptions!$C$74:$E$74,$B$3)</f>
        <v>0.510574100719425</v>
      </c>
      <c r="M40" s="16" t="n">
        <f aca="false">M38*INDEX(Assumptions!$C$74:$E$74,$B$3)</f>
        <v>0.48736618705036</v>
      </c>
      <c r="N40" s="16" t="n">
        <f aca="false">N38*INDEX(Assumptions!$C$74:$E$74,$B$3)</f>
        <v>0.464158273381295</v>
      </c>
      <c r="O40" s="38" t="n">
        <f aca="false">SUM(C40:N40)</f>
        <v>4.97055364208633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0.182276978417266</v>
      </c>
      <c r="F41" s="16" t="n">
        <f aca="false">F10*MIN(F16,F21*F20)*F22*F23*F33</f>
        <v>0.486071942446043</v>
      </c>
      <c r="G41" s="16" t="n">
        <f aca="false">G10*MIN(G16,G21*G20)*G22*G23*G33</f>
        <v>0.62494964028777</v>
      </c>
      <c r="H41" s="16" t="n">
        <f aca="false">H10*MIN(H16,H21*H20)*H22*H23*H33</f>
        <v>0.694388489208633</v>
      </c>
      <c r="I41" s="16" t="n">
        <f aca="false">I10*MIN(I16,I21*I20)*I22*I23*I33</f>
        <v>0.902705035971223</v>
      </c>
      <c r="J41" s="16" t="n">
        <f aca="false">J10*MIN(J16,J21*J20)*J22*J23*J33</f>
        <v>0.937424460431655</v>
      </c>
      <c r="K41" s="16" t="n">
        <f aca="false">K10*MIN(K16,K21*K20)*K22*K23*K33</f>
        <v>0.867985611510792</v>
      </c>
      <c r="L41" s="16" t="n">
        <f aca="false">L10*MIN(L16,L21*L20)*L22*L23*L33</f>
        <v>0.763827338129497</v>
      </c>
      <c r="M41" s="16" t="n">
        <f aca="false">M10*MIN(M16,M21*M20)*M22*M23*M33</f>
        <v>0.729107913669065</v>
      </c>
      <c r="N41" s="16" t="n">
        <f aca="false">N10*MIN(N16,N21*N20)*N22*N23*N33</f>
        <v>0.694388489208633</v>
      </c>
      <c r="O41" s="38" t="n">
        <f aca="false">SUM(C41:N41)</f>
        <v>6.98077428057554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1.2</v>
      </c>
      <c r="D42" s="6" t="n">
        <f aca="false">D31+D34+D37+D36+1.25*D35</f>
        <v>2.02889838129496</v>
      </c>
      <c r="E42" s="6" t="n">
        <f aca="false">E31+E34+E37+E36+1.25*E35</f>
        <v>2.88658846672662</v>
      </c>
      <c r="F42" s="6" t="n">
        <f aca="false">F31+F34+F37+F36+1.25*F35</f>
        <v>3.83118154226619</v>
      </c>
      <c r="G42" s="6" t="n">
        <f aca="false">G31+G34+G37+G36+1.25*G35</f>
        <v>4.78940501348921</v>
      </c>
      <c r="H42" s="6" t="n">
        <f aca="false">H31+H34+H37+H36+1.25*H35</f>
        <v>5.96218660071943</v>
      </c>
      <c r="I42" s="6" t="n">
        <f aca="false">I31+I34+I37+I36+1.25*I35</f>
        <v>7.69055035971223</v>
      </c>
      <c r="J42" s="6" t="n">
        <f aca="false">J31+J34+J37+J36+1.25*J35</f>
        <v>8.84622661870504</v>
      </c>
      <c r="K42" s="6" t="n">
        <f aca="false">K31+K34+K37+K36+1.25*K35</f>
        <v>9.36111510791367</v>
      </c>
      <c r="L42" s="6" t="n">
        <f aca="false">L31+L34+L37+L36+1.25*L35</f>
        <v>8.93504676258993</v>
      </c>
      <c r="M42" s="6" t="n">
        <f aca="false">M31+M34+M37+M36+1.25*M35</f>
        <v>8.3161690647482</v>
      </c>
      <c r="N42" s="6" t="n">
        <f aca="false">N31+N34+N37+N36+1.25*N35</f>
        <v>7.73597122302158</v>
      </c>
      <c r="O42" s="41" t="n">
        <f aca="false">AVERAGE(C42:N42)</f>
        <v>5.96527826176559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0.075</v>
      </c>
      <c r="D43" s="39" t="n">
        <f aca="false">D42/(D25*D26)</f>
        <v>0.126806148830935</v>
      </c>
      <c r="E43" s="39" t="n">
        <f aca="false">E42/(E25*E26)</f>
        <v>0.180411779170414</v>
      </c>
      <c r="F43" s="39" t="n">
        <f aca="false">F42/(F25*F26)</f>
        <v>0.239448846391637</v>
      </c>
      <c r="G43" s="39" t="n">
        <f aca="false">G42/(G25*G26)</f>
        <v>0.299337813343076</v>
      </c>
      <c r="H43" s="39" t="n">
        <f aca="false">H42/(H25*H26)</f>
        <v>0.372636662544964</v>
      </c>
      <c r="I43" s="39" t="n">
        <f aca="false">I42/(I25*I26)</f>
        <v>0.480659397482014</v>
      </c>
      <c r="J43" s="39" t="n">
        <f aca="false">J42/(J25*J26)</f>
        <v>0.552889163669065</v>
      </c>
      <c r="K43" s="39" t="n">
        <f aca="false">K42/(K25*K26)</f>
        <v>0.585069694244604</v>
      </c>
      <c r="L43" s="39" t="n">
        <f aca="false">L42/(L25*L26)</f>
        <v>0.558440422661871</v>
      </c>
      <c r="M43" s="39" t="n">
        <f aca="false">M42/(M25*M26)</f>
        <v>0.519760566546763</v>
      </c>
      <c r="N43" s="39" t="n">
        <f aca="false">N42/(N25*N26)</f>
        <v>0.483498201438849</v>
      </c>
      <c r="O43" s="9" t="n">
        <f aca="false">N43</f>
        <v>0.483498201438849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1.5</v>
      </c>
      <c r="F46" s="6" t="n">
        <f aca="false">IF(4&gt;=3,INDEX(Assumptions!$C$234:$E$234,F$9)*INDEX(Assumptions!$C$235:$E$235,$B$3)*MIN(1,(4-2)/6),0)*$F$3*F22*$W$3</f>
        <v>3</v>
      </c>
      <c r="G46" s="6" t="n">
        <f aca="false">IF(5&gt;=3,INDEX(Assumptions!$C$234:$E$234,G$9)*INDEX(Assumptions!$C$235:$E$235,$B$3)*MIN(1,(5-2)/6),0)*$F$3*G22*$W$3</f>
        <v>4.5</v>
      </c>
      <c r="H46" s="6" t="n">
        <f aca="false">IF(6&gt;=3,INDEX(Assumptions!$C$234:$E$234,H$9)*INDEX(Assumptions!$C$235:$E$235,$B$3)*MIN(1,(6-2)/6),0)*$F$3*H22*$W$3</f>
        <v>6</v>
      </c>
      <c r="I46" s="6" t="n">
        <f aca="false">IF(7&gt;=3,INDEX(Assumptions!$C$234:$E$234,I$9)*INDEX(Assumptions!$C$235:$E$235,$B$3)*MIN(1,(7-2)/6),0)*$F$3*I22*$W$3</f>
        <v>7.5</v>
      </c>
      <c r="J46" s="6" t="n">
        <f aca="false">IF(8&gt;=3,INDEX(Assumptions!$C$234:$E$234,J$9)*INDEX(Assumptions!$C$235:$E$235,$B$3)*MIN(1,(8-2)/6),0)*$F$3*J22*$W$3</f>
        <v>9</v>
      </c>
      <c r="K46" s="6" t="n">
        <f aca="false">IF(9&gt;=3,INDEX(Assumptions!$C$234:$E$234,K$9)*INDEX(Assumptions!$C$235:$E$235,$B$3)*MIN(1,(9-2)/6),0)*$F$3*K22*$W$3</f>
        <v>9</v>
      </c>
      <c r="L46" s="6" t="n">
        <f aca="false">IF(10&gt;=3,INDEX(Assumptions!$C$234:$E$234,L$9)*INDEX(Assumptions!$C$235:$E$235,$B$3)*MIN(1,(10-2)/6),0)*$F$3*L22*$W$3</f>
        <v>9</v>
      </c>
      <c r="M46" s="6" t="n">
        <f aca="false">IF(11&gt;=3,INDEX(Assumptions!$C$234:$E$234,M$9)*INDEX(Assumptions!$C$235:$E$235,$B$3)*MIN(1,(11-2)/6),0)*$F$3*M22*$W$3</f>
        <v>9</v>
      </c>
      <c r="N46" s="6" t="n">
        <f aca="false">IF(12&gt;=3,INDEX(Assumptions!$C$234:$E$234,N$9)*INDEX(Assumptions!$C$235:$E$235,$B$3)*MIN(1,(12-2)/6),0)*$F$3*N22*$W$3</f>
        <v>9</v>
      </c>
      <c r="O46" s="41" t="n">
        <f aca="false">SUM(C46:N46)</f>
        <v>67.5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4.66666666666667</v>
      </c>
      <c r="D47" s="6" t="n">
        <f aca="false">INDEX(Assumptions!$C$236:$E$236,D$9)*D11*MIN(1,2/3)*$F$3*D22</f>
        <v>8</v>
      </c>
      <c r="E47" s="6" t="n">
        <f aca="false">INDEX(Assumptions!$C$236:$E$236,E$9)*E11*MIN(1,3/3)*$F$3*E22</f>
        <v>12</v>
      </c>
      <c r="F47" s="6" t="n">
        <f aca="false">INDEX(Assumptions!$C$236:$E$236,F$9)*F11*MIN(1,4/3)*$F$3*F22</f>
        <v>13</v>
      </c>
      <c r="G47" s="6" t="n">
        <f aca="false">INDEX(Assumptions!$C$236:$E$236,G$9)*G11*MIN(1,5/3)*$F$3*G22</f>
        <v>9</v>
      </c>
      <c r="H47" s="6" t="n">
        <f aca="false">INDEX(Assumptions!$C$236:$E$236,H$9)*H11*MIN(1,6/3)*$F$3*H22</f>
        <v>8</v>
      </c>
      <c r="I47" s="6" t="n">
        <f aca="false">INDEX(Assumptions!$C$236:$E$236,I$9)*I11*MIN(1,7/3)*$F$3*I22</f>
        <v>7</v>
      </c>
      <c r="J47" s="6" t="n">
        <f aca="false">INDEX(Assumptions!$C$236:$E$236,J$9)*J11*MIN(1,8/3)*$F$3*J22</f>
        <v>6</v>
      </c>
      <c r="K47" s="6" t="n">
        <f aca="false">INDEX(Assumptions!$C$236:$E$236,K$9)*K11*MIN(1,9/3)*$F$3*K22</f>
        <v>6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106.666666666667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2.13149730215827</v>
      </c>
      <c r="E48" s="6" t="n">
        <f aca="false">E24*INDEX(Assumptions!$C$31:$E$31,$B$3)/(INDEX(Assumptions!$C$56:$E$56,$B$3)*INDEX(Assumptions!$C$57:$E$57,$B$3)*INDEX(Assumptions!$C$58:$E$58,$B$3))</f>
        <v>2.22879496402878</v>
      </c>
      <c r="F48" s="6" t="n">
        <f aca="false">F24*INDEX(Assumptions!$C$31:$E$31,$B$3)/(INDEX(Assumptions!$C$56:$E$56,$B$3)*INDEX(Assumptions!$C$57:$E$57,$B$3)*INDEX(Assumptions!$C$58:$E$58,$B$3))</f>
        <v>3.41011990407674</v>
      </c>
      <c r="G48" s="6" t="n">
        <f aca="false">G24*INDEX(Assumptions!$C$31:$E$31,$B$3)/(INDEX(Assumptions!$C$56:$E$56,$B$3)*INDEX(Assumptions!$C$57:$E$57,$B$3)*INDEX(Assumptions!$C$58:$E$58,$B$3))</f>
        <v>4.19158273381295</v>
      </c>
      <c r="H48" s="6" t="n">
        <f aca="false">H24*INDEX(Assumptions!$C$31:$E$31,$B$3)/(INDEX(Assumptions!$C$56:$E$56,$B$3)*INDEX(Assumptions!$C$57:$E$57,$B$3)*INDEX(Assumptions!$C$58:$E$58,$B$3))</f>
        <v>4.90731414868106</v>
      </c>
      <c r="I48" s="6" t="n">
        <f aca="false">I24*INDEX(Assumptions!$C$31:$E$31,$B$3)/(INDEX(Assumptions!$C$56:$E$56,$B$3)*INDEX(Assumptions!$C$57:$E$57,$B$3)*INDEX(Assumptions!$C$58:$E$58,$B$3))</f>
        <v>6.70450839328537</v>
      </c>
      <c r="J48" s="6" t="n">
        <f aca="false">J24*INDEX(Assumptions!$C$31:$E$31,$B$3)/(INDEX(Assumptions!$C$56:$E$56,$B$3)*INDEX(Assumptions!$C$57:$E$57,$B$3)*INDEX(Assumptions!$C$58:$E$58,$B$3))</f>
        <v>6.96237410071943</v>
      </c>
      <c r="K48" s="6" t="n">
        <f aca="false">K24*INDEX(Assumptions!$C$31:$E$31,$B$3)/(INDEX(Assumptions!$C$56:$E$56,$B$3)*INDEX(Assumptions!$C$57:$E$57,$B$3)*INDEX(Assumptions!$C$58:$E$58,$B$3))</f>
        <v>6.44664268585132</v>
      </c>
      <c r="L48" s="6" t="n">
        <f aca="false">L24*INDEX(Assumptions!$C$31:$E$31,$B$3)/(INDEX(Assumptions!$C$56:$E$56,$B$3)*INDEX(Assumptions!$C$57:$E$57,$B$3)*INDEX(Assumptions!$C$58:$E$58,$B$3))</f>
        <v>5.67304556354916</v>
      </c>
      <c r="M48" s="6" t="n">
        <f aca="false">M24*INDEX(Assumptions!$C$31:$E$31,$B$3)/(INDEX(Assumptions!$C$56:$E$56,$B$3)*INDEX(Assumptions!$C$57:$E$57,$B$3)*INDEX(Assumptions!$C$58:$E$58,$B$3))</f>
        <v>5.41517985611511</v>
      </c>
      <c r="N48" s="6" t="n">
        <f aca="false">N24*INDEX(Assumptions!$C$31:$E$31,$B$3)/(INDEX(Assumptions!$C$56:$E$56,$B$3)*INDEX(Assumptions!$C$57:$E$57,$B$3)*INDEX(Assumptions!$C$58:$E$58,$B$3))</f>
        <v>5.15731414868106</v>
      </c>
      <c r="O48" s="41" t="n">
        <f aca="false">SUM(C48:N48)</f>
        <v>55.2283738009593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0.0525</v>
      </c>
      <c r="F51" s="16" t="n">
        <f aca="false">F46*0.7*INDEX(Assumptions!$C$73:$E$73,$B$3)</f>
        <v>0.105</v>
      </c>
      <c r="G51" s="16" t="n">
        <f aca="false">G46*0.7*INDEX(Assumptions!$C$73:$E$73,$B$3)</f>
        <v>0.1575</v>
      </c>
      <c r="H51" s="16" t="n">
        <f aca="false">H46*0.7*INDEX(Assumptions!$C$73:$E$73,$B$3)</f>
        <v>0.21</v>
      </c>
      <c r="I51" s="16" t="n">
        <f aca="false">I46*0.7*INDEX(Assumptions!$C$73:$E$73,$B$3)</f>
        <v>0.2625</v>
      </c>
      <c r="J51" s="16" t="n">
        <f aca="false">J46*0.7*INDEX(Assumptions!$C$73:$E$73,$B$3)</f>
        <v>0.315</v>
      </c>
      <c r="K51" s="16" t="n">
        <f aca="false">K46*0.7*INDEX(Assumptions!$C$73:$E$73,$B$3)</f>
        <v>0.315</v>
      </c>
      <c r="L51" s="16" t="n">
        <f aca="false">L46*0.7*INDEX(Assumptions!$C$73:$E$73,$B$3)</f>
        <v>0.315</v>
      </c>
      <c r="M51" s="16" t="n">
        <f aca="false">M46*0.7*INDEX(Assumptions!$C$73:$E$73,$B$3)</f>
        <v>0.315</v>
      </c>
      <c r="N51" s="16" t="n">
        <f aca="false">N46*0.7*INDEX(Assumptions!$C$73:$E$73,$B$3)</f>
        <v>0.315</v>
      </c>
      <c r="O51" s="38" t="n">
        <f aca="false">SUM(C51:N51)</f>
        <v>2.3625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O53" s="40" t="n">
        <f aca="false">AVERAGE(C53:N53)</f>
        <v>46250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21676.2437507621</v>
      </c>
      <c r="E56" s="10" t="n">
        <f aca="false">E34*E53/(1+INDEX(Assumptions!$C$15:$E$15,$B$3)*$H$4)</f>
        <v>22665.7114985977</v>
      </c>
      <c r="F56" s="10" t="n">
        <f aca="false">F34*F53/(1+INDEX(Assumptions!$C$15:$E$15,$B$3)*$H$4)</f>
        <v>34679.1854651872</v>
      </c>
      <c r="G56" s="10" t="n">
        <f aca="false">G34*G53/(1+INDEX(Assumptions!$C$15:$E$15,$B$3)*$H$4)</f>
        <v>42626.2650896232</v>
      </c>
      <c r="H56" s="10" t="n">
        <f aca="false">H34*H53/(1+INDEX(Assumptions!$C$15:$E$15,$B$3)*$H$4)</f>
        <v>49904.889647604</v>
      </c>
      <c r="I56" s="10" t="n">
        <f aca="false">I34*I53/(1+INDEX(Assumptions!$C$15:$E$15,$B$3)*$H$4)</f>
        <v>68181.4412876479</v>
      </c>
      <c r="J56" s="10" t="n">
        <f aca="false">J34*J53/(1+INDEX(Assumptions!$C$15:$E$15,$B$3)*$H$4)</f>
        <v>70803.8044140959</v>
      </c>
      <c r="K56" s="10" t="n">
        <f aca="false">K34*K53/(1+INDEX(Assumptions!$C$15:$E$15,$B$3)*$H$4)</f>
        <v>65559.0781611999</v>
      </c>
      <c r="L56" s="10" t="n">
        <f aca="false">L34*L53/(1+INDEX(Assumptions!$C$15:$E$15,$B$3)*$H$4)</f>
        <v>93749.4817705158</v>
      </c>
      <c r="M56" s="10" t="n">
        <f aca="false">M34*M53/(1+INDEX(Assumptions!$C$15:$E$15,$B$3)*$H$4)</f>
        <v>89488.1416900378</v>
      </c>
      <c r="N56" s="10" t="n">
        <f aca="false">N34*N53/(1+INDEX(Assumptions!$C$15:$E$15,$B$3)*$H$4)</f>
        <v>85226.8016095598</v>
      </c>
      <c r="O56" s="40" t="n">
        <f aca="false">SUM(C56:N56)</f>
        <v>664900.027435679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1354.76523442263</v>
      </c>
      <c r="F58" s="10" t="n">
        <f aca="false">F37*MAX(0,F53-INDEX(Assumptions!$C$18:$E$18,$B$3)*$H$3)/(1+INDEX(Assumptions!$C$15:$E$15,$B$3)*$H$4)</f>
        <v>1416.60696866236</v>
      </c>
      <c r="G58" s="10" t="n">
        <f aca="false">G37*MAX(0,G53-INDEX(Assumptions!$C$18:$E$18,$B$3)*$H$3)/(1+INDEX(Assumptions!$C$15:$E$15,$B$3)*$H$4)</f>
        <v>2167.4490915742</v>
      </c>
      <c r="H58" s="10" t="n">
        <f aca="false">H37*MAX(0,H53-INDEX(Assumptions!$C$18:$E$18,$B$3)*$H$3)/(1+INDEX(Assumptions!$C$15:$E$15,$B$3)*$H$4)</f>
        <v>2664.14156810145</v>
      </c>
      <c r="I58" s="10" t="n">
        <f aca="false">I37*MAX(0,I53-INDEX(Assumptions!$C$18:$E$18,$B$3)*$H$3)/(1+INDEX(Assumptions!$C$15:$E$15,$B$3)*$H$4)</f>
        <v>3119.05560297525</v>
      </c>
      <c r="J58" s="10" t="n">
        <f aca="false">J37*MAX(0,J53-INDEX(Assumptions!$C$18:$E$18,$B$3)*$H$3)/(1+INDEX(Assumptions!$C$15:$E$15,$B$3)*$H$4)</f>
        <v>4261.34008047799</v>
      </c>
      <c r="K58" s="10" t="n">
        <f aca="false">K37*MAX(0,K53-INDEX(Assumptions!$C$18:$E$18,$B$3)*$H$3)/(1+INDEX(Assumptions!$C$15:$E$15,$B$3)*$H$4)</f>
        <v>4425.23777588099</v>
      </c>
      <c r="L58" s="10" t="n">
        <f aca="false">L37*MAX(0,L53-INDEX(Assumptions!$C$18:$E$18,$B$3)*$H$3)/(1+INDEX(Assumptions!$C$15:$E$15,$B$3)*$H$4)</f>
        <v>14341.0483477625</v>
      </c>
      <c r="M58" s="10" t="n">
        <f aca="false">M37*MAX(0,M53-INDEX(Assumptions!$C$18:$E$18,$B$3)*$H$3)/(1+INDEX(Assumptions!$C$15:$E$15,$B$3)*$H$4)</f>
        <v>12620.122546031</v>
      </c>
      <c r="N58" s="10" t="n">
        <f aca="false">N37*MAX(0,N53-INDEX(Assumptions!$C$18:$E$18,$B$3)*$H$3)/(1+INDEX(Assumptions!$C$15:$E$15,$B$3)*$H$4)</f>
        <v>12046.4806121205</v>
      </c>
      <c r="O58" s="40" t="n">
        <f aca="false">SUM(C58:N58)</f>
        <v>59687.4342686868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16257.1828130716</v>
      </c>
      <c r="E59" s="10" t="n">
        <f aca="false">E36*INDEX(Assumptions!$C$18:$E$18,$B$3)*$H$3/(1+INDEX(Assumptions!$C$15:$E$15,$B$3)*$H$4)</f>
        <v>16999.2836239483</v>
      </c>
      <c r="F59" s="10" t="n">
        <f aca="false">F36*INDEX(Assumptions!$C$18:$E$18,$B$3)*$H$3/(1+INDEX(Assumptions!$C$15:$E$15,$B$3)*$H$4)</f>
        <v>26009.3890988904</v>
      </c>
      <c r="G59" s="10" t="n">
        <f aca="false">G36*INDEX(Assumptions!$C$18:$E$18,$B$3)*$H$3/(1+INDEX(Assumptions!$C$15:$E$15,$B$3)*$H$4)</f>
        <v>31969.6988172174</v>
      </c>
      <c r="H59" s="10" t="n">
        <f aca="false">H36*INDEX(Assumptions!$C$18:$E$18,$B$3)*$H$3/(1+INDEX(Assumptions!$C$15:$E$15,$B$3)*$H$4)</f>
        <v>37428.667235703</v>
      </c>
      <c r="I59" s="10" t="n">
        <f aca="false">I36*INDEX(Assumptions!$C$18:$E$18,$B$3)*$H$3/(1+INDEX(Assumptions!$C$15:$E$15,$B$3)*$H$4)</f>
        <v>51136.0809657359</v>
      </c>
      <c r="J59" s="10" t="n">
        <f aca="false">J36*INDEX(Assumptions!$C$18:$E$18,$B$3)*$H$3/(1+INDEX(Assumptions!$C$15:$E$15,$B$3)*$H$4)</f>
        <v>53102.8533105719</v>
      </c>
      <c r="K59" s="10" t="n">
        <f aca="false">K36*INDEX(Assumptions!$C$18:$E$18,$B$3)*$H$3/(1+INDEX(Assumptions!$C$15:$E$15,$B$3)*$H$4)</f>
        <v>49169.3086208999</v>
      </c>
      <c r="L59" s="10" t="n">
        <f aca="false">L36*INDEX(Assumptions!$C$18:$E$18,$B$3)*$H$3/(1+INDEX(Assumptions!$C$15:$E$15,$B$3)*$H$4)</f>
        <v>43268.9915863919</v>
      </c>
      <c r="M59" s="10" t="n">
        <f aca="false">M36*INDEX(Assumptions!$C$18:$E$18,$B$3)*$H$3/(1+INDEX(Assumptions!$C$15:$E$15,$B$3)*$H$4)</f>
        <v>41302.2192415559</v>
      </c>
      <c r="N59" s="10" t="n">
        <f aca="false">N36*INDEX(Assumptions!$C$18:$E$18,$B$3)*$H$3/(1+INDEX(Assumptions!$C$15:$E$15,$B$3)*$H$4)</f>
        <v>39335.4468967199</v>
      </c>
      <c r="O59" s="40" t="n">
        <f aca="false">SUM(C59:N59)</f>
        <v>421233.359498842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1696.27445471589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1773.70525332277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2713.81965857822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3335.71837458847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3905.30713937325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5335.53868796488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5540.75171442507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5130.3256615047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4514.68658212413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4309.47355566394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4104.26052920376</v>
      </c>
      <c r="O60" s="40" t="n">
        <f aca="false">SUM(C60:N60)</f>
        <v>43951.4887301091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6355.93220338983</v>
      </c>
      <c r="F61" s="10" t="n">
        <f aca="false">F46*INDEX(Assumptions!$C$21:$E$21,$B$3)*$H$3/(1+INDEX(Assumptions!$C$15:$E$15,$B$3)*$H$4)</f>
        <v>12711.8644067797</v>
      </c>
      <c r="G61" s="10" t="n">
        <f aca="false">G46*INDEX(Assumptions!$C$21:$E$21,$B$3)*$H$3/(1+INDEX(Assumptions!$C$15:$E$15,$B$3)*$H$4)</f>
        <v>19067.7966101695</v>
      </c>
      <c r="H61" s="10" t="n">
        <f aca="false">H46*INDEX(Assumptions!$C$21:$E$21,$B$3)*$H$3/(1+INDEX(Assumptions!$C$15:$E$15,$B$3)*$H$4)</f>
        <v>25423.7288135593</v>
      </c>
      <c r="I61" s="10" t="n">
        <f aca="false">I46*INDEX(Assumptions!$C$21:$E$21,$B$3)*$H$3/(1+INDEX(Assumptions!$C$15:$E$15,$B$3)*$H$4)</f>
        <v>31779.6610169492</v>
      </c>
      <c r="J61" s="10" t="n">
        <f aca="false">J46*INDEX(Assumptions!$C$21:$E$21,$B$3)*$H$3/(1+INDEX(Assumptions!$C$15:$E$15,$B$3)*$H$4)</f>
        <v>38135.593220339</v>
      </c>
      <c r="K61" s="10" t="n">
        <f aca="false">K46*INDEX(Assumptions!$C$21:$E$21,$B$3)*$H$3/(1+INDEX(Assumptions!$C$15:$E$15,$B$3)*$H$4)</f>
        <v>38135.593220339</v>
      </c>
      <c r="L61" s="10" t="n">
        <f aca="false">L46*INDEX(Assumptions!$C$21:$E$21,$B$3)*$H$3/(1+INDEX(Assumptions!$C$15:$E$15,$B$3)*$H$4)</f>
        <v>38135.593220339</v>
      </c>
      <c r="M61" s="10" t="n">
        <f aca="false">M46*INDEX(Assumptions!$C$21:$E$21,$B$3)*$H$3/(1+INDEX(Assumptions!$C$15:$E$15,$B$3)*$H$4)</f>
        <v>38135.593220339</v>
      </c>
      <c r="N61" s="10" t="n">
        <f aca="false">N46*INDEX(Assumptions!$C$21:$E$21,$B$3)*$H$3/(1+INDEX(Assumptions!$C$15:$E$15,$B$3)*$H$4)</f>
        <v>38135.593220339</v>
      </c>
      <c r="O61" s="40" t="n">
        <f aca="false">SUM(C61:N61)</f>
        <v>286016.949152542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11864.406779661</v>
      </c>
      <c r="D62" s="10" t="n">
        <f aca="false">D47*INDEX(Assumptions!$C$22:$E$22,$B$3)*$H$3/(1+INDEX(Assumptions!$C$15:$E$15,$B$3)*$H$4)</f>
        <v>20338.9830508475</v>
      </c>
      <c r="E62" s="10" t="n">
        <f aca="false">E47*INDEX(Assumptions!$C$22:$E$22,$B$3)*$H$3/(1+INDEX(Assumptions!$C$15:$E$15,$B$3)*$H$4)</f>
        <v>30508.4745762712</v>
      </c>
      <c r="F62" s="10" t="n">
        <f aca="false">F47*INDEX(Assumptions!$C$22:$E$22,$B$3)*$H$3/(1+INDEX(Assumptions!$C$15:$E$15,$B$3)*$H$4)</f>
        <v>33050.8474576271</v>
      </c>
      <c r="G62" s="10" t="n">
        <f aca="false">G47*INDEX(Assumptions!$C$22:$E$22,$B$3)*$H$3/(1+INDEX(Assumptions!$C$15:$E$15,$B$3)*$H$4)</f>
        <v>22881.3559322034</v>
      </c>
      <c r="H62" s="10" t="n">
        <f aca="false">H47*INDEX(Assumptions!$C$22:$E$22,$B$3)*$H$3/(1+INDEX(Assumptions!$C$15:$E$15,$B$3)*$H$4)</f>
        <v>20338.9830508475</v>
      </c>
      <c r="I62" s="10" t="n">
        <f aca="false">I47*INDEX(Assumptions!$C$22:$E$22,$B$3)*$H$3/(1+INDEX(Assumptions!$C$15:$E$15,$B$3)*$H$4)</f>
        <v>17796.6101694915</v>
      </c>
      <c r="J62" s="10" t="n">
        <f aca="false">J47*INDEX(Assumptions!$C$22:$E$22,$B$3)*$H$3/(1+INDEX(Assumptions!$C$15:$E$15,$B$3)*$H$4)</f>
        <v>15254.2372881356</v>
      </c>
      <c r="K62" s="10" t="n">
        <f aca="false">K47*INDEX(Assumptions!$C$22:$E$22,$B$3)*$H$3/(1+INDEX(Assumptions!$C$15:$E$15,$B$3)*$H$4)</f>
        <v>15254.2372881356</v>
      </c>
      <c r="L62" s="10" t="n">
        <f aca="false">L47*INDEX(Assumptions!$C$22:$E$22,$B$3)*$H$3/(1+INDEX(Assumptions!$C$15:$E$15,$B$3)*$H$4)</f>
        <v>20338.9830508475</v>
      </c>
      <c r="M62" s="10" t="n">
        <f aca="false">M47*INDEX(Assumptions!$C$22:$E$22,$B$3)*$H$3/(1+INDEX(Assumptions!$C$15:$E$15,$B$3)*$H$4)</f>
        <v>27966.1016949153</v>
      </c>
      <c r="N62" s="10" t="n">
        <f aca="false">N47*INDEX(Assumptions!$C$22:$E$22,$B$3)*$H$3/(1+INDEX(Assumptions!$C$15:$E$15,$B$3)*$H$4)</f>
        <v>35593.2203389831</v>
      </c>
      <c r="O62" s="40" t="n">
        <f aca="false">SUM(C62:N62)</f>
        <v>271186.440677966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222.41313559322</v>
      </c>
      <c r="F64" s="10" t="n">
        <f aca="false">F51*INDEX(Assumptions!$C$23:$E$23,$B$3)/(1+INDEX(Assumptions!$C$15:$E$15,$B$3)*$H$4)</f>
        <v>444.826271186441</v>
      </c>
      <c r="G64" s="10" t="n">
        <f aca="false">G51*INDEX(Assumptions!$C$23:$E$23,$B$3)/(1+INDEX(Assumptions!$C$15:$E$15,$B$3)*$H$4)</f>
        <v>667.239406779661</v>
      </c>
      <c r="H64" s="10" t="n">
        <f aca="false">H51*INDEX(Assumptions!$C$23:$E$23,$B$3)/(1+INDEX(Assumptions!$C$15:$E$15,$B$3)*$H$4)</f>
        <v>889.652542372881</v>
      </c>
      <c r="I64" s="10" t="n">
        <f aca="false">I51*INDEX(Assumptions!$C$23:$E$23,$B$3)/(1+INDEX(Assumptions!$C$15:$E$15,$B$3)*$H$4)</f>
        <v>1112.0656779661</v>
      </c>
      <c r="J64" s="10" t="n">
        <f aca="false">J51*INDEX(Assumptions!$C$23:$E$23,$B$3)/(1+INDEX(Assumptions!$C$15:$E$15,$B$3)*$H$4)</f>
        <v>1334.47881355932</v>
      </c>
      <c r="K64" s="10" t="n">
        <f aca="false">K51*INDEX(Assumptions!$C$23:$E$23,$B$3)/(1+INDEX(Assumptions!$C$15:$E$15,$B$3)*$H$4)</f>
        <v>1334.47881355932</v>
      </c>
      <c r="L64" s="10" t="n">
        <f aca="false">L51*INDEX(Assumptions!$C$23:$E$23,$B$3)/(1+INDEX(Assumptions!$C$15:$E$15,$B$3)*$H$4)</f>
        <v>1334.47881355932</v>
      </c>
      <c r="M64" s="10" t="n">
        <f aca="false">M51*INDEX(Assumptions!$C$23:$E$23,$B$3)/(1+INDEX(Assumptions!$C$15:$E$15,$B$3)*$H$4)</f>
        <v>1334.47881355932</v>
      </c>
      <c r="N64" s="10" t="n">
        <f aca="false">N51*INDEX(Assumptions!$C$23:$E$23,$B$3)/(1+INDEX(Assumptions!$C$15:$E$15,$B$3)*$H$4)</f>
        <v>1334.47881355932</v>
      </c>
      <c r="O64" s="40" t="n">
        <f aca="false">SUM(C64:N64)</f>
        <v>10008.5911016949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1021.14820143885</v>
      </c>
      <c r="M65" s="10" t="n">
        <f aca="false">(M34+M35)*(1-M54)*INDEX(Assumptions!$C$90:$E$90,$B$3)</f>
        <v>974.73237410072</v>
      </c>
      <c r="N65" s="10" t="n">
        <f aca="false">(N34+N35)*(1-N54)*INDEX(Assumptions!$C$90:$E$90,$B$3)</f>
        <v>928.31654676259</v>
      </c>
      <c r="O65" s="40" t="n">
        <f aca="false">SUM(C65:N65)</f>
        <v>2924.19712230216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49049.2542372881</v>
      </c>
      <c r="D66" s="40" t="n">
        <f aca="false">SUM(D56:D65)</f>
        <v>61239.870510075</v>
      </c>
      <c r="E66" s="40" t="n">
        <f aca="false">SUM(E56:E65)</f>
        <v>79880.2855255457</v>
      </c>
      <c r="F66" s="40" t="n">
        <f aca="false">SUM(F56:F65)</f>
        <v>111026.539326911</v>
      </c>
      <c r="G66" s="40" t="n">
        <f aca="false">SUM(G56:G65)</f>
        <v>122715.523322156</v>
      </c>
      <c r="H66" s="40" t="n">
        <f aca="false">SUM(H56:H65)</f>
        <v>140555.369997561</v>
      </c>
      <c r="I66" s="40" t="n">
        <f aca="false">SUM(I56:I65)</f>
        <v>178460.453408731</v>
      </c>
      <c r="J66" s="40" t="n">
        <f aca="false">SUM(J56:J65)</f>
        <v>188433.058841605</v>
      </c>
      <c r="K66" s="40" t="n">
        <f aca="false">SUM(K56:K65)</f>
        <v>179008.259541519</v>
      </c>
      <c r="L66" s="40" t="n">
        <f aca="false">SUM(L56:L65)</f>
        <v>216704.411572979</v>
      </c>
      <c r="M66" s="40" t="n">
        <f aca="false">SUM(M56:M65)</f>
        <v>216130.863136203</v>
      </c>
      <c r="N66" s="40" t="n">
        <f aca="false">SUM(N56:N65)</f>
        <v>216704.598567248</v>
      </c>
      <c r="O66" s="11" t="n">
        <f aca="false">SUM(C66:N66)</f>
        <v>1759908.48798782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35593.2203389831</v>
      </c>
      <c r="D67" s="10" t="n">
        <f aca="false">D56+D57+D58+D59</f>
        <v>39204.6130045117</v>
      </c>
      <c r="E67" s="10" t="n">
        <f aca="false">E56+E57+E58+E59</f>
        <v>41019.7603569687</v>
      </c>
      <c r="F67" s="10" t="n">
        <f aca="false">F56+F57+F58+F59</f>
        <v>62105.1815327399</v>
      </c>
      <c r="G67" s="10" t="n">
        <f aca="false">G56+G57+G58+G59</f>
        <v>76763.4129984148</v>
      </c>
      <c r="H67" s="10" t="n">
        <f aca="false">H56+H57+H58+H59</f>
        <v>89997.6984514084</v>
      </c>
      <c r="I67" s="10" t="n">
        <f aca="false">I56+I57+I58+I59</f>
        <v>122436.577856359</v>
      </c>
      <c r="J67" s="10" t="n">
        <f aca="false">J56+J57+J58+J59</f>
        <v>128167.997805146</v>
      </c>
      <c r="K67" s="10" t="n">
        <f aca="false">K56+K57+K58+K59</f>
        <v>119153.624557981</v>
      </c>
      <c r="L67" s="10" t="n">
        <f aca="false">L56+L57+L58+L59</f>
        <v>151359.52170467</v>
      </c>
      <c r="M67" s="10" t="n">
        <f aca="false">M56+M57+M58+M59</f>
        <v>143410.483477625</v>
      </c>
      <c r="N67" s="10" t="n">
        <f aca="false">N56+N57+N58+N59</f>
        <v>136608.7291184</v>
      </c>
      <c r="O67" s="40" t="n">
        <f aca="false">SUM(C67:N67)</f>
        <v>1145820.82120321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5526.14433453238</v>
      </c>
      <c r="E69" s="10" t="n">
        <f aca="false">((E34+E37)*INDEX(Assumptions!$C$91:$E$91,$B$3)+E35*(INDEX(Assumptions!$C$93:$E$93,$B$3)+IF($Q$3=1,INDEX(Assumptions!$C$282:$E$282,$B$3),0)))*$N$3</f>
        <v>5799.50550809352</v>
      </c>
      <c r="F69" s="10" t="n">
        <f aca="false">((F34+F37)*INDEX(Assumptions!$C$91:$E$91,$B$3)+F35*(INDEX(Assumptions!$C$93:$E$93,$B$3)+IF($Q$3=1,INDEX(Assumptions!$C$282:$E$282,$B$3),0)))*$N$3</f>
        <v>8331.36915467626</v>
      </c>
      <c r="G69" s="10" t="n">
        <f aca="false">((G34+G37)*INDEX(Assumptions!$C$91:$E$91,$B$3)+G35*(INDEX(Assumptions!$C$93:$E$93,$B$3)+IF($Q$3=1,INDEX(Assumptions!$C$282:$E$282,$B$3),0)))*$N$3</f>
        <v>10592.6366906475</v>
      </c>
      <c r="H69" s="10" t="n">
        <f aca="false">((H34+H37)*INDEX(Assumptions!$C$91:$E$91,$B$3)+H35*(INDEX(Assumptions!$C$93:$E$93,$B$3)+IF($Q$3=1,INDEX(Assumptions!$C$282:$E$282,$B$3),0)))*$N$3</f>
        <v>12505.940647482</v>
      </c>
      <c r="I69" s="10" t="n">
        <f aca="false">((I34+I37)*INDEX(Assumptions!$C$91:$E$91,$B$3)+I35*(INDEX(Assumptions!$C$93:$E$93,$B$3)+IF($Q$3=1,INDEX(Assumptions!$C$282:$E$282,$B$3),0)))*$N$3</f>
        <v>16655.8075539568</v>
      </c>
      <c r="J69" s="10" t="n">
        <f aca="false">((J34+J37)*INDEX(Assumptions!$C$91:$E$91,$B$3)+J35*(INDEX(Assumptions!$C$93:$E$93,$B$3)+IF($Q$3=1,INDEX(Assumptions!$C$282:$E$282,$B$3),0)))*$N$3</f>
        <v>18140.8525179856</v>
      </c>
      <c r="K69" s="10" t="n">
        <f aca="false">((K34+K37)*INDEX(Assumptions!$C$91:$E$91,$B$3)+K35*(INDEX(Assumptions!$C$93:$E$93,$B$3)+IF($Q$3=1,INDEX(Assumptions!$C$282:$E$282,$B$3),0)))*$N$3</f>
        <v>17193.1960431655</v>
      </c>
      <c r="L69" s="10" t="n">
        <f aca="false">((L34+L37)*INDEX(Assumptions!$C$91:$E$91,$B$3)+L35*(INDEX(Assumptions!$C$93:$E$93,$B$3)+IF($Q$3=1,INDEX(Assumptions!$C$282:$E$282,$B$3),0)))*$N$3</f>
        <v>15297.8830935252</v>
      </c>
      <c r="M69" s="10" t="n">
        <f aca="false">((M34+M37)*INDEX(Assumptions!$C$91:$E$91,$B$3)+M35*(INDEX(Assumptions!$C$93:$E$93,$B$3)+IF($Q$3=1,INDEX(Assumptions!$C$282:$E$282,$B$3),0)))*$N$3</f>
        <v>14350.226618705</v>
      </c>
      <c r="N69" s="10" t="n">
        <f aca="false">((N34+N37)*INDEX(Assumptions!$C$91:$E$91,$B$3)+N35*(INDEX(Assumptions!$C$93:$E$93,$B$3)+IF($Q$3=1,INDEX(Assumptions!$C$282:$E$282,$B$3),0)))*$N$3</f>
        <v>13673.3291366907</v>
      </c>
      <c r="O69" s="40" t="n">
        <f aca="false">SUM(C69:N69)</f>
        <v>142266.89129946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9591.73785971223</v>
      </c>
      <c r="E70" s="10" t="n">
        <f aca="false">(E34+E35)*E54*INDEX(Assumptions!$C$14:$E$14,$B$3)*$N$3</f>
        <v>10029.5773381295</v>
      </c>
      <c r="F70" s="10" t="n">
        <f aca="false">(F34+F35)*F54*INDEX(Assumptions!$C$14:$E$14,$B$3)*$N$3</f>
        <v>15345.5395683453</v>
      </c>
      <c r="G70" s="10" t="n">
        <f aca="false">(G34+G35)*G54*INDEX(Assumptions!$C$14:$E$14,$B$3)*$N$3</f>
        <v>18862.1223021583</v>
      </c>
      <c r="H70" s="10" t="n">
        <f aca="false">(H34+H35)*H54*INDEX(Assumptions!$C$14:$E$14,$B$3)*$N$3</f>
        <v>22082.9136690648</v>
      </c>
      <c r="I70" s="10" t="n">
        <f aca="false">(I34+I35)*I54*INDEX(Assumptions!$C$14:$E$14,$B$3)*$N$3</f>
        <v>30170.2877697842</v>
      </c>
      <c r="J70" s="10" t="n">
        <f aca="false">(J34+J35)*J54*INDEX(Assumptions!$C$14:$E$14,$B$3)*$N$3</f>
        <v>31330.6834532374</v>
      </c>
      <c r="K70" s="10" t="n">
        <f aca="false">(K34+K35)*K54*INDEX(Assumptions!$C$14:$E$14,$B$3)*$N$3</f>
        <v>29009.8920863309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175422.754046763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1500</v>
      </c>
      <c r="D71" s="10" t="n">
        <f aca="false">D36*INDEX(Assumptions!$C$92:$E$92,$B$3)*$N$3</f>
        <v>1598.62297661871</v>
      </c>
      <c r="E71" s="10" t="n">
        <f aca="false">E36*INDEX(Assumptions!$C$92:$E$92,$B$3)*$N$3</f>
        <v>1671.59622302158</v>
      </c>
      <c r="F71" s="10" t="n">
        <f aca="false">F36*INDEX(Assumptions!$C$92:$E$92,$B$3)*$N$3</f>
        <v>2557.58992805755</v>
      </c>
      <c r="G71" s="10" t="n">
        <f aca="false">G36*INDEX(Assumptions!$C$92:$E$92,$B$3)*$N$3</f>
        <v>3143.68705035971</v>
      </c>
      <c r="H71" s="10" t="n">
        <f aca="false">H36*INDEX(Assumptions!$C$92:$E$92,$B$3)*$N$3</f>
        <v>3680.48561151079</v>
      </c>
      <c r="I71" s="10" t="n">
        <f aca="false">I36*INDEX(Assumptions!$C$92:$E$92,$B$3)*$N$3</f>
        <v>5028.38129496403</v>
      </c>
      <c r="J71" s="10" t="n">
        <f aca="false">J36*INDEX(Assumptions!$C$92:$E$92,$B$3)*$N$3</f>
        <v>5221.78057553957</v>
      </c>
      <c r="K71" s="10" t="n">
        <f aca="false">K36*INDEX(Assumptions!$C$92:$E$92,$B$3)*$N$3</f>
        <v>4834.98201438849</v>
      </c>
      <c r="L71" s="10" t="n">
        <f aca="false">L36*INDEX(Assumptions!$C$92:$E$92,$B$3)*$N$3</f>
        <v>4254.78417266187</v>
      </c>
      <c r="M71" s="10" t="n">
        <f aca="false">M36*INDEX(Assumptions!$C$92:$E$92,$B$3)*$N$3</f>
        <v>4061.38489208633</v>
      </c>
      <c r="N71" s="10" t="n">
        <f aca="false">N36*INDEX(Assumptions!$C$92:$E$92,$B$3)*$N$3</f>
        <v>3867.98561151079</v>
      </c>
      <c r="O71" s="40" t="n">
        <f aca="false">SUM(C71:N71)</f>
        <v>41421.2803507194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2933.33333333333</v>
      </c>
      <c r="D72" s="10" t="n">
        <f aca="false">(D46*INDEX(Assumptions!$C$94:$E$94,$B$3)+D47*INDEX(Assumptions!$C$95:$E$95,$B$3)+D48*INDEX(Assumptions!$C$96:$E$96,$B$3))*$N$3</f>
        <v>4639.44919064748</v>
      </c>
      <c r="E72" s="10" t="n">
        <f aca="false">(E46*INDEX(Assumptions!$C$94:$E$94,$B$3)+E47*INDEX(Assumptions!$C$95:$E$95,$B$3)+E48*INDEX(Assumptions!$C$96:$E$96,$B$3))*$N$3</f>
        <v>8468.63848920863</v>
      </c>
      <c r="F72" s="10" t="n">
        <f aca="false">(F46*INDEX(Assumptions!$C$94:$E$94,$B$3)+F47*INDEX(Assumptions!$C$95:$E$95,$B$3)+F48*INDEX(Assumptions!$C$96:$E$96,$B$3))*$N$3</f>
        <v>11123.035971223</v>
      </c>
      <c r="G72" s="10" t="n">
        <f aca="false">(G46*INDEX(Assumptions!$C$94:$E$94,$B$3)+G47*INDEX(Assumptions!$C$95:$E$95,$B$3)+G48*INDEX(Assumptions!$C$96:$E$96,$B$3))*$N$3</f>
        <v>11157.4748201439</v>
      </c>
      <c r="H72" s="10" t="n">
        <f aca="false">(H46*INDEX(Assumptions!$C$94:$E$94,$B$3)+H47*INDEX(Assumptions!$C$95:$E$95,$B$3)+H48*INDEX(Assumptions!$C$96:$E$96,$B$3))*$N$3</f>
        <v>12672.1942446043</v>
      </c>
      <c r="I72" s="10" t="n">
        <f aca="false">(I46*INDEX(Assumptions!$C$94:$E$94,$B$3)+I47*INDEX(Assumptions!$C$95:$E$95,$B$3)+I48*INDEX(Assumptions!$C$96:$E$96,$B$3))*$N$3</f>
        <v>14511.3525179856</v>
      </c>
      <c r="J72" s="10" t="n">
        <f aca="false">(J46*INDEX(Assumptions!$C$94:$E$94,$B$3)+J47*INDEX(Assumptions!$C$95:$E$95,$B$3)+J48*INDEX(Assumptions!$C$96:$E$96,$B$3))*$N$3</f>
        <v>15888.7122302158</v>
      </c>
      <c r="K72" s="10" t="n">
        <f aca="false">(K46*INDEX(Assumptions!$C$94:$E$94,$B$3)+K47*INDEX(Assumptions!$C$95:$E$95,$B$3)+K48*INDEX(Assumptions!$C$96:$E$96,$B$3))*$N$3</f>
        <v>15733.9928057554</v>
      </c>
      <c r="L72" s="10" t="n">
        <f aca="false">(L46*INDEX(Assumptions!$C$94:$E$94,$B$3)+L47*INDEX(Assumptions!$C$95:$E$95,$B$3)+L48*INDEX(Assumptions!$C$96:$E$96,$B$3))*$N$3</f>
        <v>16501.9136690648</v>
      </c>
      <c r="M72" s="10" t="n">
        <f aca="false">(M46*INDEX(Assumptions!$C$94:$E$94,$B$3)+M47*INDEX(Assumptions!$C$95:$E$95,$B$3)+M48*INDEX(Assumptions!$C$96:$E$96,$B$3))*$N$3</f>
        <v>17924.5539568345</v>
      </c>
      <c r="N72" s="10" t="n">
        <f aca="false">(N46*INDEX(Assumptions!$C$94:$E$94,$B$3)+N47*INDEX(Assumptions!$C$95:$E$95,$B$3)+N48*INDEX(Assumptions!$C$96:$E$96,$B$3))*$N$3</f>
        <v>19347.1942446043</v>
      </c>
      <c r="O72" s="40" t="n">
        <f aca="false">SUM(C72:N72)</f>
        <v>150901.845473621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131.25</v>
      </c>
      <c r="F74" s="10" t="n">
        <f aca="false">F51*INDEX(Assumptions!$C$97:$E$97,$B$3)</f>
        <v>262.5</v>
      </c>
      <c r="G74" s="10" t="n">
        <f aca="false">G51*INDEX(Assumptions!$C$97:$E$97,$B$3)</f>
        <v>393.75</v>
      </c>
      <c r="H74" s="10" t="n">
        <f aca="false">H51*INDEX(Assumptions!$C$97:$E$97,$B$3)</f>
        <v>525</v>
      </c>
      <c r="I74" s="10" t="n">
        <f aca="false">I51*INDEX(Assumptions!$C$97:$E$97,$B$3)</f>
        <v>656.25</v>
      </c>
      <c r="J74" s="10" t="n">
        <f aca="false">J51*INDEX(Assumptions!$C$97:$E$97,$B$3)</f>
        <v>787.5</v>
      </c>
      <c r="K74" s="10" t="n">
        <f aca="false">K51*INDEX(Assumptions!$C$97:$E$97,$B$3)</f>
        <v>787.5</v>
      </c>
      <c r="L74" s="10" t="n">
        <f aca="false">L51*INDEX(Assumptions!$C$97:$E$97,$B$3)</f>
        <v>787.5</v>
      </c>
      <c r="M74" s="10" t="n">
        <f aca="false">M51*INDEX(Assumptions!$C$97:$E$97,$B$3)</f>
        <v>787.5</v>
      </c>
      <c r="N74" s="10" t="n">
        <f aca="false">N51*INDEX(Assumptions!$C$97:$E$97,$B$3)</f>
        <v>787.5</v>
      </c>
      <c r="O74" s="40" t="n">
        <f aca="false">SUM(C74:N74)</f>
        <v>5906.25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2229.07488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2682.0419997518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3254.25537515719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4635.02782125612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5325.28401616691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6151.62906753957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7998.71056211799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8436.61469402015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7959.86615841727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10601.2078296317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10337.8973569669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10154.4607871799</v>
      </c>
      <c r="O75" s="40" t="n">
        <f aca="false">SUM(C75:N75)</f>
        <v>79766.0705482054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1278.89838129496</v>
      </c>
      <c r="E76" s="10" t="n">
        <f aca="false">E38*INDEX(Assumptions!$C$240:$E$240,$B$3)*INDEX(Assumptions!$C$69:$E$69,$B$3)</f>
        <v>1337.27697841727</v>
      </c>
      <c r="F76" s="10" t="n">
        <f aca="false">F38*INDEX(Assumptions!$C$240:$E$240,$B$3)*INDEX(Assumptions!$C$69:$E$69,$B$3)</f>
        <v>2046.07194244604</v>
      </c>
      <c r="G76" s="10" t="n">
        <f aca="false">G38*INDEX(Assumptions!$C$240:$E$240,$B$3)*INDEX(Assumptions!$C$69:$E$69,$B$3)</f>
        <v>2514.94964028777</v>
      </c>
      <c r="H76" s="10" t="n">
        <f aca="false">H38*INDEX(Assumptions!$C$240:$E$240,$B$3)*INDEX(Assumptions!$C$69:$E$69,$B$3)</f>
        <v>2944.38848920863</v>
      </c>
      <c r="I76" s="10" t="n">
        <f aca="false">I38*INDEX(Assumptions!$C$240:$E$240,$B$3)*INDEX(Assumptions!$C$69:$E$69,$B$3)</f>
        <v>4022.70503597122</v>
      </c>
      <c r="J76" s="10" t="n">
        <f aca="false">J38*INDEX(Assumptions!$C$240:$E$240,$B$3)*INDEX(Assumptions!$C$69:$E$69,$B$3)</f>
        <v>4177.42446043166</v>
      </c>
      <c r="K76" s="10" t="n">
        <f aca="false">K38*INDEX(Assumptions!$C$240:$E$240,$B$3)*INDEX(Assumptions!$C$69:$E$69,$B$3)</f>
        <v>3867.98561151079</v>
      </c>
      <c r="L76" s="10" t="n">
        <f aca="false">L38*INDEX(Assumptions!$C$240:$E$240,$B$3)*INDEX(Assumptions!$C$69:$E$69,$B$3)</f>
        <v>3403.8273381295</v>
      </c>
      <c r="M76" s="10" t="n">
        <f aca="false">M38*INDEX(Assumptions!$C$240:$E$240,$B$3)*INDEX(Assumptions!$C$69:$E$69,$B$3)</f>
        <v>3249.10791366907</v>
      </c>
      <c r="N76" s="10" t="n">
        <f aca="false">N38*INDEX(Assumptions!$C$240:$E$240,$B$3)*INDEX(Assumptions!$C$69:$E$69,$B$3)</f>
        <v>3094.38848920863</v>
      </c>
      <c r="O76" s="40" t="n">
        <f aca="false">SUM(C76:N76)</f>
        <v>33137.0242805756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21062.4082133333</v>
      </c>
      <c r="D77" s="40" t="n">
        <f aca="false">SUM(D69:D76)</f>
        <v>25316.8947425576</v>
      </c>
      <c r="E77" s="40" t="n">
        <f aca="false">SUM(E69:E76)</f>
        <v>30692.0999120277</v>
      </c>
      <c r="F77" s="40" t="n">
        <f aca="false">SUM(F69:F76)</f>
        <v>44301.1343860043</v>
      </c>
      <c r="G77" s="40" t="n">
        <f aca="false">SUM(G69:G76)</f>
        <v>51989.904519764</v>
      </c>
      <c r="H77" s="40" t="n">
        <f aca="false">SUM(H69:H76)</f>
        <v>60562.5517294101</v>
      </c>
      <c r="I77" s="40" t="n">
        <f aca="false">SUM(I69:I76)</f>
        <v>79043.4947347799</v>
      </c>
      <c r="J77" s="40" t="n">
        <f aca="false">SUM(J69:J76)</f>
        <v>83983.5679314302</v>
      </c>
      <c r="K77" s="40" t="n">
        <f aca="false">SUM(K69:K76)</f>
        <v>79387.4147195684</v>
      </c>
      <c r="L77" s="40" t="n">
        <f aca="false">SUM(L69:L76)</f>
        <v>50847.116103013</v>
      </c>
      <c r="M77" s="40" t="n">
        <f aca="false">SUM(M69:M76)</f>
        <v>50710.6707382619</v>
      </c>
      <c r="N77" s="40" t="n">
        <f aca="false">SUM(N69:N76)</f>
        <v>50924.8582691943</v>
      </c>
      <c r="O77" s="11" t="n">
        <f aca="false">SUM(C77:N77)</f>
        <v>628822.115999345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27986.8460239548</v>
      </c>
      <c r="D78" s="40" t="n">
        <f aca="false">D66-D77</f>
        <v>35922.9757675175</v>
      </c>
      <c r="E78" s="40" t="n">
        <f aca="false">E66-E77</f>
        <v>49188.185613518</v>
      </c>
      <c r="F78" s="40" t="n">
        <f aca="false">F66-F77</f>
        <v>66725.404940907</v>
      </c>
      <c r="G78" s="40" t="n">
        <f aca="false">G66-G77</f>
        <v>70725.6188023918</v>
      </c>
      <c r="H78" s="40" t="n">
        <f aca="false">H66-H77</f>
        <v>79992.8182681512</v>
      </c>
      <c r="I78" s="40" t="n">
        <f aca="false">I66-I77</f>
        <v>99416.9586739508</v>
      </c>
      <c r="J78" s="40" t="n">
        <f aca="false">J66-J77</f>
        <v>104449.490910174</v>
      </c>
      <c r="K78" s="40" t="n">
        <f aca="false">K66-K77</f>
        <v>99620.844821951</v>
      </c>
      <c r="L78" s="40" t="n">
        <f aca="false">L66-L77</f>
        <v>165857.295469966</v>
      </c>
      <c r="M78" s="40" t="n">
        <f aca="false">M66-M77</f>
        <v>165420.192397941</v>
      </c>
      <c r="N78" s="40" t="n">
        <f aca="false">N66-N77</f>
        <v>165779.740298054</v>
      </c>
      <c r="O78" s="11" t="n">
        <f aca="false">SUM(C78:N78)</f>
        <v>1131086.37198848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0.570586575864362</v>
      </c>
      <c r="D79" s="8" t="n">
        <f aca="false">IFERROR(D78/D66,0)</f>
        <v>0.586594574226076</v>
      </c>
      <c r="E79" s="8" t="n">
        <f aca="false">IFERROR(E78/E66,0)</f>
        <v>0.615773783104313</v>
      </c>
      <c r="F79" s="8" t="n">
        <f aca="false">IFERROR(F78/F66,0)</f>
        <v>0.600986082655768</v>
      </c>
      <c r="G79" s="8" t="n">
        <f aca="false">IFERROR(G78/G66,0)</f>
        <v>0.576337996104382</v>
      </c>
      <c r="H79" s="8" t="n">
        <f aca="false">IFERROR(H78/H66,0)</f>
        <v>0.56911961648665</v>
      </c>
      <c r="I79" s="8" t="n">
        <f aca="false">IFERROR(I78/I66,0)</f>
        <v>0.557081172747301</v>
      </c>
      <c r="J79" s="8" t="n">
        <f aca="false">IFERROR(J78/J66,0)</f>
        <v>0.554305553135312</v>
      </c>
      <c r="K79" s="8" t="n">
        <f aca="false">IFERROR(K78/K66,0)</f>
        <v>0.556515353409404</v>
      </c>
      <c r="L79" s="8" t="n">
        <f aca="false">IFERROR(L78/L66,0)</f>
        <v>0.765361878265735</v>
      </c>
      <c r="M79" s="8" t="n">
        <f aca="false">IFERROR(M78/M66,0)</f>
        <v>0.76537052597479</v>
      </c>
      <c r="N79" s="8" t="n">
        <f aca="false">IFERROR(N78/N66,0)</f>
        <v>0.765003333543053</v>
      </c>
      <c r="O79" s="13" t="n">
        <f aca="false">IFERROR(O78/O66,0)</f>
        <v>0.64269612863888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1</v>
      </c>
      <c r="I81" s="10" t="n">
        <f aca="false">ROUNDUP(I42/(INDEX(Assumptions!$C$102:$E$102,$B$3)*$J$3),0)</f>
        <v>1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1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0.0666666666666667</v>
      </c>
      <c r="D82" s="6" t="n">
        <f aca="false">D81*(1-D12)</f>
        <v>0.133333333333333</v>
      </c>
      <c r="E82" s="6" t="n">
        <f aca="false">E81*(1-E12)</f>
        <v>0.2</v>
      </c>
      <c r="F82" s="6" t="n">
        <f aca="false">F81*(1-F12)</f>
        <v>0.266666666666667</v>
      </c>
      <c r="G82" s="6" t="n">
        <f aca="false">G81*(1-G12)</f>
        <v>0.333333333333333</v>
      </c>
      <c r="H82" s="6" t="n">
        <f aca="false">H81*(1-H12)</f>
        <v>0.4</v>
      </c>
      <c r="I82" s="6" t="n">
        <f aca="false">I81*(1-I12)</f>
        <v>0.433333333333333</v>
      </c>
      <c r="J82" s="6" t="n">
        <f aca="false">J81*(1-J12)</f>
        <v>0.933333333333333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0.6</v>
      </c>
      <c r="O82" s="41" t="n">
        <f aca="false">MAX(C82:N82)</f>
        <v>1.13333333333333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0</v>
      </c>
      <c r="E83" s="6" t="n">
        <f aca="false">IF(3&gt;=INDEX(Assumptions!$C$161:$E$161,E$9),INDEX(Assumptions!$C$203:$E$203,E$9),0)</f>
        <v>0.5</v>
      </c>
      <c r="F83" s="6" t="n">
        <f aca="false">IF(4&gt;=INDEX(Assumptions!$C$161:$E$161,F$9),INDEX(Assumptions!$C$203:$E$203,F$9),0)</f>
        <v>0.5</v>
      </c>
      <c r="G83" s="6" t="n">
        <f aca="false">IF(5&gt;=INDEX(Assumptions!$C$161:$E$161,G$9),INDEX(Assumptions!$C$203:$E$203,G$9),0)</f>
        <v>0.5</v>
      </c>
      <c r="H83" s="6" t="n">
        <f aca="false">IF(6&gt;=INDEX(Assumptions!$C$161:$E$161,H$9),INDEX(Assumptions!$C$203:$E$203,H$9),0)</f>
        <v>0.5</v>
      </c>
      <c r="I83" s="6" t="n">
        <f aca="false">IF(7&gt;=INDEX(Assumptions!$C$161:$E$161,I$9),INDEX(Assumptions!$C$203:$E$203,I$9),0)</f>
        <v>0.5</v>
      </c>
      <c r="J83" s="6" t="n">
        <f aca="false">IF(8&gt;=INDEX(Assumptions!$C$161:$E$161,J$9),INDEX(Assumptions!$C$203:$E$203,J$9),0)</f>
        <v>0.5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20000</v>
      </c>
      <c r="E86" s="10" t="n">
        <f aca="false">E83*INDEX(Assumptions!$C$98:$E$98,$B$3)*$W$4+E84*INDEX(Assumptions!$C$99:$E$99,$B$3)+E85*INDEX(Assumptions!$C$100:$E$100,$B$3)</f>
        <v>57500</v>
      </c>
      <c r="F86" s="10" t="n">
        <f aca="false">F83*INDEX(Assumptions!$C$98:$E$98,$B$3)*$W$4+F84*INDEX(Assumptions!$C$99:$E$99,$B$3)+F85*INDEX(Assumptions!$C$100:$E$100,$B$3)</f>
        <v>57500</v>
      </c>
      <c r="G86" s="10" t="n">
        <f aca="false">G83*INDEX(Assumptions!$C$98:$E$98,$B$3)*$W$4+G84*INDEX(Assumptions!$C$99:$E$99,$B$3)+G85*INDEX(Assumptions!$C$100:$E$100,$B$3)</f>
        <v>57500</v>
      </c>
      <c r="H86" s="10" t="n">
        <f aca="false">H83*INDEX(Assumptions!$C$98:$E$98,$B$3)*$W$4+H84*INDEX(Assumptions!$C$99:$E$99,$B$3)+H85*INDEX(Assumptions!$C$100:$E$100,$B$3)</f>
        <v>57500</v>
      </c>
      <c r="I86" s="10" t="n">
        <f aca="false">I83*INDEX(Assumptions!$C$98:$E$98,$B$3)*$W$4+I84*INDEX(Assumptions!$C$99:$E$99,$B$3)+I85*INDEX(Assumptions!$C$100:$E$100,$B$3)</f>
        <v>57500</v>
      </c>
      <c r="J86" s="10" t="n">
        <f aca="false">J83*INDEX(Assumptions!$C$98:$E$98,$B$3)*$W$4+J84*INDEX(Assumptions!$C$99:$E$99,$B$3)+J85*INDEX(Assumptions!$C$100:$E$100,$B$3)</f>
        <v>57500</v>
      </c>
      <c r="K86" s="10" t="n">
        <f aca="false">K83*INDEX(Assumptions!$C$98:$E$98,$B$3)*$W$4+K84*INDEX(Assumptions!$C$99:$E$99,$B$3)+K85*INDEX(Assumptions!$C$100:$E$100,$B$3)</f>
        <v>57500</v>
      </c>
      <c r="L86" s="10" t="n">
        <f aca="false">L83*INDEX(Assumptions!$C$98:$E$98,$B$3)*$W$4+L84*INDEX(Assumptions!$C$99:$E$99,$B$3)+L85*INDEX(Assumptions!$C$100:$E$100,$B$3)</f>
        <v>57500</v>
      </c>
      <c r="M86" s="10" t="n">
        <f aca="false">M83*INDEX(Assumptions!$C$98:$E$98,$B$3)*$W$4+M84*INDEX(Assumptions!$C$99:$E$99,$B$3)+M85*INDEX(Assumptions!$C$100:$E$100,$B$3)</f>
        <v>57500</v>
      </c>
      <c r="N86" s="10" t="n">
        <f aca="false">N83*INDEX(Assumptions!$C$98:$E$98,$B$3)*$W$4+N84*INDEX(Assumptions!$C$99:$E$99,$B$3)+N85*INDEX(Assumptions!$C$100:$E$100,$B$3)</f>
        <v>57500</v>
      </c>
      <c r="O86" s="40" t="n">
        <f aca="false">SUM(C86:N86)</f>
        <v>615000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20000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200000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12000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12000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12000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12000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12000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12000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12000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12000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12000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12000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12000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12000</v>
      </c>
      <c r="O88" s="40" t="n">
        <f aca="false">SUM(C88:N88)</f>
        <v>144000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32000</v>
      </c>
      <c r="D92" s="40" t="n">
        <f aca="false">SUM(D86:D91)</f>
        <v>32000</v>
      </c>
      <c r="E92" s="40" t="n">
        <f aca="false">SUM(E86:E91)</f>
        <v>89500</v>
      </c>
      <c r="F92" s="40" t="n">
        <f aca="false">SUM(F86:F91)</f>
        <v>89500</v>
      </c>
      <c r="G92" s="40" t="n">
        <f aca="false">SUM(G86:G91)</f>
        <v>89500</v>
      </c>
      <c r="H92" s="40" t="n">
        <f aca="false">SUM(H86:H91)</f>
        <v>89500</v>
      </c>
      <c r="I92" s="40" t="n">
        <f aca="false">SUM(I86:I91)</f>
        <v>89500</v>
      </c>
      <c r="J92" s="40" t="n">
        <f aca="false">SUM(J86:J91)</f>
        <v>89500</v>
      </c>
      <c r="K92" s="40" t="n">
        <f aca="false">SUM(K86:K91)</f>
        <v>89500</v>
      </c>
      <c r="L92" s="40" t="n">
        <f aca="false">SUM(L86:L91)</f>
        <v>89500</v>
      </c>
      <c r="M92" s="40" t="n">
        <f aca="false">SUM(M86:M91)</f>
        <v>89500</v>
      </c>
      <c r="N92" s="40" t="n">
        <f aca="false">SUM(N86:N91)</f>
        <v>89500</v>
      </c>
      <c r="O92" s="11" t="n">
        <f aca="false">SUM(C92:N92)</f>
        <v>959000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12000</v>
      </c>
      <c r="O95" s="40" t="n">
        <f aca="false">SUM(C95:N95)</f>
        <v>144000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8000</v>
      </c>
      <c r="D96" s="10" t="n">
        <f aca="false">INDEX(Assumptions!$C$107:$E$107,D$9)+IF(2&gt;=IF($Q$3=1,MAX(INDEX(Assumptions!$C$231:$E$231,D$9),$Q$4+1),INDEX(Assumptions!$C$231:$E$231,D$9))-1,INDEX(Assumptions!$C$230:$E$230,D$9),0)</f>
        <v>8000</v>
      </c>
      <c r="E96" s="10" t="n">
        <f aca="false">INDEX(Assumptions!$C$107:$E$107,E$9)+IF(3&gt;=IF($Q$3=1,MAX(INDEX(Assumptions!$C$231:$E$231,E$9),$Q$4+1),INDEX(Assumptions!$C$231:$E$231,E$9))-1,INDEX(Assumptions!$C$230:$E$230,E$9),0)</f>
        <v>8000</v>
      </c>
      <c r="F96" s="10" t="n">
        <f aca="false">INDEX(Assumptions!$C$107:$E$107,F$9)+IF(4&gt;=IF($Q$3=1,MAX(INDEX(Assumptions!$C$231:$E$231,F$9),$Q$4+1),INDEX(Assumptions!$C$231:$E$231,F$9))-1,INDEX(Assumptions!$C$230:$E$230,F$9),0)</f>
        <v>8000</v>
      </c>
      <c r="G96" s="10" t="n">
        <f aca="false">INDEX(Assumptions!$C$107:$E$107,G$9)+IF(5&gt;=IF($Q$3=1,MAX(INDEX(Assumptions!$C$231:$E$231,G$9),$Q$4+1),INDEX(Assumptions!$C$231:$E$231,G$9))-1,INDEX(Assumptions!$C$230:$E$230,G$9),0)</f>
        <v>8000</v>
      </c>
      <c r="H96" s="10" t="n">
        <f aca="false">INDEX(Assumptions!$C$107:$E$107,H$9)+IF(6&gt;=IF($Q$3=1,MAX(INDEX(Assumptions!$C$231:$E$231,H$9),$Q$4+1),INDEX(Assumptions!$C$231:$E$231,H$9))-1,INDEX(Assumptions!$C$230:$E$230,H$9),0)</f>
        <v>8000</v>
      </c>
      <c r="I96" s="10" t="n">
        <f aca="false">INDEX(Assumptions!$C$107:$E$107,I$9)+IF(7&gt;=IF($Q$3=1,MAX(INDEX(Assumptions!$C$231:$E$231,I$9),$Q$4+1),INDEX(Assumptions!$C$231:$E$231,I$9))-1,INDEX(Assumptions!$C$230:$E$230,I$9),0)</f>
        <v>8000</v>
      </c>
      <c r="J96" s="10" t="n">
        <f aca="false">INDEX(Assumptions!$C$107:$E$107,J$9)+IF(8&gt;=IF($Q$3=1,MAX(INDEX(Assumptions!$C$231:$E$231,J$9),$Q$4+1),INDEX(Assumptions!$C$231:$E$231,J$9))-1,INDEX(Assumptions!$C$230:$E$230,J$9),0)</f>
        <v>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96000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10000</v>
      </c>
      <c r="D97" s="10" t="n">
        <f aca="false">D18</f>
        <v>15000</v>
      </c>
      <c r="E97" s="10" t="n">
        <f aca="false">E18</f>
        <v>30000</v>
      </c>
      <c r="F97" s="10" t="n">
        <f aca="false">F18</f>
        <v>35000</v>
      </c>
      <c r="G97" s="10" t="n">
        <f aca="false">G18</f>
        <v>40000</v>
      </c>
      <c r="H97" s="10" t="n">
        <f aca="false">H18</f>
        <v>40000</v>
      </c>
      <c r="I97" s="10" t="n">
        <f aca="false">I18</f>
        <v>40000</v>
      </c>
      <c r="J97" s="10" t="n">
        <f aca="false">J18</f>
        <v>40000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410000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3333</v>
      </c>
      <c r="D98" s="10" t="n">
        <f aca="false">INDEX(Assumptions!$C$212:$E$212,D$9)</f>
        <v>3333</v>
      </c>
      <c r="E98" s="10" t="n">
        <f aca="false">INDEX(Assumptions!$C$212:$E$212,E$9)</f>
        <v>3333</v>
      </c>
      <c r="F98" s="10" t="n">
        <f aca="false">INDEX(Assumptions!$C$212:$E$212,F$9)</f>
        <v>3333</v>
      </c>
      <c r="G98" s="10" t="n">
        <f aca="false">INDEX(Assumptions!$C$212:$E$212,G$9)</f>
        <v>3333</v>
      </c>
      <c r="H98" s="10" t="n">
        <f aca="false">INDEX(Assumptions!$C$212:$E$212,H$9)</f>
        <v>3333</v>
      </c>
      <c r="I98" s="10" t="n">
        <f aca="false">INDEX(Assumptions!$C$212:$E$212,I$9)</f>
        <v>3333</v>
      </c>
      <c r="J98" s="10" t="n">
        <f aca="false">INDEX(Assumptions!$C$212:$E$212,J$9)</f>
        <v>3333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39996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12000</v>
      </c>
      <c r="D99" s="10" t="n">
        <f aca="false">INDEX(Assumptions!$C$237:$E$237,D$9)</f>
        <v>12000</v>
      </c>
      <c r="E99" s="10" t="n">
        <f aca="false">INDEX(Assumptions!$C$237:$E$237,E$9)</f>
        <v>12000</v>
      </c>
      <c r="F99" s="10" t="n">
        <f aca="false">INDEX(Assumptions!$C$237:$E$237,F$9)</f>
        <v>12000</v>
      </c>
      <c r="G99" s="10" t="n">
        <f aca="false">INDEX(Assumptions!$C$237:$E$237,G$9)</f>
        <v>12000</v>
      </c>
      <c r="H99" s="10" t="n">
        <f aca="false">INDEX(Assumptions!$C$237:$E$237,H$9)</f>
        <v>12000</v>
      </c>
      <c r="I99" s="10" t="n">
        <f aca="false">INDEX(Assumptions!$C$237:$E$237,I$9)</f>
        <v>12000</v>
      </c>
      <c r="J99" s="10" t="n">
        <f aca="false">INDEX(Assumptions!$C$237:$E$237,J$9)</f>
        <v>12000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144000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100000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172333</v>
      </c>
      <c r="D102" s="40" t="n">
        <f aca="false">D92+SUM(D94:D101)</f>
        <v>127333</v>
      </c>
      <c r="E102" s="40" t="n">
        <f aca="false">E92+SUM(E94:E101)</f>
        <v>249833</v>
      </c>
      <c r="F102" s="40" t="n">
        <f aca="false">F92+SUM(F94:F101)</f>
        <v>204833</v>
      </c>
      <c r="G102" s="40" t="n">
        <f aca="false">G92+SUM(G94:G101)</f>
        <v>209833</v>
      </c>
      <c r="H102" s="40" t="n">
        <f aca="false">H92+SUM(H94:H101)</f>
        <v>209833</v>
      </c>
      <c r="I102" s="40" t="n">
        <f aca="false">I92+SUM(I94:I101)</f>
        <v>209833</v>
      </c>
      <c r="J102" s="40" t="n">
        <f aca="false">J92+SUM(J94:J101)</f>
        <v>209833</v>
      </c>
      <c r="K102" s="40" t="n">
        <f aca="false">K92+SUM(K94:K101)</f>
        <v>209833</v>
      </c>
      <c r="L102" s="40" t="n">
        <f aca="false">L92+SUM(L94:L101)</f>
        <v>209833</v>
      </c>
      <c r="M102" s="40" t="n">
        <f aca="false">M92+SUM(M94:M101)</f>
        <v>209833</v>
      </c>
      <c r="N102" s="40" t="n">
        <f aca="false">N92+SUM(N94:N101)</f>
        <v>209833</v>
      </c>
      <c r="O102" s="11" t="n">
        <f aca="false">SUM(C102:N102)</f>
        <v>2432996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-144346.153976045</v>
      </c>
      <c r="D103" s="40" t="n">
        <f aca="false">D78-D102</f>
        <v>-91410.0242324826</v>
      </c>
      <c r="E103" s="40" t="n">
        <f aca="false">E78-E102</f>
        <v>-200644.814386482</v>
      </c>
      <c r="F103" s="40" t="n">
        <f aca="false">F78-F102</f>
        <v>-138107.595059093</v>
      </c>
      <c r="G103" s="40" t="n">
        <f aca="false">G78-G102</f>
        <v>-139107.381197608</v>
      </c>
      <c r="H103" s="40" t="n">
        <f aca="false">H78-H102</f>
        <v>-129840.181731849</v>
      </c>
      <c r="I103" s="40" t="n">
        <f aca="false">I78-I102</f>
        <v>-110416.041326049</v>
      </c>
      <c r="J103" s="40" t="n">
        <f aca="false">J78-J102</f>
        <v>-105383.509089826</v>
      </c>
      <c r="K103" s="40" t="n">
        <f aca="false">K78-K102</f>
        <v>-110212.155178049</v>
      </c>
      <c r="L103" s="40" t="n">
        <f aca="false">L78-L102</f>
        <v>-43975.704530034</v>
      </c>
      <c r="M103" s="40" t="n">
        <f aca="false">M78-M102</f>
        <v>-44412.8076020589</v>
      </c>
      <c r="N103" s="40" t="n">
        <f aca="false">N78-N102</f>
        <v>-44053.2597019463</v>
      </c>
      <c r="O103" s="11" t="n">
        <f aca="false">SUM(C103:N103)</f>
        <v>-1301909.62801152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-2.94288172614683</v>
      </c>
      <c r="D104" s="8" t="n">
        <f aca="false">IFERROR(D103/D66,0)</f>
        <v>-1.49265541339517</v>
      </c>
      <c r="E104" s="8" t="n">
        <f aca="false">IFERROR(E103/E66,0)</f>
        <v>-2.51181894339018</v>
      </c>
      <c r="F104" s="8" t="n">
        <f aca="false">IFERROR(F103/F66,0)</f>
        <v>-1.24391515664956</v>
      </c>
      <c r="G104" s="8" t="n">
        <f aca="false">IFERROR(G103/G66,0)</f>
        <v>-1.13357607441742</v>
      </c>
      <c r="H104" s="8" t="n">
        <f aca="false">IFERROR(H103/H66,0)</f>
        <v>-0.923765358336018</v>
      </c>
      <c r="I104" s="8" t="n">
        <f aca="false">IFERROR(I103/I66,0)</f>
        <v>-0.61871433820221</v>
      </c>
      <c r="J104" s="8" t="n">
        <f aca="false">IFERROR(J103/J66,0)</f>
        <v>-0.559262317014182</v>
      </c>
      <c r="K104" s="8" t="n">
        <f aca="false">IFERROR(K103/K66,0)</f>
        <v>-0.615681954901563</v>
      </c>
      <c r="L104" s="8" t="n">
        <f aca="false">IFERROR(L103/L66,0)</f>
        <v>-0.202929438357209</v>
      </c>
      <c r="M104" s="8" t="n">
        <f aca="false">IFERROR(M103/M66,0)</f>
        <v>-0.205490354119719</v>
      </c>
      <c r="N104" s="8" t="n">
        <f aca="false">IFERROR(N103/N66,0)</f>
        <v>-0.203287147541891</v>
      </c>
      <c r="O104" s="8" t="n">
        <f aca="false">IFERROR(O103/O66,0)</f>
        <v>-0.739759843706448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-219346.153976045</v>
      </c>
      <c r="D105" s="10" t="n">
        <f aca="false">D103-INDEX(Assumptions!$C$204:$E$204,$B$3)</f>
        <v>-166410.024232483</v>
      </c>
      <c r="E105" s="10" t="n">
        <f aca="false">E103-INDEX(Assumptions!$C$204:$E$204,$B$3)</f>
        <v>-275644.814386482</v>
      </c>
      <c r="F105" s="10" t="n">
        <f aca="false">F103-INDEX(Assumptions!$C$204:$E$204,$B$3)</f>
        <v>-213107.595059093</v>
      </c>
      <c r="G105" s="10" t="n">
        <f aca="false">G103-INDEX(Assumptions!$C$204:$E$204,$B$3)</f>
        <v>-214107.381197608</v>
      </c>
      <c r="H105" s="10" t="n">
        <f aca="false">H103-INDEX(Assumptions!$C$204:$E$204,$B$3)</f>
        <v>-204840.181731849</v>
      </c>
      <c r="I105" s="10" t="n">
        <f aca="false">I103-INDEX(Assumptions!$C$204:$E$204,$B$3)</f>
        <v>-185416.041326049</v>
      </c>
      <c r="J105" s="10" t="n">
        <f aca="false">J103-INDEX(Assumptions!$C$204:$E$204,$B$3)</f>
        <v>-180383.509089826</v>
      </c>
      <c r="K105" s="10" t="n">
        <f aca="false">K103-INDEX(Assumptions!$C$204:$E$204,$B$3)</f>
        <v>-185212.155178049</v>
      </c>
      <c r="L105" s="10" t="n">
        <f aca="false">L103-INDEX(Assumptions!$C$204:$E$204,$B$3)</f>
        <v>-118975.704530034</v>
      </c>
      <c r="M105" s="10" t="n">
        <f aca="false">M103-INDEX(Assumptions!$C$204:$E$204,$B$3)</f>
        <v>-119412.807602059</v>
      </c>
      <c r="N105" s="10" t="n">
        <f aca="false">N103-INDEX(Assumptions!$C$204:$E$204,$B$3)</f>
        <v>-119053.259701946</v>
      </c>
      <c r="O105" s="40" t="n">
        <f aca="false">SUM(C105:N105)</f>
        <v>-2201909.62801152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50000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-14272.0018900134</v>
      </c>
      <c r="E113" s="10" t="n">
        <f aca="false">((E67+IF(INDEX(Assumptions!$C$87:$E$87,$B$3)&gt;=2,D67,0)+IF(INDEX(Assumptions!$C$87:$E$87,$B$3)&gt;=3,C67,0))/INDEX(Assumptions!$C$87:$E$87,$B$3))-E67</f>
        <v>-2413.89579014753</v>
      </c>
      <c r="F113" s="10" t="n">
        <f aca="false">((F67+IF(INDEX(Assumptions!$C$87:$E$87,$B$3)&gt;=2,E67,0)+IF(INDEX(Assumptions!$C$87:$E$87,$B$3)&gt;=3,D67,0))/INDEX(Assumptions!$C$87:$E$87,$B$3))-F67</f>
        <v>-14661.9965679998</v>
      </c>
      <c r="G113" s="10" t="n">
        <f aca="false">((G67+IF(INDEX(Assumptions!$C$87:$E$87,$B$3)&gt;=2,F67,0)+IF(INDEX(Assumptions!$C$87:$E$87,$B$3)&gt;=3,E67,0))/INDEX(Assumptions!$C$87:$E$87,$B$3))-G67</f>
        <v>-16800.628035707</v>
      </c>
      <c r="H113" s="10" t="n">
        <f aca="false">((H67+IF(INDEX(Assumptions!$C$87:$E$87,$B$3)&gt;=2,G67,0)+IF(INDEX(Assumptions!$C$87:$E$87,$B$3)&gt;=3,F67,0))/INDEX(Assumptions!$C$87:$E$87,$B$3))-H67</f>
        <v>-13708.9341238873</v>
      </c>
      <c r="I113" s="10" t="n">
        <f aca="false">((I67+IF(INDEX(Assumptions!$C$87:$E$87,$B$3)&gt;=2,H67,0)+IF(INDEX(Assumptions!$C$87:$E$87,$B$3)&gt;=3,G67,0))/INDEX(Assumptions!$C$87:$E$87,$B$3))-I67</f>
        <v>-26037.3480876316</v>
      </c>
      <c r="J113" s="10" t="n">
        <f aca="false">((J67+IF(INDEX(Assumptions!$C$87:$E$87,$B$3)&gt;=2,I67,0)+IF(INDEX(Assumptions!$C$87:$E$87,$B$3)&gt;=3,H67,0))/INDEX(Assumptions!$C$87:$E$87,$B$3))-J67</f>
        <v>-14633.9064341747</v>
      </c>
      <c r="K113" s="10" t="n">
        <f aca="false">((K67+IF(INDEX(Assumptions!$C$87:$E$87,$B$3)&gt;=2,J67,0)+IF(INDEX(Assumptions!$C$87:$E$87,$B$3)&gt;=3,I67,0))/INDEX(Assumptions!$C$87:$E$87,$B$3))-K67</f>
        <v>4099.10884851441</v>
      </c>
      <c r="L113" s="10" t="n">
        <f aca="false">((L67+IF(INDEX(Assumptions!$C$87:$E$87,$B$3)&gt;=2,K67,0)+IF(INDEX(Assumptions!$C$87:$E$87,$B$3)&gt;=3,J67,0))/INDEX(Assumptions!$C$87:$E$87,$B$3))-L67</f>
        <v>-18465.8070154046</v>
      </c>
      <c r="M113" s="10" t="n">
        <f aca="false">((M67+IF(INDEX(Assumptions!$C$87:$E$87,$B$3)&gt;=2,L67,0)+IF(INDEX(Assumptions!$C$87:$E$87,$B$3)&gt;=3,K67,0))/INDEX(Assumptions!$C$87:$E$87,$B$3))-M67</f>
        <v>-5435.94023086617</v>
      </c>
      <c r="N113" s="10" t="n">
        <f aca="false">((N67+IF(INDEX(Assumptions!$C$87:$E$87,$B$3)&gt;=2,M67,0)+IF(INDEX(Assumptions!$C$87:$E$87,$B$3)&gt;=3,L67,0))/INDEX(Assumptions!$C$87:$E$87,$B$3))-N67</f>
        <v>7184.18231516483</v>
      </c>
      <c r="O113" s="40" t="n">
        <f aca="false">SUM(C113:N113)</f>
        <v>-138875.980571475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-218074.967535367</v>
      </c>
      <c r="D114" s="40" t="n">
        <f aca="false">D103+D113-D112</f>
        <v>-105682.026122496</v>
      </c>
      <c r="E114" s="40" t="n">
        <f aca="false">E103+E113-E112</f>
        <v>-203058.71017663</v>
      </c>
      <c r="F114" s="40" t="n">
        <f aca="false">F103+F113-F112</f>
        <v>-152769.591627093</v>
      </c>
      <c r="G114" s="40" t="n">
        <f aca="false">G103+G113-G112</f>
        <v>-155908.009233315</v>
      </c>
      <c r="H114" s="40" t="n">
        <f aca="false">H103+H113-H112</f>
        <v>-143549.115855736</v>
      </c>
      <c r="I114" s="40" t="n">
        <f aca="false">I103+I113-I112</f>
        <v>-136453.389413681</v>
      </c>
      <c r="J114" s="40" t="n">
        <f aca="false">J103+J113-J112</f>
        <v>-120017.415524</v>
      </c>
      <c r="K114" s="40" t="n">
        <f aca="false">K103+K113-K112</f>
        <v>-106113.046329535</v>
      </c>
      <c r="L114" s="40" t="n">
        <f aca="false">L103+L113-L112</f>
        <v>-62441.5115454386</v>
      </c>
      <c r="M114" s="40" t="n">
        <f aca="false">M103+M113-M112</f>
        <v>-49848.7478329251</v>
      </c>
      <c r="N114" s="40" t="n">
        <f aca="false">N103+N113-N112</f>
        <v>-36869.0773867815</v>
      </c>
      <c r="O114" s="11" t="n">
        <f aca="false">SUM(C114:N114)</f>
        <v>-1490785.608583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-218074.967535367</v>
      </c>
      <c r="D115" s="40" t="n">
        <f aca="false">C115+D114</f>
        <v>-323756.993657863</v>
      </c>
      <c r="E115" s="40" t="n">
        <f aca="false">D115+E114</f>
        <v>-526815.703834493</v>
      </c>
      <c r="F115" s="40" t="n">
        <f aca="false">E115+F114</f>
        <v>-679585.295461586</v>
      </c>
      <c r="G115" s="40" t="n">
        <f aca="false">F115+G114</f>
        <v>-835493.304694901</v>
      </c>
      <c r="H115" s="40" t="n">
        <f aca="false">G115+H114</f>
        <v>-979042.420550637</v>
      </c>
      <c r="I115" s="40" t="n">
        <f aca="false">H115+I114</f>
        <v>-1115495.80996432</v>
      </c>
      <c r="J115" s="40" t="n">
        <f aca="false">I115+J114</f>
        <v>-1235513.22548832</v>
      </c>
      <c r="K115" s="40" t="n">
        <f aca="false">J115+K114</f>
        <v>-1341626.27181785</v>
      </c>
      <c r="L115" s="40" t="n">
        <f aca="false">K115+L114</f>
        <v>-1404067.78336329</v>
      </c>
      <c r="M115" s="40" t="n">
        <f aca="false">L115+M114</f>
        <v>-1453916.53119622</v>
      </c>
      <c r="N115" s="40" t="n">
        <f aca="false">M115+N114</f>
        <v>-1490785.608583</v>
      </c>
      <c r="O115" s="11" t="n">
        <f aca="false">N115</f>
        <v>-1490785.608583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218074.967535367</v>
      </c>
      <c r="D116" s="40" t="n">
        <f aca="false">-MIN(0,MIN($C$115:D115))</f>
        <v>323756.993657863</v>
      </c>
      <c r="E116" s="40" t="n">
        <f aca="false">-MIN(0,MIN($C$115:E115))</f>
        <v>526815.703834493</v>
      </c>
      <c r="F116" s="40" t="n">
        <f aca="false">-MIN(0,MIN($C$115:F115))</f>
        <v>679585.295461586</v>
      </c>
      <c r="G116" s="40" t="n">
        <f aca="false">-MIN(0,MIN($C$115:G115))</f>
        <v>835493.304694901</v>
      </c>
      <c r="H116" s="40" t="n">
        <f aca="false">-MIN(0,MIN($C$115:H115))</f>
        <v>979042.420550637</v>
      </c>
      <c r="I116" s="40" t="n">
        <f aca="false">-MIN(0,MIN($C$115:I115))</f>
        <v>1115495.80996432</v>
      </c>
      <c r="J116" s="40" t="n">
        <f aca="false">-MIN(0,MIN($C$115:J115))</f>
        <v>1235513.22548832</v>
      </c>
      <c r="K116" s="40" t="n">
        <f aca="false">-MIN(0,MIN($C$115:K115))</f>
        <v>1341626.27181785</v>
      </c>
      <c r="L116" s="40" t="n">
        <f aca="false">-MIN(0,MIN($C$115:L115))</f>
        <v>1404067.78336329</v>
      </c>
      <c r="M116" s="40" t="n">
        <f aca="false">-MIN(0,MIN($C$115:M115))</f>
        <v>1453916.53119622</v>
      </c>
      <c r="N116" s="40" t="n">
        <f aca="false">-MIN(0,MIN($C$115:N115))</f>
        <v>1490785.608583</v>
      </c>
      <c r="O116" s="11" t="n">
        <f aca="false">MAX(C116:N116)</f>
        <v>1490785.608583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0</v>
      </c>
      <c r="L118" s="10" t="n">
        <f aca="false">IF(L116&gt;=INDEX(Assumptions!$C$172:$E$172,L$9),1,0)</f>
        <v>0</v>
      </c>
      <c r="M118" s="10" t="n">
        <f aca="false">IF(M116&gt;=INDEX(Assumptions!$C$172:$E$172,M$9),1,0)</f>
        <v>0</v>
      </c>
      <c r="N118" s="10" t="n">
        <f aca="false">IF(N116&gt;=INDEX(Assumptions!$C$172:$E$172,N$9),1,0)</f>
        <v>0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1.47229926933453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1.93584630170863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2.17426210431655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2.88629145683453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3.52949685251799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3.18586634892086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2.91994233812949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1.47229926933453</v>
      </c>
      <c r="D129" s="8" t="n">
        <f aca="false">C129/INDEX(Assumptions!$C$179:$E$179,$B$3)</f>
        <v>0.122691605777878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1.93584630170863</v>
      </c>
      <c r="D130" s="8" t="n">
        <f aca="false">C130/INDEX(Assumptions!$C$179:$E$179,$B$3)</f>
        <v>0.161320525142386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2.17426210431655</v>
      </c>
      <c r="D131" s="8" t="n">
        <f aca="false">C131/INDEX(Assumptions!$C$179:$E$179,$B$3)</f>
        <v>0.181188508693046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2.88629145683453</v>
      </c>
      <c r="D132" s="8" t="n">
        <f aca="false">C132/INDEX(Assumptions!$C$179:$E$179,$B$3)</f>
        <v>0.240524288069544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3.52949685251799</v>
      </c>
      <c r="D133" s="8" t="n">
        <f aca="false">C133/INDEX(Assumptions!$C$179:$E$179,$B$3)</f>
        <v>0.294124737709832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0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3.18586634892086</v>
      </c>
      <c r="D134" s="8" t="n">
        <f aca="false">C134/INDEX(Assumptions!$C$179:$E$179,$B$3)</f>
        <v>0.265488862410072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2.91994233812949</v>
      </c>
      <c r="D135" s="8" t="n">
        <f aca="false">C135/INDEX(Assumptions!$C$179:$E$179,$B$3)</f>
        <v>0.243328528177458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1.47229926933453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1.93584630170863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2.99608106115108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4.41945552158273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4.36038017985612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3.83104634892086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1.47229926933453</v>
      </c>
      <c r="D143" s="8" t="n">
        <f aca="false">C143/INDEX(Assumptions!$C$179:$E$179,$B$3)</f>
        <v>0.122691605777878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1.93584630170863</v>
      </c>
      <c r="D144" s="8" t="n">
        <f aca="false">C144/INDEX(Assumptions!$C$179:$E$179,$B$3)</f>
        <v>0.161320525142386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2.99608106115108</v>
      </c>
      <c r="D145" s="8" t="n">
        <f aca="false">C145/INDEX(Assumptions!$C$179:$E$179,$B$3)</f>
        <v>0.24967342176259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0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4.41945552158273</v>
      </c>
      <c r="D146" s="8" t="n">
        <f aca="false">C146/INDEX(Assumptions!$C$179:$E$179,$B$3)</f>
        <v>0.368287960131895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0</v>
      </c>
      <c r="H146" s="10" t="n">
        <f aca="false">IF(C146&gt;=INDEX(Assumptions!$C$180:$E$180,$B$3)*INDEX($C$25:$N$25,MIN(12,F146)),1,0)</f>
        <v>0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4.36038017985612</v>
      </c>
      <c r="D147" s="8" t="n">
        <f aca="false">C147/INDEX(Assumptions!$C$179:$E$179,$B$3)</f>
        <v>0.36336501498801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3.83104634892086</v>
      </c>
      <c r="D148" s="8" t="n">
        <f aca="false">C148/INDEX(Assumptions!$C$179:$E$179,$B$3)</f>
        <v>0.319253862410072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1759908.48798782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-1301909.62801152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-0.739759843706448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-2201909.62801152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50000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1490785.608583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1000000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-490785.608582998</v>
      </c>
    </row>
    <row r="160" customFormat="false" ht="15" hidden="false" customHeight="false" outlineLevel="0" collapsed="false">
      <c r="A160" s="3" t="s">
        <v>51</v>
      </c>
      <c r="B160" s="7" t="n">
        <f aca="false">O38</f>
        <v>33.1370242805755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3.63590647482014</v>
      </c>
    </row>
    <row r="162" customFormat="false" ht="15" hidden="false" customHeight="false" outlineLevel="0" collapsed="false">
      <c r="A162" s="3" t="s">
        <v>53</v>
      </c>
      <c r="B162" s="11" t="n">
        <f aca="false">O46</f>
        <v>67.5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0.483498201438849</v>
      </c>
    </row>
    <row r="164" customFormat="false" ht="15" hidden="false" customHeight="false" outlineLevel="0" collapsed="false">
      <c r="A164" s="3" t="s">
        <v>55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34929.9645127119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209833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57692.860181452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4.35557670730471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52.2669204876565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34317.6587808943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0.622997497868542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0.650763530821488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7.52884009442716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-132441.771834039</v>
      </c>
    </row>
    <row r="177" customFormat="false" ht="15" hidden="false" customHeight="false" outlineLevel="0" collapsed="false">
      <c r="A177" s="3" t="s">
        <v>68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-1490785.608583</v>
      </c>
    </row>
    <row r="179" customFormat="false" ht="15" hidden="false" customHeight="false" outlineLevel="0" collapsed="false">
      <c r="A179" s="3" t="s">
        <v>70</v>
      </c>
      <c r="B179" s="12" t="str">
        <f aca="false">IFERROR(MATCH(1,C118:N118,0),"not in Y1")</f>
        <v>not in Y1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7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1235513.22548832</v>
      </c>
    </row>
    <row r="182" customFormat="false" ht="15" hidden="false" customHeight="false" outlineLevel="0" collapsed="false">
      <c r="A182" s="3" t="s">
        <v>73</v>
      </c>
      <c r="B182" s="11" t="n">
        <f aca="false">O86</f>
        <v>615000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65000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76</v>
      </c>
      <c r="B185" s="11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973133.024280576</v>
      </c>
    </row>
    <row r="187" customFormat="false" ht="15" hidden="false" customHeight="false" outlineLevel="0" collapsed="false">
      <c r="A187" s="3" t="s">
        <v>78</v>
      </c>
      <c r="B187" s="11" t="n">
        <f aca="false">O97</f>
        <v>410000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0.122691605777878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0.161320525142386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0.215523865140031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2.91994233812949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2" t="str">
        <f aca="false">IFERROR(INDEX(F143:F148,MATCH(1,G143:G148,0)),"not in Y1")</f>
        <v>not in Y1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0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0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0.327108798960831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4.89543884892087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40323.2490675508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0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497057.228165961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1563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0</v>
      </c>
      <c r="R3" s="2" t="s">
        <v>1393</v>
      </c>
      <c r="S3" s="37" t="n">
        <v>1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1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0.333333333333333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0.3</v>
      </c>
      <c r="O12" s="39" t="n">
        <f aca="false">N12</f>
        <v>0.3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80000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100000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100000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100000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820000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1.65</v>
      </c>
      <c r="M30" s="16" t="n">
        <f aca="false">MAX(M24*INDEX(Assumptions!$C$26:$E$26,$B$3)*M28,M29)</f>
        <v>1.575</v>
      </c>
      <c r="N30" s="16" t="n">
        <f aca="false">MAX(N24*INDEX(Assumptions!$C$26:$E$26,$B$3)*N28,N29)</f>
        <v>1.5</v>
      </c>
      <c r="O30" s="38" t="n">
        <f aca="false">SUM(C30:N30)</f>
        <v>4.725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8.60896215257244</v>
      </c>
      <c r="J31" s="6" t="n">
        <f aca="false">I34+H34+I37+H37+1.25*I35</f>
        <v>11.7502735068007</v>
      </c>
      <c r="K31" s="6" t="n">
        <f aca="false">J34+I34+J37+I37+1.25*J35</f>
        <v>17.0481113542283</v>
      </c>
      <c r="L31" s="6" t="n">
        <f aca="false">K34+J34+K37+J37+1.25*K35</f>
        <v>15.9006487570424</v>
      </c>
      <c r="M31" s="6" t="n">
        <f aca="false">L34+K34+L37+K37+1.25*L35</f>
        <v>13.6107386094122</v>
      </c>
      <c r="N31" s="6" t="n">
        <f aca="false">M34+L34+M37+L37+1.25*M35</f>
        <v>13.2157369927081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12.1513113542283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14.12</v>
      </c>
      <c r="L32" s="6" t="n">
        <f aca="false">L24*(INDEX(Assumptions!$C$26:$E$26,$B$3)*(1-L28)+(1-INDEX(Assumptions!$C$26:$E$26,$B$3)))+1.25*L30+K36*INDEX(Assumptions!$C$89:$E$89,$B$3)</f>
        <v>12.4697119666188</v>
      </c>
      <c r="M32" s="6" t="n">
        <f aca="false">M24*(INDEX(Assumptions!$C$26:$E$26,$B$3)*(1-M28)+(1-INDEX(Assumptions!$C$26:$E$26,$B$3)))+1.25*M30+L36*INDEX(Assumptions!$C$89:$E$89,$B$3)</f>
        <v>12.0686884171763</v>
      </c>
      <c r="N32" s="6" t="n">
        <f aca="false">N24*(INDEX(Assumptions!$C$26:$E$26,$B$3)*(1-N28)+(1-INDEX(Assumptions!$C$26:$E$26,$B$3)))+1.25*N30+M36*INDEX(Assumptions!$C$89:$E$89,$B$3)</f>
        <v>11.635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0.806475458308693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0.704807977745873</v>
      </c>
      <c r="L33" s="8" t="n">
        <f aca="false">IF(L32&lt;=0,1,MAX(0,MIN(1,(L27-L31)/L32)))</f>
        <v>0.890104861497234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0.704807977745873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3.55655677114134</v>
      </c>
      <c r="I34" s="38" t="n">
        <f aca="false">I24*INDEX(Assumptions!$C$26:$E$26,$B$3)*(1-I28)*I33</f>
        <v>6.864</v>
      </c>
      <c r="J34" s="38" t="n">
        <f aca="false">J24*INDEX(Assumptions!$C$26:$E$26,$B$3)*(1-J28)*J33</f>
        <v>8.1</v>
      </c>
      <c r="K34" s="38" t="n">
        <f aca="false">K24*INDEX(Assumptions!$C$26:$E$26,$B$3)*(1-K28)*K33</f>
        <v>5.28605983309405</v>
      </c>
      <c r="L34" s="38" t="n">
        <f aca="false">L24*INDEX(Assumptions!$C$26:$E$26,$B$3)*(1-L28)*L33</f>
        <v>4.40601906441131</v>
      </c>
      <c r="M34" s="38" t="n">
        <f aca="false">M24*INDEX(Assumptions!$C$26:$E$26,$B$3)*(1-M28)*M33</f>
        <v>4.725</v>
      </c>
      <c r="N34" s="38" t="n">
        <f aca="false">N24*INDEX(Assumptions!$C$26:$E$26,$B$3)*(1-N28)*N33</f>
        <v>4.5</v>
      </c>
      <c r="O34" s="17" t="n">
        <f aca="false">SUM(C34:N34)</f>
        <v>49.0433606686467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1.46867302147044</v>
      </c>
      <c r="M35" s="16" t="n">
        <f aca="false">M30*M33</f>
        <v>1.575</v>
      </c>
      <c r="N35" s="16" t="n">
        <f aca="false">N30*N33</f>
        <v>1.5</v>
      </c>
      <c r="O35" s="38" t="n">
        <f aca="false">SUM(C35:N35)</f>
        <v>4.54367302147044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2.37103784742756</v>
      </c>
      <c r="I36" s="16" t="n">
        <f aca="false">I24*(1-INDEX(Assumptions!$C$26:$E$26,$B$3))*I33</f>
        <v>4.576</v>
      </c>
      <c r="J36" s="16" t="n">
        <f aca="false">J24*(1-INDEX(Assumptions!$C$26:$E$26,$B$3))*J33</f>
        <v>5.4</v>
      </c>
      <c r="K36" s="16" t="n">
        <f aca="false">K24*(1-INDEX(Assumptions!$C$26:$E$26,$B$3))*K33</f>
        <v>3.52403988872937</v>
      </c>
      <c r="L36" s="16" t="n">
        <f aca="false">L24*(1-INDEX(Assumptions!$C$26:$E$26,$B$3))*L33</f>
        <v>3.91646139058783</v>
      </c>
      <c r="M36" s="16" t="n">
        <f aca="false">M24*(1-INDEX(Assumptions!$C$26:$E$26,$B$3))*M33</f>
        <v>4.2</v>
      </c>
      <c r="N36" s="16" t="n">
        <f aca="false">N24*(1-INDEX(Assumptions!$C$26:$E$26,$B$3))*N33</f>
        <v>4</v>
      </c>
      <c r="O36" s="38" t="n">
        <f aca="false">SUM(C36:N36)</f>
        <v>35.7246891267448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0.618405381431106</v>
      </c>
      <c r="I37" s="16" t="n">
        <f aca="false">H36*INDEX(Assumptions!$C$89:$E$89,$B$3)*I33</f>
        <v>0.711311354228267</v>
      </c>
      <c r="J37" s="16" t="n">
        <f aca="false">I36*INDEX(Assumptions!$C$89:$E$89,$B$3)*J33</f>
        <v>1.3728</v>
      </c>
      <c r="K37" s="16" t="n">
        <f aca="false">J36*INDEX(Assumptions!$C$89:$E$89,$B$3)*K33</f>
        <v>1.14178892394831</v>
      </c>
      <c r="L37" s="16" t="n">
        <f aca="false">K36*INDEX(Assumptions!$C$89:$E$89,$B$3)*L33</f>
        <v>0.941029511120454</v>
      </c>
      <c r="M37" s="16" t="n">
        <f aca="false">L36*INDEX(Assumptions!$C$89:$E$89,$B$3)*M33</f>
        <v>1.17493841717635</v>
      </c>
      <c r="N37" s="16" t="n">
        <f aca="false">M36*INDEX(Assumptions!$C$89:$E$89,$B$3)*N33</f>
        <v>1.26</v>
      </c>
      <c r="O37" s="38" t="n">
        <f aca="false">SUM(C37:N37)</f>
        <v>8.77461858790449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5.9275946185689</v>
      </c>
      <c r="I38" s="38" t="n">
        <f aca="false">I34+I35+I36</f>
        <v>11.44</v>
      </c>
      <c r="J38" s="38" t="n">
        <f aca="false">J34+J35+J36</f>
        <v>13.5</v>
      </c>
      <c r="K38" s="38" t="n">
        <f aca="false">K34+K35+K36</f>
        <v>8.81009972182342</v>
      </c>
      <c r="L38" s="38" t="n">
        <f aca="false">L34+L35+L36</f>
        <v>9.79115347646957</v>
      </c>
      <c r="M38" s="38" t="n">
        <f aca="false">M34+M35+M36</f>
        <v>10.5</v>
      </c>
      <c r="N38" s="38" t="n">
        <f aca="false">N34+N35+N36</f>
        <v>10</v>
      </c>
      <c r="O38" s="17" t="n">
        <f aca="false">SUM(C38:N38)</f>
        <v>89.3117228168619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13.5</v>
      </c>
      <c r="K39" s="16" t="n">
        <f aca="false">IF(9&lt;IF($Q$3=1,$Q$4+1,INDEX(Assumptions!$C$215:$E$215,$D$3)),K24,K38)</f>
        <v>8.81009972182342</v>
      </c>
      <c r="L39" s="16" t="n">
        <f aca="false">IF(10&lt;IF($Q$3=1,$Q$4+1,INDEX(Assumptions!$C$215:$E$215,$D$3)),L24,L38)</f>
        <v>9.79115347646957</v>
      </c>
      <c r="M39" s="16" t="n">
        <f aca="false">IF(11&lt;IF($Q$3=1,$Q$4+1,INDEX(Assumptions!$C$215:$E$215,$D$3)),M24,M38)</f>
        <v>10.5</v>
      </c>
      <c r="N39" s="16" t="n">
        <f aca="false">IF(12&lt;IF($Q$3=1,$Q$4+1,INDEX(Assumptions!$C$215:$E$215,$D$3)),N24,N38)</f>
        <v>10</v>
      </c>
      <c r="O39" s="38" t="n">
        <f aca="false">SUM(C39:N39)</f>
        <v>90.734128198293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1.48189865464222</v>
      </c>
      <c r="I40" s="16" t="n">
        <f aca="false">I38*INDEX(Assumptions!$C$74:$E$74,$B$3)</f>
        <v>2.86</v>
      </c>
      <c r="J40" s="16" t="n">
        <f aca="false">J38*INDEX(Assumptions!$C$74:$E$74,$B$3)</f>
        <v>3.375</v>
      </c>
      <c r="K40" s="16" t="n">
        <f aca="false">K38*INDEX(Assumptions!$C$74:$E$74,$B$3)</f>
        <v>2.20252493045585</v>
      </c>
      <c r="L40" s="16" t="n">
        <f aca="false">L38*INDEX(Assumptions!$C$74:$E$74,$B$3)</f>
        <v>2.44778836911739</v>
      </c>
      <c r="M40" s="16" t="n">
        <f aca="false">M38*INDEX(Assumptions!$C$74:$E$74,$B$3)</f>
        <v>2.625</v>
      </c>
      <c r="N40" s="16" t="n">
        <f aca="false">N38*INDEX(Assumptions!$C$74:$E$74,$B$3)</f>
        <v>2.5</v>
      </c>
      <c r="O40" s="38" t="n">
        <f aca="false">SUM(C40:N40)</f>
        <v>22.3279307042155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2.9033116499113</v>
      </c>
      <c r="I41" s="16" t="n">
        <f aca="false">I10*MIN(I16,I21*I20)*I22*I23*I33</f>
        <v>6.24</v>
      </c>
      <c r="J41" s="16" t="n">
        <f aca="false">J10*MIN(J16,J21*J20)*J22*J23*J33</f>
        <v>8.1</v>
      </c>
      <c r="K41" s="16" t="n">
        <f aca="false">K10*MIN(K16,K21*K20)*K22*K23*K33</f>
        <v>5.28605983309405</v>
      </c>
      <c r="L41" s="16" t="n">
        <f aca="false">L10*MIN(L16,L21*L20)*L22*L23*L33</f>
        <v>5.87469208588174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48.1963135688871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14.4</v>
      </c>
      <c r="I42" s="6" t="n">
        <f aca="false">I31+I34+I37+I36+1.25*I35</f>
        <v>20.7602735068007</v>
      </c>
      <c r="J42" s="6" t="n">
        <f aca="false">J31+J34+J37+J36+1.25*J35</f>
        <v>26.6230735068007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25.6794270265885</v>
      </c>
      <c r="N42" s="6" t="n">
        <f aca="false">N31+N34+N37+N36+1.25*N35</f>
        <v>24.8507369927081</v>
      </c>
      <c r="O42" s="41" t="n">
        <f aca="false">AVERAGE(C42:N42)</f>
        <v>16.7702392527415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0.8002715625</v>
      </c>
      <c r="H43" s="39" t="n">
        <f aca="false">H42/(H25*H26)</f>
        <v>0.9</v>
      </c>
      <c r="I43" s="39" t="n">
        <f aca="false">I42/(I25*I26)</f>
        <v>0.692009116893357</v>
      </c>
      <c r="J43" s="39" t="n">
        <f aca="false">J42/(J25*J26)</f>
        <v>0.887435783560024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0.855980900886284</v>
      </c>
      <c r="N43" s="39" t="n">
        <f aca="false">N42/(N25*N26)</f>
        <v>0.828357899756937</v>
      </c>
      <c r="O43" s="9" t="n">
        <f aca="false">N43</f>
        <v>0.828357899756937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180841.869719051</v>
      </c>
      <c r="I56" s="10" t="n">
        <f aca="false">I34*I53/(1+INDEX(Assumptions!$C$15:$E$15,$B$3)*$H$4)</f>
        <v>465355.93220339</v>
      </c>
      <c r="J56" s="10" t="n">
        <f aca="false">J34*J53/(1+INDEX(Assumptions!$C$15:$E$15,$B$3)*$H$4)</f>
        <v>549152.542372881</v>
      </c>
      <c r="K56" s="10" t="n">
        <f aca="false">K34*K53/(1+INDEX(Assumptions!$C$15:$E$15,$B$3)*$H$4)</f>
        <v>358376.937836885</v>
      </c>
      <c r="L56" s="10" t="n">
        <f aca="false">L34*L53/(1+INDEX(Assumptions!$C$15:$E$15,$B$3)*$H$4)</f>
        <v>298713.156909241</v>
      </c>
      <c r="M56" s="10" t="n">
        <f aca="false">M34*M53/(1+INDEX(Assumptions!$C$15:$E$15,$B$3)*$H$4)</f>
        <v>320338.983050848</v>
      </c>
      <c r="N56" s="10" t="n">
        <f aca="false">N34*N53/(1+INDEX(Assumptions!$C$15:$E$15,$B$3)*$H$4)</f>
        <v>305084.745762712</v>
      </c>
      <c r="O56" s="40" t="n">
        <f aca="false">SUM(C56:N56)</f>
        <v>3067985.7780245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99571.0523030804</v>
      </c>
      <c r="M57" s="10" t="n">
        <f aca="false">M35*M53/(1+INDEX(Assumptions!$C$15:$E$15,$B$3)*$H$4)</f>
        <v>106779.661016949</v>
      </c>
      <c r="N57" s="10" t="n">
        <f aca="false">N35*N53/(1+INDEX(Assumptions!$C$15:$E$15,$B$3)*$H$4)</f>
        <v>101694.915254237</v>
      </c>
      <c r="O57" s="40" t="n">
        <f aca="false">SUM(C57:N57)</f>
        <v>308045.628574267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10533.8543786146</v>
      </c>
      <c r="I58" s="10" t="n">
        <f aca="false">I37*MAX(0,I53-INDEX(Assumptions!$C$18:$E$18,$B$3)*$H$3)/(1+INDEX(Assumptions!$C$15:$E$15,$B$3)*$H$4)</f>
        <v>24172.5299191132</v>
      </c>
      <c r="J58" s="10" t="n">
        <f aca="false">J37*MAX(0,J53-INDEX(Assumptions!$C$18:$E$18,$B$3)*$H$3)/(1+INDEX(Assumptions!$C$15:$E$15,$B$3)*$H$4)</f>
        <v>46651.9322033898</v>
      </c>
      <c r="K58" s="10" t="n">
        <f aca="false">K37*MAX(0,K53-INDEX(Assumptions!$C$18:$E$18,$B$3)*$H$3)/(1+INDEX(Assumptions!$C$15:$E$15,$B$3)*$H$4)</f>
        <v>38801.4710595995</v>
      </c>
      <c r="L58" s="10" t="n">
        <f aca="false">L37*MAX(0,L53-INDEX(Assumptions!$C$18:$E$18,$B$3)*$H$3)/(1+INDEX(Assumptions!$C$15:$E$15,$B$3)*$H$4)</f>
        <v>31979.0537253646</v>
      </c>
      <c r="M58" s="10" t="n">
        <f aca="false">M37*MAX(0,M53-INDEX(Assumptions!$C$18:$E$18,$B$3)*$H$3)/(1+INDEX(Assumptions!$C$15:$E$15,$B$3)*$H$4)</f>
        <v>39927.9919735352</v>
      </c>
      <c r="N58" s="10" t="n">
        <f aca="false">N37*MAX(0,N53-INDEX(Assumptions!$C$18:$E$18,$B$3)*$H$3)/(1+INDEX(Assumptions!$C$15:$E$15,$B$3)*$H$4)</f>
        <v>42818.6440677966</v>
      </c>
      <c r="O58" s="40" t="n">
        <f aca="false">SUM(C58:N58)</f>
        <v>261362.031988431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80173.2289087793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182593.220338983</v>
      </c>
      <c r="K59" s="10" t="n">
        <f aca="false">K36*INDEX(Assumptions!$C$18:$E$18,$B$3)*$H$3/(1+INDEX(Assumptions!$C$15:$E$15,$B$3)*$H$4)</f>
        <v>119160.331830764</v>
      </c>
      <c r="L59" s="10" t="n">
        <f aca="false">L36*INDEX(Assumptions!$C$18:$E$18,$B$3)*$H$3/(1+INDEX(Assumptions!$C$15:$E$15,$B$3)*$H$4)</f>
        <v>132429.499563097</v>
      </c>
      <c r="M59" s="10" t="n">
        <f aca="false">M36*INDEX(Assumptions!$C$18:$E$18,$B$3)*$H$3/(1+INDEX(Assumptions!$C$15:$E$15,$B$3)*$H$4)</f>
        <v>142016.949152542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1207978.8950484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7776</v>
      </c>
      <c r="K65" s="10" t="n">
        <f aca="false">(K34+K35)*(1-K54)*INDEX(Assumptions!$C$90:$E$90,$B$3)</f>
        <v>5074.61743977029</v>
      </c>
      <c r="L65" s="10" t="n">
        <f aca="false">(L34+L35)*(1-L54)*INDEX(Assumptions!$C$90:$E$90,$B$3)</f>
        <v>5639.70440244647</v>
      </c>
      <c r="M65" s="10" t="n">
        <f aca="false">(M34+M35)*(1-M54)*INDEX(Assumptions!$C$90:$E$90,$B$3)</f>
        <v>6048</v>
      </c>
      <c r="N65" s="10" t="n">
        <f aca="false">(N34+N35)*(1-N54)*INDEX(Assumptions!$C$90:$E$90,$B$3)</f>
        <v>5760</v>
      </c>
      <c r="O65" s="40" t="n">
        <f aca="false">SUM(C65:N65)</f>
        <v>36887.7618422168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450922.531311212</v>
      </c>
      <c r="I66" s="40" t="n">
        <f aca="false">SUM(I56:I65)</f>
        <v>857599.961113822</v>
      </c>
      <c r="J66" s="40" t="n">
        <f aca="false">SUM(J56:J65)</f>
        <v>1018862.18893058</v>
      </c>
      <c r="K66" s="40" t="n">
        <f aca="false">SUM(K56:K65)</f>
        <v>773717.743523333</v>
      </c>
      <c r="L66" s="40" t="n">
        <f aca="false">SUM(L56:L65)</f>
        <v>832281.875711701</v>
      </c>
      <c r="M66" s="40" t="n">
        <f aca="false">SUM(M56:M65)</f>
        <v>897770.21085928</v>
      </c>
      <c r="N66" s="40" t="n">
        <f aca="false">SUM(N56:N65)</f>
        <v>891980.384895221</v>
      </c>
      <c r="O66" s="11" t="n">
        <f aca="false">SUM(C66:N66)</f>
        <v>7096610.72610592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271548.953006445</v>
      </c>
      <c r="I67" s="10" t="n">
        <f aca="false">I56+I57+I58+I59</f>
        <v>644259.30958013</v>
      </c>
      <c r="J67" s="10" t="n">
        <f aca="false">J56+J57+J58+J59</f>
        <v>778397.694915254</v>
      </c>
      <c r="K67" s="10" t="n">
        <f aca="false">K56+K57+K58+K59</f>
        <v>516338.740727249</v>
      </c>
      <c r="L67" s="10" t="n">
        <f aca="false">L56+L57+L58+L59</f>
        <v>562692.762500783</v>
      </c>
      <c r="M67" s="10" t="n">
        <f aca="false">M56+M57+M58+M59</f>
        <v>609063.585193874</v>
      </c>
      <c r="N67" s="10" t="n">
        <f aca="false">N56+N57+N58+N59</f>
        <v>584852.542372881</v>
      </c>
      <c r="O67" s="40" t="n">
        <f aca="false">SUM(C67:N67)</f>
        <v>4845372.3336356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25049.7729154347</v>
      </c>
      <c r="I69" s="10" t="n">
        <f aca="false">((I34+I37)*INDEX(Assumptions!$C$91:$E$91,$B$3)+I35*(INDEX(Assumptions!$C$93:$E$93,$B$3)+IF($Q$3=1,INDEX(Assumptions!$C$282:$E$282,$B$3),0)))*$N$3</f>
        <v>45451.8681253696</v>
      </c>
      <c r="J69" s="10" t="n">
        <f aca="false">((J34+J37)*INDEX(Assumptions!$C$91:$E$91,$B$3)+J35*(INDEX(Assumptions!$C$93:$E$93,$B$3)+IF($Q$3=1,INDEX(Assumptions!$C$282:$E$282,$B$3),0)))*$N$3</f>
        <v>56836.8</v>
      </c>
      <c r="K69" s="10" t="n">
        <f aca="false">((K34+K37)*INDEX(Assumptions!$C$91:$E$91,$B$3)+K35*(INDEX(Assumptions!$C$93:$E$93,$B$3)+IF($Q$3=1,INDEX(Assumptions!$C$282:$E$282,$B$3),0)))*$N$3</f>
        <v>38567.0925422542</v>
      </c>
      <c r="L69" s="10" t="n">
        <f aca="false">((L34+L37)*INDEX(Assumptions!$C$91:$E$91,$B$3)+L35*(INDEX(Assumptions!$C$93:$E$93,$B$3)+IF($Q$3=1,INDEX(Assumptions!$C$282:$E$282,$B$3),0)))*$N$3</f>
        <v>43097.3391142188</v>
      </c>
      <c r="M69" s="10" t="n">
        <f aca="false">((M34+M37)*INDEX(Assumptions!$C$91:$E$91,$B$3)+M35*(INDEX(Assumptions!$C$93:$E$93,$B$3)+IF($Q$3=1,INDEX(Assumptions!$C$282:$E$282,$B$3),0)))*$N$3</f>
        <v>47212.1305030581</v>
      </c>
      <c r="N69" s="10" t="n">
        <f aca="false">((N34+N37)*INDEX(Assumptions!$C$91:$E$91,$B$3)+N35*(INDEX(Assumptions!$C$93:$E$93,$B$3)+IF($Q$3=1,INDEX(Assumptions!$C$282:$E$282,$B$3),0)))*$N$3</f>
        <v>45810</v>
      </c>
      <c r="O69" s="40" t="n">
        <f aca="false">SUM(C69:N69)</f>
        <v>380985.423200335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42678.681253696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181947.381253696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4742.07569485512</v>
      </c>
      <c r="I71" s="10" t="n">
        <f aca="false">I36*INDEX(Assumptions!$C$92:$E$92,$B$3)*$N$3</f>
        <v>9152</v>
      </c>
      <c r="J71" s="10" t="n">
        <f aca="false">J36*INDEX(Assumptions!$C$92:$E$92,$B$3)*$N$3</f>
        <v>10800</v>
      </c>
      <c r="K71" s="10" t="n">
        <f aca="false">K36*INDEX(Assumptions!$C$92:$E$92,$B$3)*$N$3</f>
        <v>7048.07977745873</v>
      </c>
      <c r="L71" s="10" t="n">
        <f aca="false">L36*INDEX(Assumptions!$C$92:$E$92,$B$3)*$N$3</f>
        <v>7832.92278117566</v>
      </c>
      <c r="M71" s="10" t="n">
        <f aca="false">M36*INDEX(Assumptions!$C$92:$E$92,$B$3)*$N$3</f>
        <v>8400</v>
      </c>
      <c r="N71" s="10" t="n">
        <f aca="false">N36*INDEX(Assumptions!$C$92:$E$92,$B$3)*$N$3</f>
        <v>8000</v>
      </c>
      <c r="O71" s="40" t="n">
        <f aca="false">SUM(C71:N71)</f>
        <v>71449.3782534895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14593.6804415614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30348.1218251159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36348.5100587617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26461.4728908631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28526.7886464594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30831.8900105325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30334.9420835272</v>
      </c>
      <c r="O75" s="40" t="n">
        <f aca="false">SUM(C75:N75)</f>
        <v>242592.187642925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3556.55677114134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8100</v>
      </c>
      <c r="K76" s="10" t="n">
        <f aca="false">K38*INDEX(Assumptions!$C$240:$E$240,$B$3)*INDEX(Assumptions!$C$69:$E$69,$B$3)</f>
        <v>5286.05983309405</v>
      </c>
      <c r="L76" s="10" t="n">
        <f aca="false">L38*INDEX(Assumptions!$C$240:$E$240,$B$3)*INDEX(Assumptions!$C$69:$E$69,$B$3)</f>
        <v>5874.69208588174</v>
      </c>
      <c r="M76" s="10" t="n">
        <f aca="false">M38*INDEX(Assumptions!$C$240:$E$240,$B$3)*INDEX(Assumptions!$C$69:$E$69,$B$3)</f>
        <v>6300</v>
      </c>
      <c r="N76" s="10" t="n">
        <f aca="false">N38*INDEX(Assumptions!$C$240:$E$240,$B$3)*INDEX(Assumptions!$C$69:$E$69,$B$3)</f>
        <v>6000</v>
      </c>
      <c r="O76" s="40" t="n">
        <f aca="false">SUM(C76:N76)</f>
        <v>53587.0336901171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112648.500660178</v>
      </c>
      <c r="I77" s="40" t="n">
        <f aca="false">SUM(I69:I76)</f>
        <v>118078.916779754</v>
      </c>
      <c r="J77" s="40" t="n">
        <f aca="false">SUM(J69:J76)</f>
        <v>142107.351334559</v>
      </c>
      <c r="K77" s="40" t="n">
        <f aca="false">SUM(K69:K76)</f>
        <v>133150.224743482</v>
      </c>
      <c r="L77" s="40" t="n">
        <f aca="false">SUM(L69:L76)</f>
        <v>141967.47996357</v>
      </c>
      <c r="M77" s="40" t="n">
        <f aca="false">SUM(M69:M76)</f>
        <v>151062.497061433</v>
      </c>
      <c r="N77" s="40" t="n">
        <f aca="false">SUM(N69:N76)</f>
        <v>150146.157843377</v>
      </c>
      <c r="O77" s="11" t="n">
        <f aca="false">SUM(C77:N77)</f>
        <v>1295409.37660154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338274.030651033</v>
      </c>
      <c r="I78" s="40" t="n">
        <f aca="false">I66-I77</f>
        <v>739521.044334068</v>
      </c>
      <c r="J78" s="40" t="n">
        <f aca="false">J66-J77</f>
        <v>876754.837596023</v>
      </c>
      <c r="K78" s="40" t="n">
        <f aca="false">K66-K77</f>
        <v>640567.51877985</v>
      </c>
      <c r="L78" s="40" t="n">
        <f aca="false">L66-L77</f>
        <v>690314.395748131</v>
      </c>
      <c r="M78" s="40" t="n">
        <f aca="false">M66-M77</f>
        <v>746707.713797847</v>
      </c>
      <c r="N78" s="40" t="n">
        <f aca="false">N66-N77</f>
        <v>741834.227051843</v>
      </c>
      <c r="O78" s="11" t="n">
        <f aca="false">SUM(C78:N78)</f>
        <v>5801201.34950438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0.750182142523209</v>
      </c>
      <c r="I79" s="8" t="n">
        <f aca="false">IFERROR(I78/I66,0)</f>
        <v>0.862314689676062</v>
      </c>
      <c r="J79" s="8" t="n">
        <f aca="false">IFERROR(J78/J66,0)</f>
        <v>0.860523481116011</v>
      </c>
      <c r="K79" s="8" t="n">
        <f aca="false">IFERROR(K78/K66,0)</f>
        <v>0.827908528842641</v>
      </c>
      <c r="L79" s="8" t="n">
        <f aca="false">IFERROR(L78/L66,0)</f>
        <v>0.829423799668626</v>
      </c>
      <c r="M79" s="8" t="n">
        <f aca="false">IFERROR(M78/M66,0)</f>
        <v>0.831735899415902</v>
      </c>
      <c r="N79" s="8" t="n">
        <f aca="false">IFERROR(N78/N66,0)</f>
        <v>0.831671009378738</v>
      </c>
      <c r="O79" s="13" t="n">
        <f aca="false">IFERROR(O78/O66,0)</f>
        <v>0.81746083777201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1.6</v>
      </c>
      <c r="J82" s="6" t="n">
        <f aca="false">J81*(1-J12)</f>
        <v>1.7</v>
      </c>
      <c r="K82" s="6" t="n">
        <f aca="false">K81*(1-K12)</f>
        <v>1.8</v>
      </c>
      <c r="L82" s="6" t="n">
        <f aca="false">L81*(1-L12)</f>
        <v>1.9</v>
      </c>
      <c r="M82" s="6" t="n">
        <f aca="false">M81*(1-M12)</f>
        <v>2</v>
      </c>
      <c r="N82" s="6" t="n">
        <f aca="false">N81*(1-N12)</f>
        <v>2.1</v>
      </c>
      <c r="O82" s="41" t="n">
        <f aca="false">MAX(C82:N82)</f>
        <v>2.1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96000</v>
      </c>
      <c r="M86" s="10" t="n">
        <f aca="false">M83*INDEX(Assumptions!$C$98:$E$98,$B$3)*$W$4+M84*INDEX(Assumptions!$C$99:$E$99,$B$3)+M85*INDEX(Assumptions!$C$100:$E$100,$B$3)</f>
        <v>96000</v>
      </c>
      <c r="N86" s="10" t="n">
        <f aca="false">N83*INDEX(Assumptions!$C$98:$E$98,$B$3)*$W$4+N84*INDEX(Assumptions!$C$99:$E$99,$B$3)+N85*INDEX(Assumptions!$C$100:$E$100,$B$3)</f>
        <v>96000</v>
      </c>
      <c r="O86" s="40" t="n">
        <f aca="false">SUM(C86:N86)</f>
        <v>984000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43000</v>
      </c>
      <c r="D92" s="40" t="n">
        <f aca="false">SUM(D86:D91)</f>
        <v>178000</v>
      </c>
      <c r="E92" s="40" t="n">
        <f aca="false">SUM(E86:E91)</f>
        <v>193000</v>
      </c>
      <c r="F92" s="40" t="n">
        <f aca="false">SUM(F86:F91)</f>
        <v>193000</v>
      </c>
      <c r="G92" s="40" t="n">
        <f aca="false">SUM(G86:G91)</f>
        <v>193000</v>
      </c>
      <c r="H92" s="40" t="n">
        <f aca="false">SUM(H86:H91)</f>
        <v>193000</v>
      </c>
      <c r="I92" s="40" t="n">
        <f aca="false">SUM(I86:I91)</f>
        <v>241500</v>
      </c>
      <c r="J92" s="40" t="n">
        <f aca="false">SUM(J86:J91)</f>
        <v>241500</v>
      </c>
      <c r="K92" s="40" t="n">
        <f aca="false">SUM(K86:K91)</f>
        <v>241500</v>
      </c>
      <c r="L92" s="40" t="n">
        <f aca="false">SUM(L86:L91)</f>
        <v>241500</v>
      </c>
      <c r="M92" s="40" t="n">
        <f aca="false">SUM(M86:M91)</f>
        <v>241500</v>
      </c>
      <c r="N92" s="40" t="n">
        <f aca="false">SUM(N86:N91)</f>
        <v>241500</v>
      </c>
      <c r="O92" s="11" t="n">
        <f aca="false">SUM(C92:N92)</f>
        <v>2442000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153600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271833</v>
      </c>
      <c r="D102" s="40" t="n">
        <f aca="false">D92+SUM(D94:D101)</f>
        <v>286833</v>
      </c>
      <c r="E102" s="40" t="n">
        <f aca="false">E92+SUM(E94:E101)</f>
        <v>476833</v>
      </c>
      <c r="F102" s="40" t="n">
        <f aca="false">F92+SUM(F94:F101)</f>
        <v>336833</v>
      </c>
      <c r="G102" s="40" t="n">
        <f aca="false">G92+SUM(G94:G101)</f>
        <v>346833</v>
      </c>
      <c r="H102" s="40" t="n">
        <f aca="false">H92+SUM(H94:H101)</f>
        <v>346833</v>
      </c>
      <c r="I102" s="40" t="n">
        <f aca="false">I92+SUM(I94:I101)</f>
        <v>489933</v>
      </c>
      <c r="J102" s="40" t="n">
        <f aca="false">J92+SUM(J94:J101)</f>
        <v>509933</v>
      </c>
      <c r="K102" s="40" t="n">
        <f aca="false">K92+SUM(K94:K101)</f>
        <v>514933</v>
      </c>
      <c r="L102" s="40" t="n">
        <f aca="false">L92+SUM(L94:L101)</f>
        <v>514933</v>
      </c>
      <c r="M102" s="40" t="n">
        <f aca="false">M92+SUM(M94:M101)</f>
        <v>514933</v>
      </c>
      <c r="N102" s="40" t="n">
        <f aca="false">N92+SUM(N94:N101)</f>
        <v>514933</v>
      </c>
      <c r="O102" s="11" t="n">
        <f aca="false">SUM(C102:N102)</f>
        <v>5125596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-184431.846949089</v>
      </c>
      <c r="D103" s="40" t="n">
        <f aca="false">D78-D102</f>
        <v>-164413.933075441</v>
      </c>
      <c r="E103" s="40" t="n">
        <f aca="false">E78-E102</f>
        <v>-273143.711470079</v>
      </c>
      <c r="F103" s="40" t="n">
        <f aca="false">F78-F102</f>
        <v>-54086.1106493325</v>
      </c>
      <c r="G103" s="40" t="n">
        <f aca="false">G78-G102</f>
        <v>-15861.8163104748</v>
      </c>
      <c r="H103" s="40" t="n">
        <f aca="false">H78-H102</f>
        <v>-8558.96934896655</v>
      </c>
      <c r="I103" s="40" t="n">
        <f aca="false">I78-I102</f>
        <v>249588.044334068</v>
      </c>
      <c r="J103" s="40" t="n">
        <f aca="false">J78-J102</f>
        <v>366821.837596023</v>
      </c>
      <c r="K103" s="40" t="n">
        <f aca="false">K78-K102</f>
        <v>125634.51877985</v>
      </c>
      <c r="L103" s="40" t="n">
        <f aca="false">L78-L102</f>
        <v>175381.395748131</v>
      </c>
      <c r="M103" s="40" t="n">
        <f aca="false">M78-M102</f>
        <v>231774.713797847</v>
      </c>
      <c r="N103" s="40" t="n">
        <f aca="false">N78-N102</f>
        <v>226901.227051843</v>
      </c>
      <c r="O103" s="11" t="n">
        <f aca="false">SUM(C103:N103)</f>
        <v>675605.349504378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-1.54800095967371</v>
      </c>
      <c r="D104" s="8" t="n">
        <f aca="false">IFERROR(D103/D66,0)</f>
        <v>-0.998411826484288</v>
      </c>
      <c r="E104" s="8" t="n">
        <f aca="false">IFERROR(E103/E66,0)</f>
        <v>-1.01652991340101</v>
      </c>
      <c r="F104" s="8" t="n">
        <f aca="false">IFERROR(F103/F66,0)</f>
        <v>-0.144174804474631</v>
      </c>
      <c r="G104" s="8" t="n">
        <f aca="false">IFERROR(G103/G66,0)</f>
        <v>-0.0355794701276828</v>
      </c>
      <c r="H104" s="8" t="n">
        <f aca="false">IFERROR(H103/H66,0)</f>
        <v>-0.0189810194759584</v>
      </c>
      <c r="I104" s="8" t="n">
        <f aca="false">IFERROR(I103/I66,0)</f>
        <v>0.291030848473817</v>
      </c>
      <c r="J104" s="8" t="n">
        <f aca="false">IFERROR(J103/J66,0)</f>
        <v>0.360030867355129</v>
      </c>
      <c r="K104" s="8" t="n">
        <f aca="false">IFERROR(K103/K66,0)</f>
        <v>0.162377714394579</v>
      </c>
      <c r="L104" s="8" t="n">
        <f aca="false">IFERROR(L103/L66,0)</f>
        <v>0.210723555163518</v>
      </c>
      <c r="M104" s="8" t="n">
        <f aca="false">IFERROR(M103/M66,0)</f>
        <v>0.258167079943551</v>
      </c>
      <c r="N104" s="8" t="n">
        <f aca="false">IFERROR(N103/N66,0)</f>
        <v>0.254379166733019</v>
      </c>
      <c r="O104" s="8" t="n">
        <f aca="false">IFERROR(O103/O66,0)</f>
        <v>0.0952011284794113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-259431.846949089</v>
      </c>
      <c r="D105" s="10" t="n">
        <f aca="false">D103-INDEX(Assumptions!$C$204:$E$204,$B$3)</f>
        <v>-239413.933075441</v>
      </c>
      <c r="E105" s="10" t="n">
        <f aca="false">E103-INDEX(Assumptions!$C$204:$E$204,$B$3)</f>
        <v>-348143.711470079</v>
      </c>
      <c r="F105" s="10" t="n">
        <f aca="false">F103-INDEX(Assumptions!$C$204:$E$204,$B$3)</f>
        <v>-129086.110649333</v>
      </c>
      <c r="G105" s="10" t="n">
        <f aca="false">G103-INDEX(Assumptions!$C$204:$E$204,$B$3)</f>
        <v>-90861.8163104748</v>
      </c>
      <c r="H105" s="10" t="n">
        <f aca="false">H103-INDEX(Assumptions!$C$204:$E$204,$B$3)</f>
        <v>-83558.9693489666</v>
      </c>
      <c r="I105" s="10" t="n">
        <f aca="false">I103-INDEX(Assumptions!$C$204:$E$204,$B$3)</f>
        <v>174588.044334068</v>
      </c>
      <c r="J105" s="10" t="n">
        <f aca="false">J103-INDEX(Assumptions!$C$204:$E$204,$B$3)</f>
        <v>291821.837596023</v>
      </c>
      <c r="K105" s="10" t="n">
        <f aca="false">K103-INDEX(Assumptions!$C$204:$E$204,$B$3)</f>
        <v>50634.5187798501</v>
      </c>
      <c r="L105" s="10" t="n">
        <f aca="false">L103-INDEX(Assumptions!$C$204:$E$204,$B$3)</f>
        <v>100381.395748131</v>
      </c>
      <c r="M105" s="10" t="n">
        <f aca="false">M103-INDEX(Assumptions!$C$204:$E$204,$B$3)</f>
        <v>156774.713797847</v>
      </c>
      <c r="N105" s="10" t="n">
        <f aca="false">N103-INDEX(Assumptions!$C$204:$E$204,$B$3)</f>
        <v>151901.227051843</v>
      </c>
      <c r="O105" s="40" t="n">
        <f aca="false">SUM(C105:N105)</f>
        <v>-224394.650495622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350000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350000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350000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1972000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10023.9980730487</v>
      </c>
      <c r="I113" s="10" t="n">
        <f aca="false">((I67+IF(INDEX(Assumptions!$C$87:$E$87,$B$3)&gt;=2,H67,0)+IF(INDEX(Assumptions!$C$87:$E$87,$B$3)&gt;=3,G67,0))/INDEX(Assumptions!$C$87:$E$87,$B$3))-I67</f>
        <v>-186355.178286843</v>
      </c>
      <c r="J113" s="10" t="n">
        <f aca="false">((J67+IF(INDEX(Assumptions!$C$87:$E$87,$B$3)&gt;=2,I67,0)+IF(INDEX(Assumptions!$C$87:$E$87,$B$3)&gt;=3,H67,0))/INDEX(Assumptions!$C$87:$E$87,$B$3))-J67</f>
        <v>-67069.1926675621</v>
      </c>
      <c r="K113" s="10" t="n">
        <f aca="false">((K67+IF(INDEX(Assumptions!$C$87:$E$87,$B$3)&gt;=2,J67,0)+IF(INDEX(Assumptions!$C$87:$E$87,$B$3)&gt;=3,I67,0))/INDEX(Assumptions!$C$87:$E$87,$B$3))-K67</f>
        <v>131029.477094003</v>
      </c>
      <c r="L113" s="10" t="n">
        <f aca="false">((L67+IF(INDEX(Assumptions!$C$87:$E$87,$B$3)&gt;=2,K67,0)+IF(INDEX(Assumptions!$C$87:$E$87,$B$3)&gt;=3,J67,0))/INDEX(Assumptions!$C$87:$E$87,$B$3))-L67</f>
        <v>-23177.0108867672</v>
      </c>
      <c r="M113" s="10" t="n">
        <f aca="false">((M67+IF(INDEX(Assumptions!$C$87:$E$87,$B$3)&gt;=2,L67,0)+IF(INDEX(Assumptions!$C$87:$E$87,$B$3)&gt;=3,K67,0))/INDEX(Assumptions!$C$87:$E$87,$B$3))-M67</f>
        <v>-23185.4113465457</v>
      </c>
      <c r="N113" s="10" t="n">
        <f aca="false">((N67+IF(INDEX(Assumptions!$C$87:$E$87,$B$3)&gt;=2,M67,0)+IF(INDEX(Assumptions!$C$87:$E$87,$B$3)&gt;=3,L67,0))/INDEX(Assumptions!$C$87:$E$87,$B$3))-N67</f>
        <v>12105.5214104966</v>
      </c>
      <c r="O113" s="40" t="n">
        <f aca="false">SUM(C113:N113)</f>
        <v>-292426.271186441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-378465.745254174</v>
      </c>
      <c r="D114" s="40" t="n">
        <f aca="false">D103+D113-D112</f>
        <v>-176428.926719509</v>
      </c>
      <c r="E114" s="40" t="n">
        <f aca="false">E103+E113-E112</f>
        <v>-296661.06295313</v>
      </c>
      <c r="F114" s="40" t="n">
        <f aca="false">F103+F113-F112</f>
        <v>-88181.7316239088</v>
      </c>
      <c r="G114" s="40" t="n">
        <f aca="false">G103+G113-G112</f>
        <v>-47998.4264799663</v>
      </c>
      <c r="H114" s="40" t="n">
        <f aca="false">H103+H113-H112</f>
        <v>-1470534.97127592</v>
      </c>
      <c r="I114" s="40" t="n">
        <f aca="false">I103+I113-I112</f>
        <v>63232.8660472254</v>
      </c>
      <c r="J114" s="40" t="n">
        <f aca="false">J103+J113-J112</f>
        <v>-50247.3550715395</v>
      </c>
      <c r="K114" s="40" t="n">
        <f aca="false">K103+K113-K112</f>
        <v>256663.995873853</v>
      </c>
      <c r="L114" s="40" t="n">
        <f aca="false">L103+L113-L112</f>
        <v>152204.384861363</v>
      </c>
      <c r="M114" s="40" t="n">
        <f aca="false">M103+M113-M112</f>
        <v>208589.302451301</v>
      </c>
      <c r="N114" s="40" t="n">
        <f aca="false">N103+N113-N112</f>
        <v>239006.74846234</v>
      </c>
      <c r="O114" s="11" t="n">
        <f aca="false">SUM(C114:N114)</f>
        <v>-1588820.92168206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-378465.745254174</v>
      </c>
      <c r="D115" s="40" t="n">
        <f aca="false">C115+D114</f>
        <v>-554894.671973683</v>
      </c>
      <c r="E115" s="40" t="n">
        <f aca="false">D115+E114</f>
        <v>-851555.734926813</v>
      </c>
      <c r="F115" s="40" t="n">
        <f aca="false">E115+F114</f>
        <v>-939737.466550722</v>
      </c>
      <c r="G115" s="40" t="n">
        <f aca="false">F115+G114</f>
        <v>-987735.893030688</v>
      </c>
      <c r="H115" s="40" t="n">
        <f aca="false">G115+H114</f>
        <v>-2458270.86430661</v>
      </c>
      <c r="I115" s="40" t="n">
        <f aca="false">H115+I114</f>
        <v>-2395037.99825938</v>
      </c>
      <c r="J115" s="40" t="n">
        <f aca="false">I115+J114</f>
        <v>-2445285.35333092</v>
      </c>
      <c r="K115" s="40" t="n">
        <f aca="false">J115+K114</f>
        <v>-2188621.35745707</v>
      </c>
      <c r="L115" s="40" t="n">
        <f aca="false">K115+L114</f>
        <v>-2036416.9725957</v>
      </c>
      <c r="M115" s="40" t="n">
        <f aca="false">L115+M114</f>
        <v>-1827827.6701444</v>
      </c>
      <c r="N115" s="40" t="n">
        <f aca="false">M115+N114</f>
        <v>-1588820.92168206</v>
      </c>
      <c r="O115" s="11" t="n">
        <f aca="false">N115</f>
        <v>-1588820.92168206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378465.745254174</v>
      </c>
      <c r="D116" s="40" t="n">
        <f aca="false">-MIN(0,MIN($C$115:D115))</f>
        <v>554894.671973683</v>
      </c>
      <c r="E116" s="40" t="n">
        <f aca="false">-MIN(0,MIN($C$115:E115))</f>
        <v>851555.734926813</v>
      </c>
      <c r="F116" s="40" t="n">
        <f aca="false">-MIN(0,MIN($C$115:F115))</f>
        <v>939737.466550722</v>
      </c>
      <c r="G116" s="40" t="n">
        <f aca="false">-MIN(0,MIN($C$115:G115))</f>
        <v>987735.893030688</v>
      </c>
      <c r="H116" s="40" t="n">
        <f aca="false">-MIN(0,MIN($C$115:H115))</f>
        <v>2458270.86430661</v>
      </c>
      <c r="I116" s="40" t="n">
        <f aca="false">-MIN(0,MIN($C$115:I115))</f>
        <v>2458270.86430661</v>
      </c>
      <c r="J116" s="40" t="n">
        <f aca="false">-MIN(0,MIN($C$115:J115))</f>
        <v>2458270.86430661</v>
      </c>
      <c r="K116" s="40" t="n">
        <f aca="false">-MIN(0,MIN($C$115:K115))</f>
        <v>2458270.86430661</v>
      </c>
      <c r="L116" s="40" t="n">
        <f aca="false">-MIN(0,MIN($C$115:L115))</f>
        <v>2458270.86430661</v>
      </c>
      <c r="M116" s="40" t="n">
        <f aca="false">-MIN(0,MIN($C$115:M115))</f>
        <v>2458270.86430661</v>
      </c>
      <c r="N116" s="40" t="n">
        <f aca="false">-MIN(0,MIN($C$115:N115))</f>
        <v>2458270.86430661</v>
      </c>
      <c r="O116" s="11" t="n">
        <f aca="false">MAX(C116:N116)</f>
        <v>2458270.86430661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5.9787359964518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8.23595655824956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12.2780012905149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8.1588117348821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7.91341168221993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5.9787359964518</v>
      </c>
      <c r="D131" s="8" t="n">
        <f aca="false">C131/INDEX(Assumptions!$C$179:$E$179,$B$3)</f>
        <v>0.498227999704317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8.23595655824956</v>
      </c>
      <c r="D132" s="8" t="n">
        <f aca="false">C132/INDEX(Assumptions!$C$179:$E$179,$B$3)</f>
        <v>0.686329713187463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12.2780012905149</v>
      </c>
      <c r="D133" s="8" t="n">
        <f aca="false">C133/INDEX(Assumptions!$C$179:$E$179,$B$3)</f>
        <v>1.02316677420957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8.1588117348821</v>
      </c>
      <c r="D134" s="8" t="n">
        <f aca="false">C134/INDEX(Assumptions!$C$179:$E$179,$B$3)</f>
        <v>0.679900977906842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7.91341168221993</v>
      </c>
      <c r="D135" s="8" t="n">
        <f aca="false">C135/INDEX(Assumptions!$C$179:$E$179,$B$3)</f>
        <v>0.659450973518328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7.89921858663513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14.6318309201656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12.1204560732976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10.5812036764529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7.89921858663513</v>
      </c>
      <c r="D145" s="8" t="n">
        <f aca="false">C145/INDEX(Assumptions!$C$179:$E$179,$B$3)</f>
        <v>0.658268215552927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14.6318309201656</v>
      </c>
      <c r="D146" s="8" t="n">
        <f aca="false">C146/INDEX(Assumptions!$C$179:$E$179,$B$3)</f>
        <v>1.21931924334713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12.1204560732976</v>
      </c>
      <c r="D147" s="8" t="n">
        <f aca="false">C147/INDEX(Assumptions!$C$179:$E$179,$B$3)</f>
        <v>1.01003800610813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10.5812036764529</v>
      </c>
      <c r="D148" s="8" t="n">
        <f aca="false">C148/INDEX(Assumptions!$C$179:$E$179,$B$3)</f>
        <v>0.881766973037739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7096610.72610592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675605.349504378</v>
      </c>
    </row>
    <row r="154" customFormat="false" ht="15" hidden="false" customHeight="false" outlineLevel="0" collapsed="false">
      <c r="A154" s="3" t="s">
        <v>45</v>
      </c>
      <c r="B154" s="9" t="n">
        <f aca="false">O104</f>
        <v>0.0952011284794113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-224394.650495622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1972000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2458270.86430661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541729.135693395</v>
      </c>
    </row>
    <row r="160" customFormat="false" ht="15" hidden="false" customHeight="false" outlineLevel="0" collapsed="false">
      <c r="A160" s="3" t="s">
        <v>51</v>
      </c>
      <c r="B160" s="7" t="n">
        <f aca="false">O38</f>
        <v>89.3117228168619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10.6735421997155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0.828357899756937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0.3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3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50195.5817372881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514933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5.47965738818625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65.755888658235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10740.527089785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0.158422774574328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0.423535404642289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17.5428834734527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634057.336597821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-1588820.92168206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6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2458270.86430661</v>
      </c>
    </row>
    <row r="182" customFormat="false" ht="15" hidden="false" customHeight="false" outlineLevel="0" collapsed="false">
      <c r="A182" s="3" t="s">
        <v>73</v>
      </c>
      <c r="B182" s="11" t="n">
        <f aca="false">O86</f>
        <v>984000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75</v>
      </c>
      <c r="B184" s="11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76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2853583.03369012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229350.289551294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0.610606991218075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7.91341168221993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1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0.962541821669398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37.8007519189758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4.54367302147044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2178856.33659782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1564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3</v>
      </c>
      <c r="C3" s="13" t="s">
        <v>1386</v>
      </c>
      <c r="D3" s="37" t="n">
        <v>3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0</v>
      </c>
      <c r="R3" s="2" t="s">
        <v>1393</v>
      </c>
      <c r="S3" s="37" t="n">
        <v>1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1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3</v>
      </c>
      <c r="D9" s="10" t="n">
        <f aca="false">IF(2&gt;=$U$4,1,$D$3)</f>
        <v>3</v>
      </c>
      <c r="E9" s="10" t="n">
        <f aca="false">IF(3&gt;=$U$4,1,$D$3)</f>
        <v>3</v>
      </c>
      <c r="F9" s="10" t="n">
        <f aca="false">IF(4&gt;=$U$4,1,$D$3)</f>
        <v>3</v>
      </c>
      <c r="G9" s="10" t="n">
        <f aca="false">IF(5&gt;=$U$4,1,$D$3)</f>
        <v>3</v>
      </c>
      <c r="H9" s="10" t="n">
        <f aca="false">IF(6&gt;=$U$4,1,$D$3)</f>
        <v>3</v>
      </c>
      <c r="I9" s="10" t="n">
        <f aca="false">IF(7&gt;=$U$4,1,$D$3)</f>
        <v>3</v>
      </c>
      <c r="J9" s="10" t="n">
        <f aca="false">IF(8&gt;=$U$4,1,$D$3)</f>
        <v>3</v>
      </c>
      <c r="K9" s="10" t="n">
        <f aca="false">IF(9&gt;=$U$4,1,$D$3)</f>
        <v>3</v>
      </c>
      <c r="L9" s="10" t="n">
        <f aca="false">IF(10&gt;=$U$4,1,$D$3)</f>
        <v>3</v>
      </c>
      <c r="M9" s="10" t="n">
        <f aca="false">IF(11&gt;=$U$4,1,$D$3)</f>
        <v>3</v>
      </c>
      <c r="N9" s="10" t="n">
        <f aca="false">IF(12&gt;=$U$4,1,$D$3)</f>
        <v>3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0.908333333333333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0.816666666666667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0.725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0.541666666666667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0.45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0.416666666666667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0.383333333333333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0.35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0.316666666666667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0.283333333333333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0.25</v>
      </c>
      <c r="O12" s="39" t="n">
        <f aca="false">N12</f>
        <v>0.25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3</v>
      </c>
      <c r="D14" s="16" t="n">
        <f aca="false">INDEX(Assumptions!$C$9:$E$9,$B$3)*INDEX(Assumptions!$C$12:$E$12,$B$3)/12</f>
        <v>3</v>
      </c>
      <c r="E14" s="16" t="n">
        <f aca="false">INDEX(Assumptions!$C$9:$E$9,$B$3)*INDEX(Assumptions!$C$12:$E$12,$B$3)/12</f>
        <v>3</v>
      </c>
      <c r="F14" s="16" t="n">
        <f aca="false">INDEX(Assumptions!$C$9:$E$9,$B$3)*INDEX(Assumptions!$C$12:$E$12,$B$3)/12</f>
        <v>3</v>
      </c>
      <c r="G14" s="16" t="n">
        <f aca="false">INDEX(Assumptions!$C$9:$E$9,$B$3)*INDEX(Assumptions!$C$12:$E$12,$B$3)/12</f>
        <v>3</v>
      </c>
      <c r="H14" s="16" t="n">
        <f aca="false">INDEX(Assumptions!$C$9:$E$9,$B$3)*INDEX(Assumptions!$C$12:$E$12,$B$3)/12</f>
        <v>3</v>
      </c>
      <c r="I14" s="16" t="n">
        <f aca="false">INDEX(Assumptions!$C$9:$E$9,$B$3)*INDEX(Assumptions!$C$12:$E$12,$B$3)/12</f>
        <v>3</v>
      </c>
      <c r="J14" s="16" t="n">
        <f aca="false">INDEX(Assumptions!$C$9:$E$9,$B$3)*INDEX(Assumptions!$C$12:$E$12,$B$3)/12</f>
        <v>3</v>
      </c>
      <c r="K14" s="16" t="n">
        <f aca="false">INDEX(Assumptions!$C$9:$E$9,$B$3)*INDEX(Assumptions!$C$12:$E$12,$B$3)/12</f>
        <v>3</v>
      </c>
      <c r="L14" s="16" t="n">
        <f aca="false">INDEX(Assumptions!$C$9:$E$9,$B$3)*INDEX(Assumptions!$C$12:$E$12,$B$3)/12</f>
        <v>3</v>
      </c>
      <c r="M14" s="16" t="n">
        <f aca="false">INDEX(Assumptions!$C$9:$E$9,$B$3)*INDEX(Assumptions!$C$12:$E$12,$B$3)/12</f>
        <v>3</v>
      </c>
      <c r="N14" s="16" t="n">
        <f aca="false">INDEX(Assumptions!$C$9:$E$9,$B$3)*INDEX(Assumptions!$C$12:$E$12,$B$3)/12</f>
        <v>3</v>
      </c>
      <c r="O14" s="38" t="n">
        <f aca="false">SUM(C14:N14)</f>
        <v>36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3</v>
      </c>
      <c r="D15" s="16" t="n">
        <f aca="false">D14+(INDEX(Assumptions!$C$25:$E$25,D$9)*(1-(INDEX(Assumptions!$C$27:$E$27,$B$3)+INDEX(Assumptions!$C$28:$E$28,$B$3)+INDEX(Assumptions!$C$31:$E$31,$B$3)))-D14)*MIN(1,(2-1)/6)*$N$4</f>
        <v>3.5</v>
      </c>
      <c r="E15" s="16" t="n">
        <f aca="false">E14+(INDEX(Assumptions!$C$25:$E$25,E$9)*(1-(INDEX(Assumptions!$C$27:$E$27,$B$3)+INDEX(Assumptions!$C$28:$E$28,$B$3)+INDEX(Assumptions!$C$31:$E$31,$B$3)))-E14)*MIN(1,(3-1)/6)*$N$4</f>
        <v>4</v>
      </c>
      <c r="F15" s="16" t="n">
        <f aca="false">F14+(INDEX(Assumptions!$C$25:$E$25,F$9)*(1-(INDEX(Assumptions!$C$27:$E$27,$B$3)+INDEX(Assumptions!$C$28:$E$28,$B$3)+INDEX(Assumptions!$C$31:$E$31,$B$3)))-F14)*MIN(1,(4-1)/6)*$N$4</f>
        <v>4.5</v>
      </c>
      <c r="G15" s="16" t="n">
        <f aca="false">G14+(INDEX(Assumptions!$C$25:$E$25,G$9)*(1-(INDEX(Assumptions!$C$27:$E$27,$B$3)+INDEX(Assumptions!$C$28:$E$28,$B$3)+INDEX(Assumptions!$C$31:$E$31,$B$3)))-G14)*MIN(1,(5-1)/6)*$N$4</f>
        <v>5</v>
      </c>
      <c r="H15" s="16" t="n">
        <f aca="false">H14+(INDEX(Assumptions!$C$25:$E$25,H$9)*(1-(INDEX(Assumptions!$C$27:$E$27,$B$3)+INDEX(Assumptions!$C$28:$E$28,$B$3)+INDEX(Assumptions!$C$31:$E$31,$B$3)))-H14)*MIN(1,(6-1)/6)*$N$4</f>
        <v>5.5</v>
      </c>
      <c r="I15" s="16" t="n">
        <f aca="false">I14+(INDEX(Assumptions!$C$25:$E$25,I$9)*(1-(INDEX(Assumptions!$C$27:$E$27,$B$3)+INDEX(Assumptions!$C$28:$E$28,$B$3)+INDEX(Assumptions!$C$31:$E$31,$B$3)))-I14)*MIN(1,(7-1)/6)*$N$4</f>
        <v>6</v>
      </c>
      <c r="J15" s="16" t="n">
        <f aca="false">J14+(INDEX(Assumptions!$C$25:$E$25,J$9)*(1-(INDEX(Assumptions!$C$27:$E$27,$B$3)+INDEX(Assumptions!$C$28:$E$28,$B$3)+INDEX(Assumptions!$C$31:$E$31,$B$3)))-J14)*MIN(1,(8-1)/6)*$N$4</f>
        <v>6</v>
      </c>
      <c r="K15" s="16" t="n">
        <f aca="false">K14+(INDEX(Assumptions!$C$25:$E$25,K$9)*(1-(INDEX(Assumptions!$C$27:$E$27,$B$3)+INDEX(Assumptions!$C$28:$E$28,$B$3)+INDEX(Assumptions!$C$31:$E$31,$B$3)))-K14)*MIN(1,(9-1)/6)*$N$4</f>
        <v>6</v>
      </c>
      <c r="L15" s="16" t="n">
        <f aca="false">L14+(INDEX(Assumptions!$C$25:$E$25,L$9)*(1-(INDEX(Assumptions!$C$27:$E$27,$B$3)+INDEX(Assumptions!$C$28:$E$28,$B$3)+INDEX(Assumptions!$C$31:$E$31,$B$3)))-L14)*MIN(1,(10-1)/6)*$N$4</f>
        <v>6</v>
      </c>
      <c r="M15" s="16" t="n">
        <f aca="false">M14+(INDEX(Assumptions!$C$25:$E$25,M$9)*(1-(INDEX(Assumptions!$C$27:$E$27,$B$3)+INDEX(Assumptions!$C$28:$E$28,$B$3)+INDEX(Assumptions!$C$31:$E$31,$B$3)))-M14)*MIN(1,(11-1)/6)*$N$4</f>
        <v>6</v>
      </c>
      <c r="N15" s="16" t="n">
        <f aca="false">N14+(INDEX(Assumptions!$C$25:$E$25,N$9)*(1-(INDEX(Assumptions!$C$27:$E$27,$B$3)+INDEX(Assumptions!$C$28:$E$28,$B$3)+INDEX(Assumptions!$C$31:$E$31,$B$3)))-N14)*MIN(1,(12-1)/6)*$N$4</f>
        <v>6</v>
      </c>
      <c r="O15" s="38" t="n">
        <f aca="false">SUM(C15:N15)</f>
        <v>61.5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1.5</v>
      </c>
      <c r="E16" s="16" t="n">
        <f aca="false">INDEX(Assumptions!$C$25:$E$25,E$9)*(INDEX(Assumptions!$C$27:$E$27,$B$3)+INDEX(Assumptions!$C$28:$E$28,$B$3)+INDEX(Assumptions!$C$31:$E$31,$B$3))*MIN(1,(3-1)/6)</f>
        <v>3</v>
      </c>
      <c r="F16" s="16" t="n">
        <f aca="false">INDEX(Assumptions!$C$25:$E$25,F$9)*(INDEX(Assumptions!$C$27:$E$27,$B$3)+INDEX(Assumptions!$C$28:$E$28,$B$3)+INDEX(Assumptions!$C$31:$E$31,$B$3))*MIN(1,(4-1)/6)</f>
        <v>4.5</v>
      </c>
      <c r="G16" s="16" t="n">
        <f aca="false">INDEX(Assumptions!$C$25:$E$25,G$9)*(INDEX(Assumptions!$C$27:$E$27,$B$3)+INDEX(Assumptions!$C$28:$E$28,$B$3)+INDEX(Assumptions!$C$31:$E$31,$B$3))*MIN(1,(5-1)/6)</f>
        <v>6</v>
      </c>
      <c r="H16" s="16" t="n">
        <f aca="false">INDEX(Assumptions!$C$25:$E$25,H$9)*(INDEX(Assumptions!$C$27:$E$27,$B$3)+INDEX(Assumptions!$C$28:$E$28,$B$3)+INDEX(Assumptions!$C$31:$E$31,$B$3))*MIN(1,(6-1)/6)</f>
        <v>7.5</v>
      </c>
      <c r="I16" s="16" t="n">
        <f aca="false">INDEX(Assumptions!$C$25:$E$25,I$9)*(INDEX(Assumptions!$C$27:$E$27,$B$3)+INDEX(Assumptions!$C$28:$E$28,$B$3)+INDEX(Assumptions!$C$31:$E$31,$B$3))*MIN(1,(7-1)/6)</f>
        <v>9</v>
      </c>
      <c r="J16" s="16" t="n">
        <f aca="false">INDEX(Assumptions!$C$25:$E$25,J$9)*(INDEX(Assumptions!$C$27:$E$27,$B$3)+INDEX(Assumptions!$C$28:$E$28,$B$3)+INDEX(Assumptions!$C$31:$E$31,$B$3))*MIN(1,(8-1)/6)</f>
        <v>9</v>
      </c>
      <c r="K16" s="16" t="n">
        <f aca="false">INDEX(Assumptions!$C$25:$E$25,K$9)*(INDEX(Assumptions!$C$27:$E$27,$B$3)+INDEX(Assumptions!$C$28:$E$28,$B$3)+INDEX(Assumptions!$C$31:$E$31,$B$3))*MIN(1,(9-1)/6)</f>
        <v>9</v>
      </c>
      <c r="L16" s="16" t="n">
        <f aca="false">INDEX(Assumptions!$C$25:$E$25,L$9)*(INDEX(Assumptions!$C$27:$E$27,$B$3)+INDEX(Assumptions!$C$28:$E$28,$B$3)+INDEX(Assumptions!$C$31:$E$31,$B$3))*MIN(1,(10-1)/6)</f>
        <v>9</v>
      </c>
      <c r="M16" s="16" t="n">
        <f aca="false">INDEX(Assumptions!$C$25:$E$25,M$9)*(INDEX(Assumptions!$C$27:$E$27,$B$3)+INDEX(Assumptions!$C$28:$E$28,$B$3)+INDEX(Assumptions!$C$31:$E$31,$B$3))*MIN(1,(11-1)/6)</f>
        <v>9</v>
      </c>
      <c r="N16" s="16" t="n">
        <f aca="false">INDEX(Assumptions!$C$25:$E$25,N$9)*(INDEX(Assumptions!$C$27:$E$27,$B$3)+INDEX(Assumptions!$C$28:$E$28,$B$3)+INDEX(Assumptions!$C$31:$E$31,$B$3))*MIN(1,(12-1)/6)</f>
        <v>9</v>
      </c>
      <c r="O16" s="38" t="n">
        <f aca="false">SUM(C16:N16)</f>
        <v>76.5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3</v>
      </c>
      <c r="D17" s="16" t="n">
        <f aca="false">D15+D16</f>
        <v>5</v>
      </c>
      <c r="E17" s="16" t="n">
        <f aca="false">E15+E16</f>
        <v>7</v>
      </c>
      <c r="F17" s="16" t="n">
        <f aca="false">F15+F16</f>
        <v>9</v>
      </c>
      <c r="G17" s="16" t="n">
        <f aca="false">G15+G16</f>
        <v>11</v>
      </c>
      <c r="H17" s="16" t="n">
        <f aca="false">H15+H16</f>
        <v>13</v>
      </c>
      <c r="I17" s="16" t="n">
        <f aca="false">I15+I16</f>
        <v>15</v>
      </c>
      <c r="J17" s="16" t="n">
        <f aca="false">J15+J16</f>
        <v>15</v>
      </c>
      <c r="K17" s="16" t="n">
        <f aca="false">K15+K16</f>
        <v>15</v>
      </c>
      <c r="L17" s="16" t="n">
        <f aca="false">L15+L16</f>
        <v>15</v>
      </c>
      <c r="M17" s="16" t="n">
        <f aca="false">M15+M16</f>
        <v>15</v>
      </c>
      <c r="N17" s="16" t="n">
        <f aca="false">N15+N16</f>
        <v>15</v>
      </c>
      <c r="O17" s="38" t="n">
        <f aca="false">SUM(C17:N17)</f>
        <v>138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50000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60000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120000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170000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200000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200000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200000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200000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200000</v>
      </c>
      <c r="O18" s="40" t="n">
        <f aca="false">SUM(C18:N18)</f>
        <v>1490000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3437.62950683796</v>
      </c>
      <c r="D19" s="10" t="n">
        <f aca="false">INDEX(Assumptions!$C$115:$E$115,$B$3)*INDEX(Assumptions!$C$120:$E$120,$B$3)*$L$3/$F$3</f>
        <v>3437.62950683796</v>
      </c>
      <c r="E19" s="10" t="n">
        <f aca="false">INDEX(Assumptions!$C$115:$E$115,$B$3)*INDEX(Assumptions!$C$120:$E$120,$B$3)*$L$3/$F$3</f>
        <v>3437.62950683796</v>
      </c>
      <c r="F19" s="10" t="n">
        <f aca="false">INDEX(Assumptions!$C$115:$E$115,$B$3)*INDEX(Assumptions!$C$120:$E$120,$B$3)*$L$3/$F$3</f>
        <v>3437.62950683796</v>
      </c>
      <c r="G19" s="10" t="n">
        <f aca="false">INDEX(Assumptions!$C$115:$E$115,$B$3)*INDEX(Assumptions!$C$120:$E$120,$B$3)*$L$3/$F$3</f>
        <v>3437.62950683796</v>
      </c>
      <c r="H19" s="10" t="n">
        <f aca="false">INDEX(Assumptions!$C$115:$E$115,$B$3)*INDEX(Assumptions!$C$120:$E$120,$B$3)*$L$3/$F$3</f>
        <v>3437.62950683796</v>
      </c>
      <c r="I19" s="10" t="n">
        <f aca="false">INDEX(Assumptions!$C$115:$E$115,$B$3)*INDEX(Assumptions!$C$120:$E$120,$B$3)*$L$3/$F$3</f>
        <v>3437.62950683796</v>
      </c>
      <c r="J19" s="10" t="n">
        <f aca="false">INDEX(Assumptions!$C$115:$E$115,$B$3)*INDEX(Assumptions!$C$120:$E$120,$B$3)*$L$3/$F$3</f>
        <v>3437.62950683796</v>
      </c>
      <c r="K19" s="10" t="n">
        <f aca="false">INDEX(Assumptions!$C$115:$E$115,$B$3)*INDEX(Assumptions!$C$120:$E$120,$B$3)*$L$3/$F$3</f>
        <v>3437.62950683796</v>
      </c>
      <c r="L19" s="10" t="n">
        <f aca="false">INDEX(Assumptions!$C$115:$E$115,$B$3)*INDEX(Assumptions!$C$120:$E$120,$B$3)*$L$3/$F$3</f>
        <v>3437.62950683796</v>
      </c>
      <c r="M19" s="10" t="n">
        <f aca="false">INDEX(Assumptions!$C$115:$E$115,$B$3)*INDEX(Assumptions!$C$120:$E$120,$B$3)*$L$3/$F$3</f>
        <v>3437.62950683796</v>
      </c>
      <c r="N19" s="10" t="n">
        <f aca="false">INDEX(Assumptions!$C$115:$E$115,$B$3)*INDEX(Assumptions!$C$120:$E$120,$B$3)*$L$3/$F$3</f>
        <v>3437.62950683796</v>
      </c>
      <c r="O19" s="40" t="n">
        <f aca="false">AVERAGE(C19:N19)</f>
        <v>3437.62950683796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0.77</v>
      </c>
      <c r="D20" s="16" t="n">
        <f aca="false">IF(2&gt;=INDEX(Assumptions!$C$106:$E$106,D$9),1,INDEX(Assumptions!$C$59:$E$59,$B$3))</f>
        <v>1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0.980833333333333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3.05443037974684</v>
      </c>
      <c r="D21" s="16" t="n">
        <f aca="false">D18*INDEX(Assumptions!$C$119:$E$119,$B$3)/D19</f>
        <v>3.05443037974684</v>
      </c>
      <c r="E21" s="16" t="n">
        <f aca="false">E18*INDEX(Assumptions!$C$119:$E$119,$B$3)/E19</f>
        <v>10.1814345991561</v>
      </c>
      <c r="F21" s="16" t="n">
        <f aca="false">F18*INDEX(Assumptions!$C$119:$E$119,$B$3)/F19</f>
        <v>12.2177215189873</v>
      </c>
      <c r="G21" s="16" t="n">
        <f aca="false">G18*INDEX(Assumptions!$C$119:$E$119,$B$3)/G19</f>
        <v>12.2177215189873</v>
      </c>
      <c r="H21" s="16" t="n">
        <f aca="false">H18*INDEX(Assumptions!$C$119:$E$119,$B$3)/H19</f>
        <v>24.4354430379747</v>
      </c>
      <c r="I21" s="16" t="n">
        <f aca="false">I18*INDEX(Assumptions!$C$119:$E$119,$B$3)/I19</f>
        <v>34.6168776371308</v>
      </c>
      <c r="J21" s="16" t="n">
        <f aca="false">J18*INDEX(Assumptions!$C$119:$E$119,$B$3)/J19</f>
        <v>40.7257383966245</v>
      </c>
      <c r="K21" s="16" t="n">
        <f aca="false">K18*INDEX(Assumptions!$C$119:$E$119,$B$3)/K19</f>
        <v>40.7257383966245</v>
      </c>
      <c r="L21" s="16" t="n">
        <f aca="false">L18*INDEX(Assumptions!$C$119:$E$119,$B$3)/L19</f>
        <v>40.7257383966245</v>
      </c>
      <c r="M21" s="16" t="n">
        <f aca="false">M18*INDEX(Assumptions!$C$119:$E$119,$B$3)/M19</f>
        <v>40.7257383966245</v>
      </c>
      <c r="N21" s="16" t="n">
        <f aca="false">N18*INDEX(Assumptions!$C$119:$E$119,$B$3)/N19</f>
        <v>40.7257383966245</v>
      </c>
      <c r="O21" s="38" t="n">
        <f aca="false">SUM(C21:N21)</f>
        <v>303.406751054852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2.4</v>
      </c>
      <c r="D24" s="38" t="n">
        <f aca="false">D10*(D14*$F$3+(D15-D14)*$F$3*D20+MIN(D16,D21*D20))*D22*D23</f>
        <v>3.75</v>
      </c>
      <c r="E24" s="38" t="n">
        <f aca="false">E10*(E14*$F$3+(E15-E14)*$F$3*E20+MIN(E16,E21*E20))*E22*E23</f>
        <v>4.9</v>
      </c>
      <c r="F24" s="38" t="n">
        <f aca="false">F10*(F14*$F$3+(F15-F14)*$F$3*F20+MIN(F16,F21*F20))*F22*F23</f>
        <v>7.2</v>
      </c>
      <c r="G24" s="38" t="n">
        <f aca="false">G10*(G14*$F$3+(G15-G14)*$F$3*G20+MIN(G16,G21*G20))*G22*G23</f>
        <v>9.9</v>
      </c>
      <c r="H24" s="38" t="n">
        <f aca="false">H10*(H14*$F$3+(H15-H14)*$F$3*H20+MIN(H16,H21*H20))*H22*H23</f>
        <v>13</v>
      </c>
      <c r="I24" s="38" t="n">
        <f aca="false">I10*(I14*$F$3+(I15-I14)*$F$3*I20+MIN(I16,I21*I20))*I22*I23</f>
        <v>19.5</v>
      </c>
      <c r="J24" s="38" t="n">
        <f aca="false">J10*(J14*$F$3+(J15-J14)*$F$3*J20+MIN(J16,J21*J20))*J22*J23</f>
        <v>20.25</v>
      </c>
      <c r="K24" s="38" t="n">
        <f aca="false">K10*(K14*$F$3+(K15-K14)*$F$3*K20+MIN(K16,K21*K20))*K22*K23</f>
        <v>18.75</v>
      </c>
      <c r="L24" s="38" t="n">
        <f aca="false">L10*(L14*$F$3+(L15-L14)*$F$3*L20+MIN(L16,L21*L20))*L22*L23</f>
        <v>16.5</v>
      </c>
      <c r="M24" s="38" t="n">
        <f aca="false">M10*(M14*$F$3+(M15-M14)*$F$3*M20+MIN(M16,M21*M20))*M22*M23</f>
        <v>15.75</v>
      </c>
      <c r="N24" s="38" t="n">
        <f aca="false">N10*(N14*$F$3+(N15-N14)*$F$3*N20+MIN(N16,N21*N20))*N22*N23</f>
        <v>15</v>
      </c>
      <c r="O24" s="17" t="n">
        <f aca="false">SUM(C24:N24)</f>
        <v>146.9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16</v>
      </c>
      <c r="G25" s="10" t="n">
        <f aca="false">IF(AND(5&gt;=IF($Q$3=1,$Q$4+1,INDEX(Assumptions!$C$215:$E$215,$D$3)),5&lt;$U$4),INDEX(Assumptions!$C$218:$E$218,G$9),INDEX(Assumptions!$C$213:$E$213,$B$3))</f>
        <v>16</v>
      </c>
      <c r="H25" s="10" t="n">
        <f aca="false">IF(AND(6&gt;=IF($Q$3=1,$Q$4+1,INDEX(Assumptions!$C$215:$E$215,$D$3)),6&lt;$U$4),INDEX(Assumptions!$C$218:$E$218,H$9),INDEX(Assumptions!$C$213:$E$213,$B$3))</f>
        <v>16</v>
      </c>
      <c r="I25" s="10" t="n">
        <f aca="false">IF(AND(7&gt;=IF($Q$3=1,$Q$4+1,INDEX(Assumptions!$C$215:$E$215,$D$3)),7&lt;$U$4),INDEX(Assumptions!$C$218:$E$218,I$9),INDEX(Assumptions!$C$213:$E$213,$B$3))</f>
        <v>16</v>
      </c>
      <c r="J25" s="10" t="n">
        <f aca="false">IF(AND(8&gt;=IF($Q$3=1,$Q$4+1,INDEX(Assumptions!$C$215:$E$215,$D$3)),8&lt;$U$4),INDEX(Assumptions!$C$218:$E$218,J$9),INDEX(Assumptions!$C$213:$E$213,$B$3))</f>
        <v>16</v>
      </c>
      <c r="K25" s="10" t="n">
        <f aca="false">IF(AND(9&gt;=IF($Q$3=1,$Q$4+1,INDEX(Assumptions!$C$215:$E$215,$D$3)),9&lt;$U$4),INDEX(Assumptions!$C$218:$E$218,K$9),INDEX(Assumptions!$C$213:$E$213,$B$3))</f>
        <v>16</v>
      </c>
      <c r="L25" s="10" t="n">
        <f aca="false">IF(AND(10&gt;=IF($Q$3=1,$Q$4+1,INDEX(Assumptions!$C$215:$E$215,$D$3)),10&lt;$U$4),INDEX(Assumptions!$C$218:$E$218,L$9),INDEX(Assumptions!$C$213:$E$213,$B$3))</f>
        <v>16</v>
      </c>
      <c r="M25" s="10" t="n">
        <f aca="false">IF(AND(11&gt;=IF($Q$3=1,$Q$4+1,INDEX(Assumptions!$C$215:$E$215,$D$3)),11&lt;$U$4),INDEX(Assumptions!$C$218:$E$218,M$9),INDEX(Assumptions!$C$213:$E$213,$B$3))</f>
        <v>16</v>
      </c>
      <c r="N25" s="10" t="n">
        <f aca="false">IF(AND(12&gt;=IF($Q$3=1,$Q$4+1,INDEX(Assumptions!$C$215:$E$215,$D$3)),12&lt;$U$4),INDEX(Assumptions!$C$218:$E$218,N$9),INDEX(Assumptions!$C$213:$E$213,$B$3))</f>
        <v>16</v>
      </c>
      <c r="O25" s="40" t="n">
        <f aca="false">N25</f>
        <v>16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2.5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36</v>
      </c>
      <c r="G27" s="6" t="n">
        <f aca="false">G25*G26*INDEX(Assumptions!$C$220:$E$220,$B$3)</f>
        <v>36</v>
      </c>
      <c r="H27" s="6" t="n">
        <f aca="false">H25*H26*INDEX(Assumptions!$C$220:$E$220,$B$3)</f>
        <v>36</v>
      </c>
      <c r="I27" s="6" t="n">
        <f aca="false">I25*I26*INDEX(Assumptions!$C$220:$E$220,$B$3)</f>
        <v>36</v>
      </c>
      <c r="J27" s="6" t="n">
        <f aca="false">J25*J26*INDEX(Assumptions!$C$220:$E$220,$B$3)</f>
        <v>36</v>
      </c>
      <c r="K27" s="6" t="n">
        <f aca="false">K25*K26*INDEX(Assumptions!$C$220:$E$220,$B$3)</f>
        <v>36</v>
      </c>
      <c r="L27" s="6" t="n">
        <f aca="false">L25*L26*INDEX(Assumptions!$C$220:$E$220,$B$3)</f>
        <v>36</v>
      </c>
      <c r="M27" s="6" t="n">
        <f aca="false">M25*M26*INDEX(Assumptions!$C$220:$E$220,$B$3)</f>
        <v>36</v>
      </c>
      <c r="N27" s="6" t="n">
        <f aca="false">N25*N26*INDEX(Assumptions!$C$220:$E$220,$B$3)</f>
        <v>36</v>
      </c>
      <c r="O27" s="41" t="n">
        <f aca="false">N27</f>
        <v>36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0.35</v>
      </c>
      <c r="K28" s="8" t="n">
        <f aca="false">IF(9&gt;=IF($Q$3=1,MAX(INDEX(Assumptions!$C$231:$E$231,K$9),$Q$4+1),INDEX(Assumptions!$C$231:$E$231,K$9)),INDEX(Assumptions!$C$74:$E$74,$B$3),0)</f>
        <v>0.35</v>
      </c>
      <c r="L28" s="8" t="n">
        <f aca="false">IF(10&gt;=IF($Q$3=1,MAX(INDEX(Assumptions!$C$231:$E$231,L$9),$Q$4+1),INDEX(Assumptions!$C$231:$E$231,L$9)),INDEX(Assumptions!$C$74:$E$74,$B$3),0)</f>
        <v>0.35</v>
      </c>
      <c r="M28" s="8" t="n">
        <f aca="false">IF(11&gt;=IF($Q$3=1,MAX(INDEX(Assumptions!$C$231:$E$231,M$9),$Q$4+1),INDEX(Assumptions!$C$231:$E$231,M$9)),INDEX(Assumptions!$C$74:$E$74,$B$3),0)</f>
        <v>0.35</v>
      </c>
      <c r="N28" s="8" t="n">
        <f aca="false">IF(12&gt;=IF($Q$3=1,MAX(INDEX(Assumptions!$C$231:$E$231,N$9),$Q$4+1),INDEX(Assumptions!$C$231:$E$231,N$9)),INDEX(Assumptions!$C$74:$E$74,$B$3),0)</f>
        <v>0.35</v>
      </c>
      <c r="O28" s="39" t="n">
        <f aca="false">N28</f>
        <v>0.35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4.96125</v>
      </c>
      <c r="K30" s="16" t="n">
        <f aca="false">MAX(K24*INDEX(Assumptions!$C$26:$E$26,$B$3)*K28,K29)</f>
        <v>4.59375</v>
      </c>
      <c r="L30" s="16" t="n">
        <f aca="false">MAX(L24*INDEX(Assumptions!$C$26:$E$26,$B$3)*L28,L29)</f>
        <v>4.0425</v>
      </c>
      <c r="M30" s="16" t="n">
        <f aca="false">MAX(M24*INDEX(Assumptions!$C$26:$E$26,$B$3)*M28,M29)</f>
        <v>3.85875</v>
      </c>
      <c r="N30" s="16" t="n">
        <f aca="false">MAX(N24*INDEX(Assumptions!$C$26:$E$26,$B$3)*N28,N29)</f>
        <v>3.675</v>
      </c>
      <c r="O30" s="38" t="n">
        <f aca="false">SUM(C30:N30)</f>
        <v>21.13125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1.68</v>
      </c>
      <c r="E31" s="6" t="n">
        <f aca="false">D34+C34+D37+C37+1.25*D35</f>
        <v>4.593</v>
      </c>
      <c r="F31" s="6" t="n">
        <f aca="false">E34+D34+E37+D37+1.25*E35</f>
        <v>6.793</v>
      </c>
      <c r="G31" s="6" t="n">
        <f aca="false">F34+E34+F37+E37+1.25*F35</f>
        <v>9.508</v>
      </c>
      <c r="H31" s="6" t="n">
        <f aca="false">G34+F34+G37+F37+1.25*G35</f>
        <v>13.422</v>
      </c>
      <c r="I31" s="6" t="n">
        <f aca="false">H34+G34+H37+G37+1.25*H35</f>
        <v>18.082</v>
      </c>
      <c r="J31" s="6" t="n">
        <f aca="false">I34+H34+I37+H37+1.25*I35</f>
        <v>23.2287777777778</v>
      </c>
      <c r="K31" s="6" t="n">
        <f aca="false">J34+I34+J37+I37+1.25*J35</f>
        <v>22.4078600748294</v>
      </c>
      <c r="L31" s="6" t="n">
        <f aca="false">K34+J34+K37+J37+1.25*K35</f>
        <v>16.0832559304507</v>
      </c>
      <c r="M31" s="6" t="n">
        <f aca="false">L34+K34+L37+K37+1.25*L35</f>
        <v>20.3129184419865</v>
      </c>
      <c r="N31" s="6" t="n">
        <f aca="false">M34+L34+M37+L37+1.25*M35</f>
        <v>20.6709367722005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2.4</v>
      </c>
      <c r="D32" s="6" t="n">
        <f aca="false">D24*(INDEX(Assumptions!$C$26:$E$26,$B$3)*(1-D28)+(1-INDEX(Assumptions!$C$26:$E$26,$B$3)))+1.25*D30+C36*INDEX(Assumptions!$C$89:$E$89,$B$3)</f>
        <v>4.038</v>
      </c>
      <c r="E32" s="6" t="n">
        <f aca="false">E24*(INDEX(Assumptions!$C$26:$E$26,$B$3)*(1-E28)+(1-INDEX(Assumptions!$C$26:$E$26,$B$3)))+1.25*E30+D36*INDEX(Assumptions!$C$89:$E$89,$B$3)</f>
        <v>5.35</v>
      </c>
      <c r="F32" s="6" t="n">
        <f aca="false">F24*(INDEX(Assumptions!$C$26:$E$26,$B$3)*(1-F28)+(1-INDEX(Assumptions!$C$26:$E$26,$B$3)))+1.25*F30+E36*INDEX(Assumptions!$C$89:$E$89,$B$3)</f>
        <v>7.788</v>
      </c>
      <c r="G32" s="6" t="n">
        <f aca="false">G24*(INDEX(Assumptions!$C$26:$E$26,$B$3)*(1-G28)+(1-INDEX(Assumptions!$C$26:$E$26,$B$3)))+1.25*G30+F36*INDEX(Assumptions!$C$89:$E$89,$B$3)</f>
        <v>10.764</v>
      </c>
      <c r="H32" s="6" t="n">
        <f aca="false">H24*(INDEX(Assumptions!$C$26:$E$26,$B$3)*(1-H28)+(1-INDEX(Assumptions!$C$26:$E$26,$B$3)))+1.25*H30+G36*INDEX(Assumptions!$C$89:$E$89,$B$3)</f>
        <v>14.188</v>
      </c>
      <c r="I32" s="6" t="n">
        <f aca="false">I24*(INDEX(Assumptions!$C$26:$E$26,$B$3)*(1-I28)+(1-INDEX(Assumptions!$C$26:$E$26,$B$3)))+1.25*I30+H36*INDEX(Assumptions!$C$89:$E$89,$B$3)</f>
        <v>21.06</v>
      </c>
      <c r="J32" s="6" t="n">
        <f aca="false">J24*(INDEX(Assumptions!$C$26:$E$26,$B$3)*(1-J28)+(1-INDEX(Assumptions!$C$26:$E$26,$B$3)))+1.25*J30+I36*INDEX(Assumptions!$C$89:$E$89,$B$3)</f>
        <v>23.4812013888889</v>
      </c>
      <c r="K32" s="6" t="n">
        <f aca="false">K24*(INDEX(Assumptions!$C$26:$E$26,$B$3)*(1-K28)+(1-INDEX(Assumptions!$C$26:$E$26,$B$3)))+1.25*K30+J36*INDEX(Assumptions!$C$89:$E$89,$B$3)</f>
        <v>21.2200934700683</v>
      </c>
      <c r="L32" s="6" t="n">
        <f aca="false">L24*(INDEX(Assumptions!$C$26:$E$26,$B$3)*(1-L28)+(1-INDEX(Assumptions!$C$26:$E$26,$B$3)))+1.25*L30+K36*INDEX(Assumptions!$C$89:$E$89,$B$3)</f>
        <v>18.9518210472639</v>
      </c>
      <c r="M32" s="6" t="n">
        <f aca="false">M24*(INDEX(Assumptions!$C$26:$E$26,$B$3)*(1-M28)+(1-INDEX(Assumptions!$C$26:$E$26,$B$3)))+1.25*M30+L36*INDEX(Assumptions!$C$89:$E$89,$B$3)</f>
        <v>18.6946875</v>
      </c>
      <c r="N32" s="6" t="n">
        <f aca="false">N24*(INDEX(Assumptions!$C$26:$E$26,$B$3)*(1-N28)+(1-INDEX(Assumptions!$C$26:$E$26,$B$3)))+1.25*N30+M36*INDEX(Assumptions!$C$89:$E$89,$B$3)</f>
        <v>17.5046863332308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0.850807217473884</v>
      </c>
      <c r="J33" s="8" t="n">
        <f aca="false">IF(J32&lt;=0,1,MAX(0,MIN(1,(J27-J31)/J32)))</f>
        <v>0.543891345707101</v>
      </c>
      <c r="K33" s="8" t="n">
        <f aca="false">IF(K32&lt;=0,1,MAX(0,MIN(1,(K27-K31)/K32)))</f>
        <v>0.640531576561756</v>
      </c>
      <c r="L33" s="8" t="n">
        <f aca="false">IF(L32&lt;=0,1,MAX(0,MIN(1,(L27-L31)/L32)))</f>
        <v>1</v>
      </c>
      <c r="M33" s="8" t="n">
        <f aca="false">IF(M32&lt;=0,1,MAX(0,MIN(1,(M27-M31)/M32)))</f>
        <v>0.839119753032165</v>
      </c>
      <c r="N33" s="8" t="n">
        <f aca="false">IF(N32&lt;=0,1,MAX(0,MIN(1,(N27-N31)/N32)))</f>
        <v>0.87571196284157</v>
      </c>
      <c r="O33" s="8" t="n">
        <f aca="false">MIN(C33:N33)</f>
        <v>0.543891345707101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1.68</v>
      </c>
      <c r="D34" s="38" t="n">
        <f aca="false">D24*INDEX(Assumptions!$C$26:$E$26,$B$3)*(1-D28)*D33</f>
        <v>2.625</v>
      </c>
      <c r="E34" s="38" t="n">
        <f aca="false">E24*INDEX(Assumptions!$C$26:$E$26,$B$3)*(1-E28)*E33</f>
        <v>3.43</v>
      </c>
      <c r="F34" s="38" t="n">
        <f aca="false">F24*INDEX(Assumptions!$C$26:$E$26,$B$3)*(1-F28)*F33</f>
        <v>5.04</v>
      </c>
      <c r="G34" s="38" t="n">
        <f aca="false">G24*INDEX(Assumptions!$C$26:$E$26,$B$3)*(1-G28)*G33</f>
        <v>6.93</v>
      </c>
      <c r="H34" s="38" t="n">
        <f aca="false">H24*INDEX(Assumptions!$C$26:$E$26,$B$3)*(1-H28)*H33</f>
        <v>9.1</v>
      </c>
      <c r="I34" s="38" t="n">
        <f aca="false">I24*INDEX(Assumptions!$C$26:$E$26,$B$3)*(1-I28)*I33</f>
        <v>11.6135185185185</v>
      </c>
      <c r="J34" s="38" t="n">
        <f aca="false">J24*INDEX(Assumptions!$C$26:$E$26,$B$3)*(1-J28)*J33</f>
        <v>5.0112788865088</v>
      </c>
      <c r="K34" s="38" t="n">
        <f aca="false">K24*INDEX(Assumptions!$C$26:$E$26,$B$3)*(1-K28)*K33</f>
        <v>5.46453501254248</v>
      </c>
      <c r="L34" s="38" t="n">
        <f aca="false">L24*INDEX(Assumptions!$C$26:$E$26,$B$3)*(1-L28)*L33</f>
        <v>7.5075</v>
      </c>
      <c r="M34" s="38" t="n">
        <f aca="false">M24*INDEX(Assumptions!$C$26:$E$26,$B$3)*(1-M28)*M33</f>
        <v>6.01334193016675</v>
      </c>
      <c r="N34" s="38" t="n">
        <f aca="false">N24*INDEX(Assumptions!$C$26:$E$26,$B$3)*(1-N28)*N33</f>
        <v>5.97673414639371</v>
      </c>
      <c r="O34" s="17" t="n">
        <f aca="false">SUM(C34:N34)</f>
        <v>70.3919084941303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2.69838093888935</v>
      </c>
      <c r="K35" s="16" t="n">
        <f aca="false">K30*K33</f>
        <v>2.94244192983057</v>
      </c>
      <c r="L35" s="16" t="n">
        <f aca="false">L30*L33</f>
        <v>4.0425</v>
      </c>
      <c r="M35" s="16" t="n">
        <f aca="false">M30*M33</f>
        <v>3.23795334701287</v>
      </c>
      <c r="N35" s="16" t="n">
        <f aca="false">N30*N33</f>
        <v>3.21824146344277</v>
      </c>
      <c r="O35" s="38" t="n">
        <f aca="false">SUM(C35:N35)</f>
        <v>16.1395176791756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0.72</v>
      </c>
      <c r="D36" s="16" t="n">
        <f aca="false">D24*(1-INDEX(Assumptions!$C$26:$E$26,$B$3))*D33</f>
        <v>1.125</v>
      </c>
      <c r="E36" s="16" t="n">
        <f aca="false">E24*(1-INDEX(Assumptions!$C$26:$E$26,$B$3))*E33</f>
        <v>1.47</v>
      </c>
      <c r="F36" s="16" t="n">
        <f aca="false">F24*(1-INDEX(Assumptions!$C$26:$E$26,$B$3))*F33</f>
        <v>2.16</v>
      </c>
      <c r="G36" s="16" t="n">
        <f aca="false">G24*(1-INDEX(Assumptions!$C$26:$E$26,$B$3))*G33</f>
        <v>2.97</v>
      </c>
      <c r="H36" s="16" t="n">
        <f aca="false">H24*(1-INDEX(Assumptions!$C$26:$E$26,$B$3))*H33</f>
        <v>3.9</v>
      </c>
      <c r="I36" s="16" t="n">
        <f aca="false">I24*(1-INDEX(Assumptions!$C$26:$E$26,$B$3))*I33</f>
        <v>4.97722222222222</v>
      </c>
      <c r="J36" s="16" t="n">
        <f aca="false">J24*(1-INDEX(Assumptions!$C$26:$E$26,$B$3))*J33</f>
        <v>3.30413992517064</v>
      </c>
      <c r="K36" s="16" t="n">
        <f aca="false">K24*(1-INDEX(Assumptions!$C$26:$E$26,$B$3))*K33</f>
        <v>3.60299011815988</v>
      </c>
      <c r="L36" s="16" t="n">
        <f aca="false">L24*(1-INDEX(Assumptions!$C$26:$E$26,$B$3))*L33</f>
        <v>4.95</v>
      </c>
      <c r="M36" s="16" t="n">
        <f aca="false">M24*(1-INDEX(Assumptions!$C$26:$E$26,$B$3))*M33</f>
        <v>3.96484083307698</v>
      </c>
      <c r="N36" s="16" t="n">
        <f aca="false">N24*(1-INDEX(Assumptions!$C$26:$E$26,$B$3))*N33</f>
        <v>3.94070383278706</v>
      </c>
      <c r="O36" s="38" t="n">
        <f aca="false">SUM(C36:N36)</f>
        <v>37.0848969314168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0.288</v>
      </c>
      <c r="E37" s="16" t="n">
        <f aca="false">D36*INDEX(Assumptions!$C$89:$E$89,$B$3)*E33</f>
        <v>0.45</v>
      </c>
      <c r="F37" s="16" t="n">
        <f aca="false">E36*INDEX(Assumptions!$C$89:$E$89,$B$3)*F33</f>
        <v>0.588</v>
      </c>
      <c r="G37" s="16" t="n">
        <f aca="false">F36*INDEX(Assumptions!$C$89:$E$89,$B$3)*G33</f>
        <v>0.864</v>
      </c>
      <c r="H37" s="16" t="n">
        <f aca="false">G36*INDEX(Assumptions!$C$89:$E$89,$B$3)*H33</f>
        <v>1.188</v>
      </c>
      <c r="I37" s="16" t="n">
        <f aca="false">H36*INDEX(Assumptions!$C$89:$E$89,$B$3)*I33</f>
        <v>1.32725925925926</v>
      </c>
      <c r="J37" s="16" t="n">
        <f aca="false">I36*INDEX(Assumptions!$C$89:$E$89,$B$3)*J33</f>
        <v>1.08282723693109</v>
      </c>
      <c r="K37" s="16" t="n">
        <f aca="false">J36*INDEX(Assumptions!$C$89:$E$89,$B$3)*K33</f>
        <v>0.846562382180076</v>
      </c>
      <c r="L37" s="16" t="n">
        <f aca="false">K36*INDEX(Assumptions!$C$89:$E$89,$B$3)*L33</f>
        <v>1.44119604726395</v>
      </c>
      <c r="M37" s="16" t="n">
        <f aca="false">L36*INDEX(Assumptions!$C$89:$E$89,$B$3)*M33</f>
        <v>1.66145711100369</v>
      </c>
      <c r="N37" s="16" t="n">
        <f aca="false">M36*INDEX(Assumptions!$C$89:$E$89,$B$3)*N33</f>
        <v>1.3888234193153</v>
      </c>
      <c r="O37" s="38" t="n">
        <f aca="false">SUM(C37:N37)</f>
        <v>11.1261254559534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2.4</v>
      </c>
      <c r="D38" s="38" t="n">
        <f aca="false">D34+D35+D36</f>
        <v>3.75</v>
      </c>
      <c r="E38" s="38" t="n">
        <f aca="false">E34+E35+E36</f>
        <v>4.9</v>
      </c>
      <c r="F38" s="38" t="n">
        <f aca="false">F34+F35+F36</f>
        <v>7.2</v>
      </c>
      <c r="G38" s="38" t="n">
        <f aca="false">G34+G35+G36</f>
        <v>9.9</v>
      </c>
      <c r="H38" s="38" t="n">
        <f aca="false">H34+H35+H36</f>
        <v>13</v>
      </c>
      <c r="I38" s="38" t="n">
        <f aca="false">I34+I35+I36</f>
        <v>16.5907407407407</v>
      </c>
      <c r="J38" s="38" t="n">
        <f aca="false">J34+J35+J36</f>
        <v>11.0137997505688</v>
      </c>
      <c r="K38" s="38" t="n">
        <f aca="false">K34+K35+K36</f>
        <v>12.0099670605329</v>
      </c>
      <c r="L38" s="38" t="n">
        <f aca="false">L34+L35+L36</f>
        <v>16.5</v>
      </c>
      <c r="M38" s="38" t="n">
        <f aca="false">M34+M35+M36</f>
        <v>13.2161361102566</v>
      </c>
      <c r="N38" s="38" t="n">
        <f aca="false">N34+N35+N36</f>
        <v>13.1356794426235</v>
      </c>
      <c r="O38" s="17" t="n">
        <f aca="false">SUM(C38:N38)</f>
        <v>123.616323104723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2.4</v>
      </c>
      <c r="D39" s="16" t="n">
        <f aca="false">IF(2&lt;IF($Q$3=1,$Q$4+1,INDEX(Assumptions!$C$215:$E$215,$D$3)),D24,D38)</f>
        <v>3.75</v>
      </c>
      <c r="E39" s="16" t="n">
        <f aca="false">IF(3&lt;IF($Q$3=1,$Q$4+1,INDEX(Assumptions!$C$215:$E$215,$D$3)),E24,E38)</f>
        <v>4.9</v>
      </c>
      <c r="F39" s="16" t="n">
        <f aca="false">IF(4&lt;IF($Q$3=1,$Q$4+1,INDEX(Assumptions!$C$215:$E$215,$D$3)),F24,F38)</f>
        <v>7.2</v>
      </c>
      <c r="G39" s="16" t="n">
        <f aca="false">IF(5&lt;IF($Q$3=1,$Q$4+1,INDEX(Assumptions!$C$215:$E$215,$D$3)),G24,G38)</f>
        <v>9.9</v>
      </c>
      <c r="H39" s="16" t="n">
        <f aca="false">IF(6&lt;IF($Q$3=1,$Q$4+1,INDEX(Assumptions!$C$215:$E$215,$D$3)),H24,H38)</f>
        <v>13</v>
      </c>
      <c r="I39" s="16" t="n">
        <f aca="false">IF(7&lt;IF($Q$3=1,$Q$4+1,INDEX(Assumptions!$C$215:$E$215,$D$3)),I24,I38)</f>
        <v>16.5907407407407</v>
      </c>
      <c r="J39" s="16" t="n">
        <f aca="false">IF(8&lt;IF($Q$3=1,$Q$4+1,INDEX(Assumptions!$C$215:$E$215,$D$3)),J24,J38)</f>
        <v>11.0137997505688</v>
      </c>
      <c r="K39" s="16" t="n">
        <f aca="false">IF(9&lt;IF($Q$3=1,$Q$4+1,INDEX(Assumptions!$C$215:$E$215,$D$3)),K24,K38)</f>
        <v>12.0099670605329</v>
      </c>
      <c r="L39" s="16" t="n">
        <f aca="false">IF(10&lt;IF($Q$3=1,$Q$4+1,INDEX(Assumptions!$C$215:$E$215,$D$3)),L24,L38)</f>
        <v>16.5</v>
      </c>
      <c r="M39" s="16" t="n">
        <f aca="false">IF(11&lt;IF($Q$3=1,$Q$4+1,INDEX(Assumptions!$C$215:$E$215,$D$3)),M24,M38)</f>
        <v>13.2161361102566</v>
      </c>
      <c r="N39" s="16" t="n">
        <f aca="false">IF(12&lt;IF($Q$3=1,$Q$4+1,INDEX(Assumptions!$C$215:$E$215,$D$3)),N24,N38)</f>
        <v>13.1356794426235</v>
      </c>
      <c r="O39" s="38" t="n">
        <f aca="false">SUM(C39:N39)</f>
        <v>123.616323104723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0.84</v>
      </c>
      <c r="D40" s="16" t="n">
        <f aca="false">D38*INDEX(Assumptions!$C$74:$E$74,$B$3)</f>
        <v>1.3125</v>
      </c>
      <c r="E40" s="16" t="n">
        <f aca="false">E38*INDEX(Assumptions!$C$74:$E$74,$B$3)</f>
        <v>1.715</v>
      </c>
      <c r="F40" s="16" t="n">
        <f aca="false">F38*INDEX(Assumptions!$C$74:$E$74,$B$3)</f>
        <v>2.52</v>
      </c>
      <c r="G40" s="16" t="n">
        <f aca="false">G38*INDEX(Assumptions!$C$74:$E$74,$B$3)</f>
        <v>3.465</v>
      </c>
      <c r="H40" s="16" t="n">
        <f aca="false">H38*INDEX(Assumptions!$C$74:$E$74,$B$3)</f>
        <v>4.55</v>
      </c>
      <c r="I40" s="16" t="n">
        <f aca="false">I38*INDEX(Assumptions!$C$74:$E$74,$B$3)</f>
        <v>5.80675925925926</v>
      </c>
      <c r="J40" s="16" t="n">
        <f aca="false">J38*INDEX(Assumptions!$C$74:$E$74,$B$3)</f>
        <v>3.85482991269908</v>
      </c>
      <c r="K40" s="16" t="n">
        <f aca="false">K38*INDEX(Assumptions!$C$74:$E$74,$B$3)</f>
        <v>4.20348847118652</v>
      </c>
      <c r="L40" s="16" t="n">
        <f aca="false">L38*INDEX(Assumptions!$C$74:$E$74,$B$3)</f>
        <v>5.775</v>
      </c>
      <c r="M40" s="16" t="n">
        <f aca="false">M38*INDEX(Assumptions!$C$74:$E$74,$B$3)</f>
        <v>4.62564763858981</v>
      </c>
      <c r="N40" s="16" t="n">
        <f aca="false">N38*INDEX(Assumptions!$C$74:$E$74,$B$3)</f>
        <v>4.59748780491824</v>
      </c>
      <c r="O40" s="38" t="n">
        <f aca="false">SUM(C40:N40)</f>
        <v>43.2657130866529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1.125</v>
      </c>
      <c r="E41" s="16" t="n">
        <f aca="false">E10*MIN(E16,E21*E20)*E22*E23*E33</f>
        <v>2.1</v>
      </c>
      <c r="F41" s="16" t="n">
        <f aca="false">F10*MIN(F16,F21*F20)*F22*F23*F33</f>
        <v>3.6</v>
      </c>
      <c r="G41" s="16" t="n">
        <f aca="false">G10*MIN(G16,G21*G20)*G22*G23*G33</f>
        <v>5.4</v>
      </c>
      <c r="H41" s="16" t="n">
        <f aca="false">H10*MIN(H16,H21*H20)*H22*H23*H33</f>
        <v>7.5</v>
      </c>
      <c r="I41" s="16" t="n">
        <f aca="false">I10*MIN(I16,I21*I20)*I22*I23*I33</f>
        <v>9.95444444444444</v>
      </c>
      <c r="J41" s="16" t="n">
        <f aca="false">J10*MIN(J16,J21*J20)*J22*J23*J33</f>
        <v>6.60827985034128</v>
      </c>
      <c r="K41" s="16" t="n">
        <f aca="false">K10*MIN(K16,K21*K20)*K22*K23*K33</f>
        <v>7.20598023631975</v>
      </c>
      <c r="L41" s="16" t="n">
        <f aca="false">L10*MIN(L16,L21*L20)*L22*L23*L33</f>
        <v>9.9</v>
      </c>
      <c r="M41" s="16" t="n">
        <f aca="false">M10*MIN(M16,M21*M20)*M22*M23*M33</f>
        <v>7.92968166615396</v>
      </c>
      <c r="N41" s="16" t="n">
        <f aca="false">N10*MIN(N16,N21*N20)*N22*N23*N33</f>
        <v>7.88140766557413</v>
      </c>
      <c r="O41" s="38" t="n">
        <f aca="false">SUM(C41:N41)</f>
        <v>69.2047938628336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2.4</v>
      </c>
      <c r="D42" s="6" t="n">
        <f aca="false">D31+D34+D37+D36+1.25*D35</f>
        <v>5.718</v>
      </c>
      <c r="E42" s="6" t="n">
        <f aca="false">E31+E34+E37+E36+1.25*E35</f>
        <v>9.943</v>
      </c>
      <c r="F42" s="6" t="n">
        <f aca="false">F31+F34+F37+F36+1.25*F35</f>
        <v>14.581</v>
      </c>
      <c r="G42" s="6" t="n">
        <f aca="false">G31+G34+G37+G36+1.25*G35</f>
        <v>20.272</v>
      </c>
      <c r="H42" s="6" t="n">
        <f aca="false">H31+H34+H37+H36+1.25*H35</f>
        <v>27.61</v>
      </c>
      <c r="I42" s="6" t="n">
        <f aca="false">I31+I34+I37+I36+1.25*I35</f>
        <v>36</v>
      </c>
      <c r="J42" s="6" t="n">
        <f aca="false">J31+J34+J37+J36+1.25*J35</f>
        <v>36</v>
      </c>
      <c r="K42" s="6" t="n">
        <f aca="false">K31+K34+K37+K36+1.25*K35</f>
        <v>36</v>
      </c>
      <c r="L42" s="6" t="n">
        <f aca="false">L31+L34+L37+L36+1.25*L35</f>
        <v>35.0350769777146</v>
      </c>
      <c r="M42" s="6" t="n">
        <f aca="false">M31+M34+M37+M36+1.25*M35</f>
        <v>36</v>
      </c>
      <c r="N42" s="6" t="n">
        <f aca="false">N31+N34+N37+N36+1.25*N35</f>
        <v>36</v>
      </c>
      <c r="O42" s="41" t="n">
        <f aca="false">AVERAGE(C42:N42)</f>
        <v>24.6299230814762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0.15</v>
      </c>
      <c r="D43" s="39" t="n">
        <f aca="false">D42/(D25*D26)</f>
        <v>0.357375</v>
      </c>
      <c r="E43" s="39" t="n">
        <f aca="false">E42/(E25*E26)</f>
        <v>0.6214375</v>
      </c>
      <c r="F43" s="39" t="n">
        <f aca="false">F42/(F25*F26)</f>
        <v>0.364525</v>
      </c>
      <c r="G43" s="39" t="n">
        <f aca="false">G42/(G25*G26)</f>
        <v>0.5068</v>
      </c>
      <c r="H43" s="39" t="n">
        <f aca="false">H42/(H25*H26)</f>
        <v>0.69025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0.875876924442865</v>
      </c>
      <c r="M43" s="39" t="n">
        <f aca="false">M42/(M25*M26)</f>
        <v>0.9</v>
      </c>
      <c r="N43" s="39" t="n">
        <f aca="false">N42/(N25*N26)</f>
        <v>0.9</v>
      </c>
      <c r="O43" s="9" t="n">
        <f aca="false">N43</f>
        <v>0.9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1</v>
      </c>
      <c r="O44" s="40" t="n">
        <f aca="false">SUM(C44:N44)</f>
        <v>5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4.5</v>
      </c>
      <c r="F46" s="6" t="n">
        <f aca="false">IF(4&gt;=3,INDEX(Assumptions!$C$234:$E$234,F$9)*INDEX(Assumptions!$C$235:$E$235,$B$3)*MIN(1,(4-2)/6),0)*$F$3*F22*$W$3</f>
        <v>9</v>
      </c>
      <c r="G46" s="6" t="n">
        <f aca="false">IF(5&gt;=3,INDEX(Assumptions!$C$234:$E$234,G$9)*INDEX(Assumptions!$C$235:$E$235,$B$3)*MIN(1,(5-2)/6),0)*$F$3*G22*$W$3</f>
        <v>13.5</v>
      </c>
      <c r="H46" s="6" t="n">
        <f aca="false">IF(6&gt;=3,INDEX(Assumptions!$C$234:$E$234,H$9)*INDEX(Assumptions!$C$235:$E$235,$B$3)*MIN(1,(6-2)/6),0)*$F$3*H22*$W$3</f>
        <v>18</v>
      </c>
      <c r="I46" s="6" t="n">
        <f aca="false">IF(7&gt;=3,INDEX(Assumptions!$C$234:$E$234,I$9)*INDEX(Assumptions!$C$235:$E$235,$B$3)*MIN(1,(7-2)/6),0)*$F$3*I22*$W$3</f>
        <v>22.5</v>
      </c>
      <c r="J46" s="6" t="n">
        <f aca="false">IF(8&gt;=3,INDEX(Assumptions!$C$234:$E$234,J$9)*INDEX(Assumptions!$C$235:$E$235,$B$3)*MIN(1,(8-2)/6),0)*$F$3*J22*$W$3</f>
        <v>27</v>
      </c>
      <c r="K46" s="6" t="n">
        <f aca="false">IF(9&gt;=3,INDEX(Assumptions!$C$234:$E$234,K$9)*INDEX(Assumptions!$C$235:$E$235,$B$3)*MIN(1,(9-2)/6),0)*$F$3*K22*$W$3</f>
        <v>27</v>
      </c>
      <c r="L46" s="6" t="n">
        <f aca="false">IF(10&gt;=3,INDEX(Assumptions!$C$234:$E$234,L$9)*INDEX(Assumptions!$C$235:$E$235,$B$3)*MIN(1,(10-2)/6),0)*$F$3*L22*$W$3</f>
        <v>27</v>
      </c>
      <c r="M46" s="6" t="n">
        <f aca="false">IF(11&gt;=3,INDEX(Assumptions!$C$234:$E$234,M$9)*INDEX(Assumptions!$C$235:$E$235,$B$3)*MIN(1,(11-2)/6),0)*$F$3*M22*$W$3</f>
        <v>27</v>
      </c>
      <c r="N46" s="6" t="n">
        <f aca="false">IF(12&gt;=3,INDEX(Assumptions!$C$234:$E$234,N$9)*INDEX(Assumptions!$C$235:$E$235,$B$3)*MIN(1,(12-2)/6),0)*$F$3*N22*$W$3</f>
        <v>27</v>
      </c>
      <c r="O46" s="41" t="n">
        <f aca="false">SUM(C46:N46)</f>
        <v>202.5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10.2666666666667</v>
      </c>
      <c r="D47" s="6" t="n">
        <f aca="false">INDEX(Assumptions!$C$236:$E$236,D$9)*D11*MIN(1,2/3)*$F$3*D22</f>
        <v>17.6</v>
      </c>
      <c r="E47" s="6" t="n">
        <f aca="false">INDEX(Assumptions!$C$236:$E$236,E$9)*E11*MIN(1,3/3)*$F$3*E22</f>
        <v>26.4</v>
      </c>
      <c r="F47" s="6" t="n">
        <f aca="false">INDEX(Assumptions!$C$236:$E$236,F$9)*F11*MIN(1,4/3)*$F$3*F22</f>
        <v>28.6</v>
      </c>
      <c r="G47" s="6" t="n">
        <f aca="false">INDEX(Assumptions!$C$236:$E$236,G$9)*G11*MIN(1,5/3)*$F$3*G22</f>
        <v>19.8</v>
      </c>
      <c r="H47" s="6" t="n">
        <f aca="false">INDEX(Assumptions!$C$236:$E$236,H$9)*H11*MIN(1,6/3)*$F$3*H22</f>
        <v>17.6</v>
      </c>
      <c r="I47" s="6" t="n">
        <f aca="false">INDEX(Assumptions!$C$236:$E$236,I$9)*I11*MIN(1,7/3)*$F$3*I22</f>
        <v>15.4</v>
      </c>
      <c r="J47" s="6" t="n">
        <f aca="false">INDEX(Assumptions!$C$236:$E$236,J$9)*J11*MIN(1,8/3)*$F$3*J22</f>
        <v>13.2</v>
      </c>
      <c r="K47" s="6" t="n">
        <f aca="false">INDEX(Assumptions!$C$236:$E$236,K$9)*K11*MIN(1,9/3)*$F$3*K22</f>
        <v>13.2</v>
      </c>
      <c r="L47" s="6" t="n">
        <f aca="false">INDEX(Assumptions!$C$236:$E$236,L$9)*L11*MIN(1,10/3)*$F$3*L22</f>
        <v>17.6</v>
      </c>
      <c r="M47" s="6" t="n">
        <f aca="false">INDEX(Assumptions!$C$236:$E$236,M$9)*M11*MIN(1,11/3)*$F$3*M22</f>
        <v>24.2</v>
      </c>
      <c r="N47" s="6" t="n">
        <f aca="false">INDEX(Assumptions!$C$236:$E$236,N$9)*N11*MIN(1,12/3)*$F$3*N22</f>
        <v>30.8</v>
      </c>
      <c r="O47" s="41" t="n">
        <f aca="false">SUM(C47:N47)</f>
        <v>234.666666666667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1.33333333333333</v>
      </c>
      <c r="D48" s="6" t="n">
        <f aca="false">D24*INDEX(Assumptions!$C$31:$E$31,$B$3)/(INDEX(Assumptions!$C$56:$E$56,$B$3)*INDEX(Assumptions!$C$57:$E$57,$B$3)*INDEX(Assumptions!$C$58:$E$58,$B$3))</f>
        <v>2.08333333333333</v>
      </c>
      <c r="E48" s="6" t="n">
        <f aca="false">E24*INDEX(Assumptions!$C$31:$E$31,$B$3)/(INDEX(Assumptions!$C$56:$E$56,$B$3)*INDEX(Assumptions!$C$57:$E$57,$B$3)*INDEX(Assumptions!$C$58:$E$58,$B$3))</f>
        <v>2.72222222222222</v>
      </c>
      <c r="F48" s="6" t="n">
        <f aca="false">F24*INDEX(Assumptions!$C$31:$E$31,$B$3)/(INDEX(Assumptions!$C$56:$E$56,$B$3)*INDEX(Assumptions!$C$57:$E$57,$B$3)*INDEX(Assumptions!$C$58:$E$58,$B$3))</f>
        <v>4</v>
      </c>
      <c r="G48" s="6" t="n">
        <f aca="false">G24*INDEX(Assumptions!$C$31:$E$31,$B$3)/(INDEX(Assumptions!$C$56:$E$56,$B$3)*INDEX(Assumptions!$C$57:$E$57,$B$3)*INDEX(Assumptions!$C$58:$E$58,$B$3))</f>
        <v>5.5</v>
      </c>
      <c r="H48" s="6" t="n">
        <f aca="false">H24*INDEX(Assumptions!$C$31:$E$31,$B$3)/(INDEX(Assumptions!$C$56:$E$56,$B$3)*INDEX(Assumptions!$C$57:$E$57,$B$3)*INDEX(Assumptions!$C$58:$E$58,$B$3))</f>
        <v>7.22222222222222</v>
      </c>
      <c r="I48" s="6" t="n">
        <f aca="false">I24*INDEX(Assumptions!$C$31:$E$31,$B$3)/(INDEX(Assumptions!$C$56:$E$56,$B$3)*INDEX(Assumptions!$C$57:$E$57,$B$3)*INDEX(Assumptions!$C$58:$E$58,$B$3))</f>
        <v>10.8333333333333</v>
      </c>
      <c r="J48" s="6" t="n">
        <f aca="false">J24*INDEX(Assumptions!$C$31:$E$31,$B$3)/(INDEX(Assumptions!$C$56:$E$56,$B$3)*INDEX(Assumptions!$C$57:$E$57,$B$3)*INDEX(Assumptions!$C$58:$E$58,$B$3))</f>
        <v>11.25</v>
      </c>
      <c r="K48" s="6" t="n">
        <f aca="false">K24*INDEX(Assumptions!$C$31:$E$31,$B$3)/(INDEX(Assumptions!$C$56:$E$56,$B$3)*INDEX(Assumptions!$C$57:$E$57,$B$3)*INDEX(Assumptions!$C$58:$E$58,$B$3))</f>
        <v>10.4166666666667</v>
      </c>
      <c r="L48" s="6" t="n">
        <f aca="false">L24*INDEX(Assumptions!$C$31:$E$31,$B$3)/(INDEX(Assumptions!$C$56:$E$56,$B$3)*INDEX(Assumptions!$C$57:$E$57,$B$3)*INDEX(Assumptions!$C$58:$E$58,$B$3))</f>
        <v>9.16666666666667</v>
      </c>
      <c r="M48" s="6" t="n">
        <f aca="false">M24*INDEX(Assumptions!$C$31:$E$31,$B$3)/(INDEX(Assumptions!$C$56:$E$56,$B$3)*INDEX(Assumptions!$C$57:$E$57,$B$3)*INDEX(Assumptions!$C$58:$E$58,$B$3))</f>
        <v>8.75</v>
      </c>
      <c r="N48" s="6" t="n">
        <f aca="false">N24*INDEX(Assumptions!$C$31:$E$31,$B$3)/(INDEX(Assumptions!$C$56:$E$56,$B$3)*INDEX(Assumptions!$C$57:$E$57,$B$3)*INDEX(Assumptions!$C$58:$E$58,$B$3))</f>
        <v>8.33333333333333</v>
      </c>
      <c r="O48" s="41" t="n">
        <f aca="false">SUM(C48:N48)</f>
        <v>81.6111111111111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1</v>
      </c>
      <c r="I49" s="16" t="n">
        <f aca="false">IF(7&gt;=IF($Q$3=1,MAX(INDEX(Assumptions!$C$233:$E$233,I$9),$Q$4+1),INDEX(Assumptions!$C$233:$E$233,I$9)),MAX(INDEX(Assumptions!$C$86:$E$86,I$9),0.5),0)</f>
        <v>1</v>
      </c>
      <c r="J49" s="16" t="n">
        <f aca="false">IF(8&gt;=IF($Q$3=1,MAX(INDEX(Assumptions!$C$233:$E$233,J$9),$Q$4+1),INDEX(Assumptions!$C$233:$E$233,J$9)),MAX(INDEX(Assumptions!$C$86:$E$86,J$9),0.5),0)</f>
        <v>1</v>
      </c>
      <c r="K49" s="16" t="n">
        <f aca="false">IF(9&gt;=IF($Q$3=1,MAX(INDEX(Assumptions!$C$233:$E$233,K$9),$Q$4+1),INDEX(Assumptions!$C$233:$E$233,K$9)),MAX(INDEX(Assumptions!$C$86:$E$86,K$9),0.5),0)</f>
        <v>1</v>
      </c>
      <c r="L49" s="16" t="n">
        <f aca="false">IF(10&gt;=IF($Q$3=1,MAX(INDEX(Assumptions!$C$233:$E$233,L$9),$Q$4+1),INDEX(Assumptions!$C$233:$E$233,L$9)),MAX(INDEX(Assumptions!$C$86:$E$86,L$9),0.5),0)</f>
        <v>1</v>
      </c>
      <c r="M49" s="16" t="n">
        <f aca="false">IF(11&gt;=IF($Q$3=1,MAX(INDEX(Assumptions!$C$233:$E$233,M$9),$Q$4+1),INDEX(Assumptions!$C$233:$E$233,M$9)),MAX(INDEX(Assumptions!$C$86:$E$86,M$9),0.5),0)</f>
        <v>1</v>
      </c>
      <c r="N49" s="16" t="n">
        <f aca="false">IF(12&gt;=IF($Q$3=1,MAX(INDEX(Assumptions!$C$233:$E$233,N$9),$Q$4+1),INDEX(Assumptions!$C$233:$E$233,N$9)),MAX(INDEX(Assumptions!$C$86:$E$86,N$9),0.5),0)</f>
        <v>1</v>
      </c>
      <c r="O49" s="38" t="n">
        <f aca="false">SUM(C49:N49)</f>
        <v>7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40</v>
      </c>
      <c r="I50" s="6" t="n">
        <f aca="false">I49*INDEX(Assumptions!$C$82:$E$82,$B$3)*$F$3*I22</f>
        <v>40</v>
      </c>
      <c r="J50" s="6" t="n">
        <f aca="false">J49*INDEX(Assumptions!$C$82:$E$82,$B$3)*$F$3*J22</f>
        <v>40</v>
      </c>
      <c r="K50" s="6" t="n">
        <f aca="false">K49*INDEX(Assumptions!$C$82:$E$82,$B$3)*$F$3*K22</f>
        <v>40</v>
      </c>
      <c r="L50" s="6" t="n">
        <f aca="false">L49*INDEX(Assumptions!$C$82:$E$82,$B$3)*$F$3*L22</f>
        <v>40</v>
      </c>
      <c r="M50" s="6" t="n">
        <f aca="false">M49*INDEX(Assumptions!$C$82:$E$82,$B$3)*$F$3*M22</f>
        <v>40</v>
      </c>
      <c r="N50" s="6" t="n">
        <f aca="false">N49*INDEX(Assumptions!$C$82:$E$82,$B$3)*$F$3*N22</f>
        <v>40</v>
      </c>
      <c r="O50" s="41" t="n">
        <f aca="false">SUM(C50:N50)</f>
        <v>280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0.63</v>
      </c>
      <c r="F51" s="16" t="n">
        <f aca="false">F46*0.7*INDEX(Assumptions!$C$73:$E$73,$B$3)</f>
        <v>1.26</v>
      </c>
      <c r="G51" s="16" t="n">
        <f aca="false">G46*0.7*INDEX(Assumptions!$C$73:$E$73,$B$3)</f>
        <v>1.89</v>
      </c>
      <c r="H51" s="16" t="n">
        <f aca="false">H46*0.7*INDEX(Assumptions!$C$73:$E$73,$B$3)</f>
        <v>2.52</v>
      </c>
      <c r="I51" s="16" t="n">
        <f aca="false">I46*0.7*INDEX(Assumptions!$C$73:$E$73,$B$3)</f>
        <v>3.15</v>
      </c>
      <c r="J51" s="16" t="n">
        <f aca="false">J46*0.7*INDEX(Assumptions!$C$73:$E$73,$B$3)</f>
        <v>3.78</v>
      </c>
      <c r="K51" s="16" t="n">
        <f aca="false">K46*0.7*INDEX(Assumptions!$C$73:$E$73,$B$3)</f>
        <v>3.78</v>
      </c>
      <c r="L51" s="16" t="n">
        <f aca="false">L46*0.7*INDEX(Assumptions!$C$73:$E$73,$B$3)</f>
        <v>3.78</v>
      </c>
      <c r="M51" s="16" t="n">
        <f aca="false">M46*0.7*INDEX(Assumptions!$C$73:$E$73,$B$3)</f>
        <v>3.78</v>
      </c>
      <c r="N51" s="16" t="n">
        <f aca="false">N46*0.7*INDEX(Assumptions!$C$73:$E$73,$B$3)</f>
        <v>3.78</v>
      </c>
      <c r="O51" s="38" t="n">
        <f aca="false">SUM(C51:N51)</f>
        <v>28.35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75000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75000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75000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75000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O53" s="40" t="n">
        <f aca="false">AVERAGE(C53:N53)</f>
        <v>91666.6666666667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0</v>
      </c>
      <c r="H54" s="10" t="n">
        <f aca="false">IF(AND(6&gt;=IF($Q$3=1,$Q$4+1,INDEX(Assumptions!$C$105:$E$105,$B$3)),NOT(AND($U$3=1,6=$Q$4+2))),0,1)</f>
        <v>0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106779.661016949</v>
      </c>
      <c r="D56" s="10" t="n">
        <f aca="false">D34*D53/(1+INDEX(Assumptions!$C$15:$E$15,$B$3)*$H$4)</f>
        <v>166843.220338983</v>
      </c>
      <c r="E56" s="10" t="n">
        <f aca="false">E34*E53/(1+INDEX(Assumptions!$C$15:$E$15,$B$3)*$H$4)</f>
        <v>218008.474576271</v>
      </c>
      <c r="F56" s="10" t="n">
        <f aca="false">F34*F53/(1+INDEX(Assumptions!$C$15:$E$15,$B$3)*$H$4)</f>
        <v>320338.983050848</v>
      </c>
      <c r="G56" s="10" t="n">
        <f aca="false">G34*G53/(1+INDEX(Assumptions!$C$15:$E$15,$B$3)*$H$4)</f>
        <v>587288.13559322</v>
      </c>
      <c r="H56" s="10" t="n">
        <f aca="false">H34*H53/(1+INDEX(Assumptions!$C$15:$E$15,$B$3)*$H$4)</f>
        <v>771186.440677966</v>
      </c>
      <c r="I56" s="10" t="n">
        <f aca="false">I34*I53/(1+INDEX(Assumptions!$C$15:$E$15,$B$3)*$H$4)</f>
        <v>984196.484620213</v>
      </c>
      <c r="J56" s="10" t="n">
        <f aca="false">J34*J53/(1+INDEX(Assumptions!$C$15:$E$15,$B$3)*$H$4)</f>
        <v>424684.651399051</v>
      </c>
      <c r="K56" s="10" t="n">
        <f aca="false">K34*K53/(1+INDEX(Assumptions!$C$15:$E$15,$B$3)*$H$4)</f>
        <v>463096.1875036</v>
      </c>
      <c r="L56" s="10" t="n">
        <f aca="false">L34*L53/(1+INDEX(Assumptions!$C$15:$E$15,$B$3)*$H$4)</f>
        <v>636228.813559322</v>
      </c>
      <c r="M56" s="10" t="n">
        <f aca="false">M34*M53/(1+INDEX(Assumptions!$C$15:$E$15,$B$3)*$H$4)</f>
        <v>509605.248319216</v>
      </c>
      <c r="N56" s="10" t="n">
        <f aca="false">N34*N53/(1+INDEX(Assumptions!$C$15:$E$15,$B$3)*$H$4)</f>
        <v>506502.893762179</v>
      </c>
      <c r="O56" s="40" t="n">
        <f aca="false">SUM(C56:N56)</f>
        <v>5694759.19441782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228676.350753335</v>
      </c>
      <c r="K57" s="10" t="n">
        <f aca="false">K35*K53/(1+INDEX(Assumptions!$C$15:$E$15,$B$3)*$H$4)</f>
        <v>249359.485578862</v>
      </c>
      <c r="L57" s="10" t="n">
        <f aca="false">L35*L53/(1+INDEX(Assumptions!$C$15:$E$15,$B$3)*$H$4)</f>
        <v>342584.745762712</v>
      </c>
      <c r="M57" s="10" t="n">
        <f aca="false">M35*M53/(1+INDEX(Assumptions!$C$15:$E$15,$B$3)*$H$4)</f>
        <v>274402.826018039</v>
      </c>
      <c r="N57" s="10" t="n">
        <f aca="false">N35*N53/(1+INDEX(Assumptions!$C$15:$E$15,$B$3)*$H$4)</f>
        <v>272732.327410404</v>
      </c>
      <c r="O57" s="40" t="n">
        <f aca="false">SUM(C57:N57)</f>
        <v>1367755.73552335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7322.03389830509</v>
      </c>
      <c r="E58" s="10" t="n">
        <f aca="false">E37*MAX(0,E53-INDEX(Assumptions!$C$18:$E$18,$B$3)*$H$3)/(1+INDEX(Assumptions!$C$15:$E$15,$B$3)*$H$4)</f>
        <v>11440.6779661017</v>
      </c>
      <c r="F58" s="10" t="n">
        <f aca="false">F37*MAX(0,F53-INDEX(Assumptions!$C$18:$E$18,$B$3)*$H$3)/(1+INDEX(Assumptions!$C$15:$E$15,$B$3)*$H$4)</f>
        <v>14949.1525423729</v>
      </c>
      <c r="G58" s="10" t="n">
        <f aca="false">G37*MAX(0,G53-INDEX(Assumptions!$C$18:$E$18,$B$3)*$H$3)/(1+INDEX(Assumptions!$C$15:$E$15,$B$3)*$H$4)</f>
        <v>40271.186440678</v>
      </c>
      <c r="H58" s="10" t="n">
        <f aca="false">H37*MAX(0,H53-INDEX(Assumptions!$C$18:$E$18,$B$3)*$H$3)/(1+INDEX(Assumptions!$C$15:$E$15,$B$3)*$H$4)</f>
        <v>55372.8813559322</v>
      </c>
      <c r="I58" s="10" t="n">
        <f aca="false">I37*MAX(0,I53-INDEX(Assumptions!$C$18:$E$18,$B$3)*$H$3)/(1+INDEX(Assumptions!$C$15:$E$15,$B$3)*$H$4)</f>
        <v>61863.7790332706</v>
      </c>
      <c r="J58" s="10" t="n">
        <f aca="false">J37*MAX(0,J53-INDEX(Assumptions!$C$18:$E$18,$B$3)*$H$3)/(1+INDEX(Assumptions!$C$15:$E$15,$B$3)*$H$4)</f>
        <v>50470.7610433984</v>
      </c>
      <c r="K58" s="10" t="n">
        <f aca="false">K37*MAX(0,K53-INDEX(Assumptions!$C$18:$E$18,$B$3)*$H$3)/(1+INDEX(Assumptions!$C$15:$E$15,$B$3)*$H$4)</f>
        <v>39458.4161185629</v>
      </c>
      <c r="L58" s="10" t="n">
        <f aca="false">L37*MAX(0,L53-INDEX(Assumptions!$C$18:$E$18,$B$3)*$H$3)/(1+INDEX(Assumptions!$C$15:$E$15,$B$3)*$H$4)</f>
        <v>67174.3920334892</v>
      </c>
      <c r="M58" s="10" t="n">
        <f aca="false">M37*MAX(0,M53-INDEX(Assumptions!$C$18:$E$18,$B$3)*$H$3)/(1+INDEX(Assumptions!$C$15:$E$15,$B$3)*$H$4)</f>
        <v>77440.797546782</v>
      </c>
      <c r="N58" s="10" t="n">
        <f aca="false">N37*MAX(0,N53-INDEX(Assumptions!$C$18:$E$18,$B$3)*$H$3)/(1+INDEX(Assumptions!$C$15:$E$15,$B$3)*$H$4)</f>
        <v>64733.2949680859</v>
      </c>
      <c r="O58" s="40" t="n">
        <f aca="false">SUM(C58:N58)</f>
        <v>490497.372946979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27457.6271186441</v>
      </c>
      <c r="D59" s="10" t="n">
        <f aca="false">D36*INDEX(Assumptions!$C$18:$E$18,$B$3)*$H$3/(1+INDEX(Assumptions!$C$15:$E$15,$B$3)*$H$4)</f>
        <v>42902.5423728814</v>
      </c>
      <c r="E59" s="10" t="n">
        <f aca="false">E36*INDEX(Assumptions!$C$18:$E$18,$B$3)*$H$3/(1+INDEX(Assumptions!$C$15:$E$15,$B$3)*$H$4)</f>
        <v>56059.3220338983</v>
      </c>
      <c r="F59" s="10" t="n">
        <f aca="false">F36*INDEX(Assumptions!$C$18:$E$18,$B$3)*$H$3/(1+INDEX(Assumptions!$C$15:$E$15,$B$3)*$H$4)</f>
        <v>82372.8813559322</v>
      </c>
      <c r="G59" s="10" t="n">
        <f aca="false">G36*INDEX(Assumptions!$C$18:$E$18,$B$3)*$H$3/(1+INDEX(Assumptions!$C$15:$E$15,$B$3)*$H$4)</f>
        <v>113262.711864407</v>
      </c>
      <c r="H59" s="10" t="n">
        <f aca="false">H36*INDEX(Assumptions!$C$18:$E$18,$B$3)*$H$3/(1+INDEX(Assumptions!$C$15:$E$15,$B$3)*$H$4)</f>
        <v>148728.813559322</v>
      </c>
      <c r="I59" s="10" t="n">
        <f aca="false">I36*INDEX(Assumptions!$C$18:$E$18,$B$3)*$H$3/(1+INDEX(Assumptions!$C$15:$E$15,$B$3)*$H$4)</f>
        <v>189809.322033898</v>
      </c>
      <c r="J59" s="10" t="n">
        <f aca="false">J36*INDEX(Assumptions!$C$18:$E$18,$B$3)*$H$3/(1+INDEX(Assumptions!$C$15:$E$15,$B$3)*$H$4)</f>
        <v>126005.336129389</v>
      </c>
      <c r="K59" s="10" t="n">
        <f aca="false">K36*INDEX(Assumptions!$C$18:$E$18,$B$3)*$H$3/(1+INDEX(Assumptions!$C$15:$E$15,$B$3)*$H$4)</f>
        <v>137402.165523046</v>
      </c>
      <c r="L59" s="10" t="n">
        <f aca="false">L36*INDEX(Assumptions!$C$18:$E$18,$B$3)*$H$3/(1+INDEX(Assumptions!$C$15:$E$15,$B$3)*$H$4)</f>
        <v>188771.186440678</v>
      </c>
      <c r="M59" s="10" t="n">
        <f aca="false">M36*INDEX(Assumptions!$C$18:$E$18,$B$3)*$H$3/(1+INDEX(Assumptions!$C$15:$E$15,$B$3)*$H$4)</f>
        <v>151201.557193614</v>
      </c>
      <c r="N59" s="10" t="n">
        <f aca="false">N36*INDEX(Assumptions!$C$18:$E$18,$B$3)*$H$3/(1+INDEX(Assumptions!$C$15:$E$15,$B$3)*$H$4)</f>
        <v>150281.078368998</v>
      </c>
      <c r="O59" s="40" t="n">
        <f aca="false">SUM(C59:N59)</f>
        <v>1414254.54399471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925.627118644068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1446.29237288136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1889.8220338983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2776.8813559322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3818.21186440678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5013.81355932203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7520.72033898305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7809.97881355932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7231.46186440678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6363.68644067797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6074.4279661017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5785.16949152542</v>
      </c>
      <c r="O60" s="40" t="n">
        <f aca="false">SUM(C60:N60)</f>
        <v>56656.093220339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53389.8305084746</v>
      </c>
      <c r="F61" s="10" t="n">
        <f aca="false">F46*INDEX(Assumptions!$C$21:$E$21,$B$3)*$H$3/(1+INDEX(Assumptions!$C$15:$E$15,$B$3)*$H$4)</f>
        <v>106779.661016949</v>
      </c>
      <c r="G61" s="10" t="n">
        <f aca="false">G46*INDEX(Assumptions!$C$21:$E$21,$B$3)*$H$3/(1+INDEX(Assumptions!$C$15:$E$15,$B$3)*$H$4)</f>
        <v>160169.491525424</v>
      </c>
      <c r="H61" s="10" t="n">
        <f aca="false">H46*INDEX(Assumptions!$C$21:$E$21,$B$3)*$H$3/(1+INDEX(Assumptions!$C$15:$E$15,$B$3)*$H$4)</f>
        <v>213559.322033898</v>
      </c>
      <c r="I61" s="10" t="n">
        <f aca="false">I46*INDEX(Assumptions!$C$21:$E$21,$B$3)*$H$3/(1+INDEX(Assumptions!$C$15:$E$15,$B$3)*$H$4)</f>
        <v>266949.152542373</v>
      </c>
      <c r="J61" s="10" t="n">
        <f aca="false">J46*INDEX(Assumptions!$C$21:$E$21,$B$3)*$H$3/(1+INDEX(Assumptions!$C$15:$E$15,$B$3)*$H$4)</f>
        <v>320338.983050848</v>
      </c>
      <c r="K61" s="10" t="n">
        <f aca="false">K46*INDEX(Assumptions!$C$21:$E$21,$B$3)*$H$3/(1+INDEX(Assumptions!$C$15:$E$15,$B$3)*$H$4)</f>
        <v>320338.983050848</v>
      </c>
      <c r="L61" s="10" t="n">
        <f aca="false">L46*INDEX(Assumptions!$C$21:$E$21,$B$3)*$H$3/(1+INDEX(Assumptions!$C$15:$E$15,$B$3)*$H$4)</f>
        <v>320338.983050848</v>
      </c>
      <c r="M61" s="10" t="n">
        <f aca="false">M46*INDEX(Assumptions!$C$21:$E$21,$B$3)*$H$3/(1+INDEX(Assumptions!$C$15:$E$15,$B$3)*$H$4)</f>
        <v>320338.983050848</v>
      </c>
      <c r="N61" s="10" t="n">
        <f aca="false">N46*INDEX(Assumptions!$C$21:$E$21,$B$3)*$H$3/(1+INDEX(Assumptions!$C$15:$E$15,$B$3)*$H$4)</f>
        <v>320338.983050848</v>
      </c>
      <c r="O61" s="40" t="n">
        <f aca="false">SUM(C61:N61)</f>
        <v>2402542.37288136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56553.6723163842</v>
      </c>
      <c r="D62" s="10" t="n">
        <f aca="false">D47*INDEX(Assumptions!$C$22:$E$22,$B$3)*$H$3/(1+INDEX(Assumptions!$C$15:$E$15,$B$3)*$H$4)</f>
        <v>96949.1525423729</v>
      </c>
      <c r="E62" s="10" t="n">
        <f aca="false">E47*INDEX(Assumptions!$C$22:$E$22,$B$3)*$H$3/(1+INDEX(Assumptions!$C$15:$E$15,$B$3)*$H$4)</f>
        <v>145423.728813559</v>
      </c>
      <c r="F62" s="10" t="n">
        <f aca="false">F47*INDEX(Assumptions!$C$22:$E$22,$B$3)*$H$3/(1+INDEX(Assumptions!$C$15:$E$15,$B$3)*$H$4)</f>
        <v>157542.372881356</v>
      </c>
      <c r="G62" s="10" t="n">
        <f aca="false">G47*INDEX(Assumptions!$C$22:$E$22,$B$3)*$H$3/(1+INDEX(Assumptions!$C$15:$E$15,$B$3)*$H$4)</f>
        <v>109067.796610169</v>
      </c>
      <c r="H62" s="10" t="n">
        <f aca="false">H47*INDEX(Assumptions!$C$22:$E$22,$B$3)*$H$3/(1+INDEX(Assumptions!$C$15:$E$15,$B$3)*$H$4)</f>
        <v>96949.1525423729</v>
      </c>
      <c r="I62" s="10" t="n">
        <f aca="false">I47*INDEX(Assumptions!$C$22:$E$22,$B$3)*$H$3/(1+INDEX(Assumptions!$C$15:$E$15,$B$3)*$H$4)</f>
        <v>84830.5084745763</v>
      </c>
      <c r="J62" s="10" t="n">
        <f aca="false">J47*INDEX(Assumptions!$C$22:$E$22,$B$3)*$H$3/(1+INDEX(Assumptions!$C$15:$E$15,$B$3)*$H$4)</f>
        <v>72711.8644067797</v>
      </c>
      <c r="K62" s="10" t="n">
        <f aca="false">K47*INDEX(Assumptions!$C$22:$E$22,$B$3)*$H$3/(1+INDEX(Assumptions!$C$15:$E$15,$B$3)*$H$4)</f>
        <v>72711.8644067797</v>
      </c>
      <c r="L62" s="10" t="n">
        <f aca="false">L47*INDEX(Assumptions!$C$22:$E$22,$B$3)*$H$3/(1+INDEX(Assumptions!$C$15:$E$15,$B$3)*$H$4)</f>
        <v>96949.1525423729</v>
      </c>
      <c r="M62" s="10" t="n">
        <f aca="false">M47*INDEX(Assumptions!$C$22:$E$22,$B$3)*$H$3/(1+INDEX(Assumptions!$C$15:$E$15,$B$3)*$H$4)</f>
        <v>133305.084745763</v>
      </c>
      <c r="N62" s="10" t="n">
        <f aca="false">N47*INDEX(Assumptions!$C$22:$E$22,$B$3)*$H$3/(1+INDEX(Assumptions!$C$15:$E$15,$B$3)*$H$4)</f>
        <v>169661.016949153</v>
      </c>
      <c r="O62" s="40" t="n">
        <f aca="false">SUM(C62:N62)</f>
        <v>1292655.36723164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50813.5593220339</v>
      </c>
      <c r="I63" s="10" t="n">
        <f aca="false">I50*INDEX(Assumptions!$C$83:$E$83,$B$3)/(1+INDEX(Assumptions!$C$15:$E$15,$B$3)*$H$4)</f>
        <v>50813.5593220339</v>
      </c>
      <c r="J63" s="10" t="n">
        <f aca="false">J50*INDEX(Assumptions!$C$83:$E$83,$B$3)/(1+INDEX(Assumptions!$C$15:$E$15,$B$3)*$H$4)</f>
        <v>50813.5593220339</v>
      </c>
      <c r="K63" s="10" t="n">
        <f aca="false">K50*INDEX(Assumptions!$C$83:$E$83,$B$3)/(1+INDEX(Assumptions!$C$15:$E$15,$B$3)*$H$4)</f>
        <v>50813.5593220339</v>
      </c>
      <c r="L63" s="10" t="n">
        <f aca="false">L50*INDEX(Assumptions!$C$83:$E$83,$B$3)/(1+INDEX(Assumptions!$C$15:$E$15,$B$3)*$H$4)</f>
        <v>50813.5593220339</v>
      </c>
      <c r="M63" s="10" t="n">
        <f aca="false">M50*INDEX(Assumptions!$C$83:$E$83,$B$3)/(1+INDEX(Assumptions!$C$15:$E$15,$B$3)*$H$4)</f>
        <v>50813.5593220339</v>
      </c>
      <c r="N63" s="10" t="n">
        <f aca="false">N50*INDEX(Assumptions!$C$83:$E$83,$B$3)/(1+INDEX(Assumptions!$C$15:$E$15,$B$3)*$H$4)</f>
        <v>50813.5593220339</v>
      </c>
      <c r="O63" s="40" t="n">
        <f aca="false">SUM(C63:N63)</f>
        <v>355694.915254237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6673.19491525424</v>
      </c>
      <c r="F64" s="10" t="n">
        <f aca="false">F51*INDEX(Assumptions!$C$23:$E$23,$B$3)/(1+INDEX(Assumptions!$C$15:$E$15,$B$3)*$H$4)</f>
        <v>13346.3898305085</v>
      </c>
      <c r="G64" s="10" t="n">
        <f aca="false">G51*INDEX(Assumptions!$C$23:$E$23,$B$3)/(1+INDEX(Assumptions!$C$15:$E$15,$B$3)*$H$4)</f>
        <v>20019.5847457627</v>
      </c>
      <c r="H64" s="10" t="n">
        <f aca="false">H51*INDEX(Assumptions!$C$23:$E$23,$B$3)/(1+INDEX(Assumptions!$C$15:$E$15,$B$3)*$H$4)</f>
        <v>26692.779661017</v>
      </c>
      <c r="I64" s="10" t="n">
        <f aca="false">I51*INDEX(Assumptions!$C$23:$E$23,$B$3)/(1+INDEX(Assumptions!$C$15:$E$15,$B$3)*$H$4)</f>
        <v>33365.9745762712</v>
      </c>
      <c r="J64" s="10" t="n">
        <f aca="false">J51*INDEX(Assumptions!$C$23:$E$23,$B$3)/(1+INDEX(Assumptions!$C$15:$E$15,$B$3)*$H$4)</f>
        <v>40039.1694915254</v>
      </c>
      <c r="K64" s="10" t="n">
        <f aca="false">K51*INDEX(Assumptions!$C$23:$E$23,$B$3)/(1+INDEX(Assumptions!$C$15:$E$15,$B$3)*$H$4)</f>
        <v>40039.1694915254</v>
      </c>
      <c r="L64" s="10" t="n">
        <f aca="false">L51*INDEX(Assumptions!$C$23:$E$23,$B$3)/(1+INDEX(Assumptions!$C$15:$E$15,$B$3)*$H$4)</f>
        <v>40039.1694915254</v>
      </c>
      <c r="M64" s="10" t="n">
        <f aca="false">M51*INDEX(Assumptions!$C$23:$E$23,$B$3)/(1+INDEX(Assumptions!$C$15:$E$15,$B$3)*$H$4)</f>
        <v>40039.1694915254</v>
      </c>
      <c r="N64" s="10" t="n">
        <f aca="false">N51*INDEX(Assumptions!$C$23:$E$23,$B$3)/(1+INDEX(Assumptions!$C$15:$E$15,$B$3)*$H$4)</f>
        <v>40039.1694915254</v>
      </c>
      <c r="O64" s="40" t="n">
        <f aca="false">SUM(C64:N64)</f>
        <v>300293.771186441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9702</v>
      </c>
      <c r="H65" s="10" t="n">
        <f aca="false">(H34+H35)*(1-H54)*INDEX(Assumptions!$C$90:$E$90,$B$3)</f>
        <v>12740</v>
      </c>
      <c r="I65" s="10" t="n">
        <f aca="false">(I34+I35)*(1-I54)*INDEX(Assumptions!$C$90:$E$90,$B$3)</f>
        <v>16258.9259259259</v>
      </c>
      <c r="J65" s="10" t="n">
        <f aca="false">(J34+J35)*(1-J54)*INDEX(Assumptions!$C$90:$E$90,$B$3)</f>
        <v>10793.5237555574</v>
      </c>
      <c r="K65" s="10" t="n">
        <f aca="false">(K34+K35)*(1-K54)*INDEX(Assumptions!$C$90:$E$90,$B$3)</f>
        <v>11769.7677193223</v>
      </c>
      <c r="L65" s="10" t="n">
        <f aca="false">(L34+L35)*(1-L54)*INDEX(Assumptions!$C$90:$E$90,$B$3)</f>
        <v>16170</v>
      </c>
      <c r="M65" s="10" t="n">
        <f aca="false">(M34+M35)*(1-M54)*INDEX(Assumptions!$C$90:$E$90,$B$3)</f>
        <v>12951.8133880515</v>
      </c>
      <c r="N65" s="10" t="n">
        <f aca="false">(N34+N35)*(1-N54)*INDEX(Assumptions!$C$90:$E$90,$B$3)</f>
        <v>12872.9658537711</v>
      </c>
      <c r="O65" s="40" t="n">
        <f aca="false">SUM(C65:N65)</f>
        <v>103258.996642628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191716.587570622</v>
      </c>
      <c r="D66" s="40" t="n">
        <f aca="false">SUM(D56:D65)</f>
        <v>315463.241525424</v>
      </c>
      <c r="E66" s="40" t="n">
        <f aca="false">SUM(E56:E65)</f>
        <v>492885.050847458</v>
      </c>
      <c r="F66" s="40" t="n">
        <f aca="false">SUM(F56:F65)</f>
        <v>698106.322033898</v>
      </c>
      <c r="G66" s="40" t="n">
        <f aca="false">SUM(G56:G65)</f>
        <v>1043599.11864407</v>
      </c>
      <c r="H66" s="40" t="n">
        <f aca="false">SUM(H56:H65)</f>
        <v>1381056.76271186</v>
      </c>
      <c r="I66" s="40" t="n">
        <f aca="false">SUM(I56:I65)</f>
        <v>1695608.42686755</v>
      </c>
      <c r="J66" s="40" t="n">
        <f aca="false">SUM(J56:J65)</f>
        <v>1332344.17816548</v>
      </c>
      <c r="K66" s="40" t="n">
        <f aca="false">SUM(K56:K65)</f>
        <v>1392221.06057899</v>
      </c>
      <c r="L66" s="40" t="n">
        <f aca="false">SUM(L56:L65)</f>
        <v>1765433.68864366</v>
      </c>
      <c r="M66" s="40" t="n">
        <f aca="false">SUM(M56:M65)</f>
        <v>1576173.46704197</v>
      </c>
      <c r="N66" s="40" t="n">
        <f aca="false">SUM(N56:N65)</f>
        <v>1593760.45866852</v>
      </c>
      <c r="O66" s="11" t="n">
        <f aca="false">SUM(C66:N66)</f>
        <v>13478368.3632995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134237.288135593</v>
      </c>
      <c r="D67" s="10" t="n">
        <f aca="false">D56+D57+D58+D59</f>
        <v>217067.79661017</v>
      </c>
      <c r="E67" s="10" t="n">
        <f aca="false">E56+E57+E58+E59</f>
        <v>285508.474576271</v>
      </c>
      <c r="F67" s="10" t="n">
        <f aca="false">F56+F57+F58+F59</f>
        <v>417661.016949153</v>
      </c>
      <c r="G67" s="10" t="n">
        <f aca="false">G56+G57+G58+G59</f>
        <v>740822.033898305</v>
      </c>
      <c r="H67" s="10" t="n">
        <f aca="false">H56+H57+H58+H59</f>
        <v>975288.13559322</v>
      </c>
      <c r="I67" s="10" t="n">
        <f aca="false">I56+I57+I58+I59</f>
        <v>1235869.58568738</v>
      </c>
      <c r="J67" s="10" t="n">
        <f aca="false">J56+J57+J58+J59</f>
        <v>829837.099325173</v>
      </c>
      <c r="K67" s="10" t="n">
        <f aca="false">K56+K57+K58+K59</f>
        <v>889316.25472407</v>
      </c>
      <c r="L67" s="10" t="n">
        <f aca="false">L56+L57+L58+L59</f>
        <v>1234759.1377962</v>
      </c>
      <c r="M67" s="10" t="n">
        <f aca="false">M56+M57+M58+M59</f>
        <v>1012650.42907765</v>
      </c>
      <c r="N67" s="10" t="n">
        <f aca="false">N56+N57+N58+N59</f>
        <v>994249.594509667</v>
      </c>
      <c r="O67" s="40" t="n">
        <f aca="false">SUM(C67:N67)</f>
        <v>8967266.84688286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8400</v>
      </c>
      <c r="D69" s="10" t="n">
        <f aca="false">((D34+D37)*INDEX(Assumptions!$C$91:$E$91,$B$3)+D35*(INDEX(Assumptions!$C$93:$E$93,$B$3)+IF($Q$3=1,INDEX(Assumptions!$C$282:$E$282,$B$3),0)))*$N$3</f>
        <v>14565</v>
      </c>
      <c r="E69" s="10" t="n">
        <f aca="false">((E34+E37)*INDEX(Assumptions!$C$91:$E$91,$B$3)+E35*(INDEX(Assumptions!$C$93:$E$93,$B$3)+IF($Q$3=1,INDEX(Assumptions!$C$282:$E$282,$B$3),0)))*$N$3</f>
        <v>19400</v>
      </c>
      <c r="F69" s="10" t="n">
        <f aca="false">((F34+F37)*INDEX(Assumptions!$C$91:$E$91,$B$3)+F35*(INDEX(Assumptions!$C$93:$E$93,$B$3)+IF($Q$3=1,INDEX(Assumptions!$C$282:$E$282,$B$3),0)))*$N$3</f>
        <v>28140</v>
      </c>
      <c r="G69" s="10" t="n">
        <f aca="false">((G34+G37)*INDEX(Assumptions!$C$91:$E$91,$B$3)+G35*(INDEX(Assumptions!$C$93:$E$93,$B$3)+IF($Q$3=1,INDEX(Assumptions!$C$282:$E$282,$B$3),0)))*$N$3</f>
        <v>38970</v>
      </c>
      <c r="H69" s="10" t="n">
        <f aca="false">((H34+H37)*INDEX(Assumptions!$C$91:$E$91,$B$3)+H35*(INDEX(Assumptions!$C$93:$E$93,$B$3)+IF($Q$3=1,INDEX(Assumptions!$C$282:$E$282,$B$3),0)))*$N$3</f>
        <v>51440</v>
      </c>
      <c r="I69" s="10" t="n">
        <f aca="false">((I34+I37)*INDEX(Assumptions!$C$91:$E$91,$B$3)+I35*(INDEX(Assumptions!$C$93:$E$93,$B$3)+IF($Q$3=1,INDEX(Assumptions!$C$282:$E$282,$B$3),0)))*$N$3</f>
        <v>64703.8888888889</v>
      </c>
      <c r="J69" s="10" t="n">
        <f aca="false">((J34+J37)*INDEX(Assumptions!$C$91:$E$91,$B$3)+J35*(INDEX(Assumptions!$C$93:$E$93,$B$3)+IF($Q$3=1,INDEX(Assumptions!$C$282:$E$282,$B$3),0)))*$N$3</f>
        <v>46660.8162505356</v>
      </c>
      <c r="K69" s="10" t="n">
        <f aca="false">((K34+K37)*INDEX(Assumptions!$C$91:$E$91,$B$3)+K35*(INDEX(Assumptions!$C$93:$E$93,$B$3)+IF($Q$3=1,INDEX(Assumptions!$C$282:$E$282,$B$3),0)))*$N$3</f>
        <v>49210.1385525962</v>
      </c>
      <c r="L69" s="10" t="n">
        <f aca="false">((L34+L37)*INDEX(Assumptions!$C$91:$E$91,$B$3)+L35*(INDEX(Assumptions!$C$93:$E$93,$B$3)+IF($Q$3=1,INDEX(Assumptions!$C$282:$E$282,$B$3),0)))*$N$3</f>
        <v>68998.4802363198</v>
      </c>
      <c r="M69" s="10" t="n">
        <f aca="false">((M34+M37)*INDEX(Assumptions!$C$91:$E$91,$B$3)+M35*(INDEX(Assumptions!$C$93:$E$93,$B$3)+IF($Q$3=1,INDEX(Assumptions!$C$282:$E$282,$B$3),0)))*$N$3</f>
        <v>57801.7152879294</v>
      </c>
      <c r="N69" s="10" t="n">
        <f aca="false">((N34+N37)*INDEX(Assumptions!$C$91:$E$91,$B$3)+N35*(INDEX(Assumptions!$C$93:$E$93,$B$3)+IF($Q$3=1,INDEX(Assumptions!$C$282:$E$282,$B$3),0)))*$N$3</f>
        <v>56137.2366092017</v>
      </c>
      <c r="O69" s="40" t="n">
        <f aca="false">SUM(C69:N69)</f>
        <v>504427.275825471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16800</v>
      </c>
      <c r="D70" s="10" t="n">
        <f aca="false">(D34+D35)*D54*INDEX(Assumptions!$C$14:$E$14,$B$3)*$N$3</f>
        <v>26250</v>
      </c>
      <c r="E70" s="10" t="n">
        <f aca="false">(E34+E35)*E54*INDEX(Assumptions!$C$14:$E$14,$B$3)*$N$3</f>
        <v>34300</v>
      </c>
      <c r="F70" s="10" t="n">
        <f aca="false">(F34+F35)*F54*INDEX(Assumptions!$C$14:$E$14,$B$3)*$N$3</f>
        <v>50400</v>
      </c>
      <c r="G70" s="10" t="n">
        <f aca="false">(G34+G35)*G54*INDEX(Assumptions!$C$14:$E$14,$B$3)*$N$3</f>
        <v>0</v>
      </c>
      <c r="H70" s="10" t="n">
        <f aca="false">(H34+H35)*H54*INDEX(Assumptions!$C$14:$E$14,$B$3)*$N$3</f>
        <v>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127750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1080</v>
      </c>
      <c r="D71" s="10" t="n">
        <f aca="false">D36*INDEX(Assumptions!$C$92:$E$92,$B$3)*$N$3</f>
        <v>1687.5</v>
      </c>
      <c r="E71" s="10" t="n">
        <f aca="false">E36*INDEX(Assumptions!$C$92:$E$92,$B$3)*$N$3</f>
        <v>2205</v>
      </c>
      <c r="F71" s="10" t="n">
        <f aca="false">F36*INDEX(Assumptions!$C$92:$E$92,$B$3)*$N$3</f>
        <v>3240</v>
      </c>
      <c r="G71" s="10" t="n">
        <f aca="false">G36*INDEX(Assumptions!$C$92:$E$92,$B$3)*$N$3</f>
        <v>4455</v>
      </c>
      <c r="H71" s="10" t="n">
        <f aca="false">H36*INDEX(Assumptions!$C$92:$E$92,$B$3)*$N$3</f>
        <v>5850</v>
      </c>
      <c r="I71" s="10" t="n">
        <f aca="false">I36*INDEX(Assumptions!$C$92:$E$92,$B$3)*$N$3</f>
        <v>7465.83333333333</v>
      </c>
      <c r="J71" s="10" t="n">
        <f aca="false">J36*INDEX(Assumptions!$C$92:$E$92,$B$3)*$N$3</f>
        <v>4956.20988775596</v>
      </c>
      <c r="K71" s="10" t="n">
        <f aca="false">K36*INDEX(Assumptions!$C$92:$E$92,$B$3)*$N$3</f>
        <v>5404.48517723982</v>
      </c>
      <c r="L71" s="10" t="n">
        <f aca="false">L36*INDEX(Assumptions!$C$92:$E$92,$B$3)*$N$3</f>
        <v>7425</v>
      </c>
      <c r="M71" s="10" t="n">
        <f aca="false">M36*INDEX(Assumptions!$C$92:$E$92,$B$3)*$N$3</f>
        <v>5947.26124961547</v>
      </c>
      <c r="N71" s="10" t="n">
        <f aca="false">N36*INDEX(Assumptions!$C$92:$E$92,$B$3)*$N$3</f>
        <v>5911.0557491806</v>
      </c>
      <c r="O71" s="40" t="n">
        <f aca="false">SUM(C71:N71)</f>
        <v>55627.3453971252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3346.66666666667</v>
      </c>
      <c r="D72" s="10" t="n">
        <f aca="false">(D46*INDEX(Assumptions!$C$94:$E$94,$B$3)+D47*INDEX(Assumptions!$C$95:$E$95,$B$3)+D48*INDEX(Assumptions!$C$96:$E$96,$B$3))*$N$3</f>
        <v>5696.66666666667</v>
      </c>
      <c r="E72" s="10" t="n">
        <f aca="false">(E46*INDEX(Assumptions!$C$94:$E$94,$B$3)+E47*INDEX(Assumptions!$C$95:$E$95,$B$3)+E48*INDEX(Assumptions!$C$96:$E$96,$B$3))*$N$3</f>
        <v>12064.4444444444</v>
      </c>
      <c r="F72" s="10" t="n">
        <f aca="false">(F46*INDEX(Assumptions!$C$94:$E$94,$B$3)+F47*INDEX(Assumptions!$C$95:$E$95,$B$3)+F48*INDEX(Assumptions!$C$96:$E$96,$B$3))*$N$3</f>
        <v>16580</v>
      </c>
      <c r="G72" s="10" t="n">
        <f aca="false">(G46*INDEX(Assumptions!$C$94:$E$94,$B$3)+G47*INDEX(Assumptions!$C$95:$E$95,$B$3)+G48*INDEX(Assumptions!$C$96:$E$96,$B$3))*$N$3</f>
        <v>17840</v>
      </c>
      <c r="H72" s="10" t="n">
        <f aca="false">(H46*INDEX(Assumptions!$C$94:$E$94,$B$3)+H47*INDEX(Assumptions!$C$95:$E$95,$B$3)+H48*INDEX(Assumptions!$C$96:$E$96,$B$3))*$N$3</f>
        <v>21124.4444444444</v>
      </c>
      <c r="I72" s="10" t="n">
        <f aca="false">(I46*INDEX(Assumptions!$C$94:$E$94,$B$3)+I47*INDEX(Assumptions!$C$95:$E$95,$B$3)+I48*INDEX(Assumptions!$C$96:$E$96,$B$3))*$N$3</f>
        <v>24786.6666666667</v>
      </c>
      <c r="J72" s="10" t="n">
        <f aca="false">(J46*INDEX(Assumptions!$C$94:$E$94,$B$3)+J47*INDEX(Assumptions!$C$95:$E$95,$B$3)+J48*INDEX(Assumptions!$C$96:$E$96,$B$3))*$N$3</f>
        <v>27810</v>
      </c>
      <c r="K72" s="10" t="n">
        <f aca="false">(K46*INDEX(Assumptions!$C$94:$E$94,$B$3)+K47*INDEX(Assumptions!$C$95:$E$95,$B$3)+K48*INDEX(Assumptions!$C$96:$E$96,$B$3))*$N$3</f>
        <v>27643.3333333333</v>
      </c>
      <c r="L72" s="10" t="n">
        <f aca="false">(L46*INDEX(Assumptions!$C$94:$E$94,$B$3)+L47*INDEX(Assumptions!$C$95:$E$95,$B$3)+L48*INDEX(Assumptions!$C$96:$E$96,$B$3))*$N$3</f>
        <v>28713.3333333333</v>
      </c>
      <c r="M72" s="10" t="n">
        <f aca="false">(M46*INDEX(Assumptions!$C$94:$E$94,$B$3)+M47*INDEX(Assumptions!$C$95:$E$95,$B$3)+M48*INDEX(Assumptions!$C$96:$E$96,$B$3))*$N$3</f>
        <v>30610</v>
      </c>
      <c r="N72" s="10" t="n">
        <f aca="false">(N46*INDEX(Assumptions!$C$94:$E$94,$B$3)+N47*INDEX(Assumptions!$C$95:$E$95,$B$3)+N48*INDEX(Assumptions!$C$96:$E$96,$B$3))*$N$3</f>
        <v>32506.6666666667</v>
      </c>
      <c r="O72" s="40" t="n">
        <f aca="false">SUM(C72:N72)</f>
        <v>248722.222222222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45000</v>
      </c>
      <c r="I73" s="10" t="n">
        <f aca="false">I49*INDEX(Assumptions!$C$84:$E$84,$B$3)</f>
        <v>45000</v>
      </c>
      <c r="J73" s="10" t="n">
        <f aca="false">J49*INDEX(Assumptions!$C$84:$E$84,$B$3)</f>
        <v>45000</v>
      </c>
      <c r="K73" s="10" t="n">
        <f aca="false">K49*INDEX(Assumptions!$C$84:$E$84,$B$3)</f>
        <v>45000</v>
      </c>
      <c r="L73" s="10" t="n">
        <f aca="false">L49*INDEX(Assumptions!$C$84:$E$84,$B$3)</f>
        <v>45000</v>
      </c>
      <c r="M73" s="10" t="n">
        <f aca="false">M49*INDEX(Assumptions!$C$84:$E$84,$B$3)</f>
        <v>45000</v>
      </c>
      <c r="N73" s="10" t="n">
        <f aca="false">N49*INDEX(Assumptions!$C$84:$E$84,$B$3)</f>
        <v>45000</v>
      </c>
      <c r="O73" s="40" t="n">
        <f aca="false">SUM(C73:N73)</f>
        <v>315000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945</v>
      </c>
      <c r="F74" s="10" t="n">
        <f aca="false">F51*INDEX(Assumptions!$C$97:$E$97,$B$3)</f>
        <v>1890</v>
      </c>
      <c r="G74" s="10" t="n">
        <f aca="false">G51*INDEX(Assumptions!$C$97:$E$97,$B$3)</f>
        <v>2835</v>
      </c>
      <c r="H74" s="10" t="n">
        <f aca="false">H51*INDEX(Assumptions!$C$97:$E$97,$B$3)</f>
        <v>3780</v>
      </c>
      <c r="I74" s="10" t="n">
        <f aca="false">I51*INDEX(Assumptions!$C$97:$E$97,$B$3)</f>
        <v>4725</v>
      </c>
      <c r="J74" s="10" t="n">
        <f aca="false">J51*INDEX(Assumptions!$C$97:$E$97,$B$3)</f>
        <v>5670</v>
      </c>
      <c r="K74" s="10" t="n">
        <f aca="false">K51*INDEX(Assumptions!$C$97:$E$97,$B$3)</f>
        <v>5670</v>
      </c>
      <c r="L74" s="10" t="n">
        <f aca="false">L51*INDEX(Assumptions!$C$97:$E$97,$B$3)</f>
        <v>5670</v>
      </c>
      <c r="M74" s="10" t="n">
        <f aca="false">M51*INDEX(Assumptions!$C$97:$E$97,$B$3)</f>
        <v>5670</v>
      </c>
      <c r="N74" s="10" t="n">
        <f aca="false">N51*INDEX(Assumptions!$C$97:$E$97,$B$3)</f>
        <v>5670</v>
      </c>
      <c r="O74" s="40" t="n">
        <f aca="false">SUM(C74:N74)</f>
        <v>42525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4828.06032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7933.52925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12093.37848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17201.61828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26609.16528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35185.68564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43420.8296533333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33282.1192276609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34894.3270782409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44903.4062423884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39576.9824529105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39826.7692363954</v>
      </c>
      <c r="O75" s="40" t="n">
        <f aca="false">SUM(C75:N75)</f>
        <v>339755.871140929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960</v>
      </c>
      <c r="D76" s="10" t="n">
        <f aca="false">D38*INDEX(Assumptions!$C$240:$E$240,$B$3)*INDEX(Assumptions!$C$69:$E$69,$B$3)</f>
        <v>1500</v>
      </c>
      <c r="E76" s="10" t="n">
        <f aca="false">E38*INDEX(Assumptions!$C$240:$E$240,$B$3)*INDEX(Assumptions!$C$69:$E$69,$B$3)</f>
        <v>1960</v>
      </c>
      <c r="F76" s="10" t="n">
        <f aca="false">F38*INDEX(Assumptions!$C$240:$E$240,$B$3)*INDEX(Assumptions!$C$69:$E$69,$B$3)</f>
        <v>2880</v>
      </c>
      <c r="G76" s="10" t="n">
        <f aca="false">G38*INDEX(Assumptions!$C$240:$E$240,$B$3)*INDEX(Assumptions!$C$69:$E$69,$B$3)</f>
        <v>3960</v>
      </c>
      <c r="H76" s="10" t="n">
        <f aca="false">H38*INDEX(Assumptions!$C$240:$E$240,$B$3)*INDEX(Assumptions!$C$69:$E$69,$B$3)</f>
        <v>5200</v>
      </c>
      <c r="I76" s="10" t="n">
        <f aca="false">I38*INDEX(Assumptions!$C$240:$E$240,$B$3)*INDEX(Assumptions!$C$69:$E$69,$B$3)</f>
        <v>6636.2962962963</v>
      </c>
      <c r="J76" s="10" t="n">
        <f aca="false">J38*INDEX(Assumptions!$C$240:$E$240,$B$3)*INDEX(Assumptions!$C$69:$E$69,$B$3)</f>
        <v>4405.51990022752</v>
      </c>
      <c r="K76" s="10" t="n">
        <f aca="false">K38*INDEX(Assumptions!$C$240:$E$240,$B$3)*INDEX(Assumptions!$C$69:$E$69,$B$3)</f>
        <v>4803.98682421317</v>
      </c>
      <c r="L76" s="10" t="n">
        <f aca="false">L38*INDEX(Assumptions!$C$240:$E$240,$B$3)*INDEX(Assumptions!$C$69:$E$69,$B$3)</f>
        <v>6600</v>
      </c>
      <c r="M76" s="10" t="n">
        <f aca="false">M38*INDEX(Assumptions!$C$240:$E$240,$B$3)*INDEX(Assumptions!$C$69:$E$69,$B$3)</f>
        <v>5286.45444410264</v>
      </c>
      <c r="N76" s="10" t="n">
        <f aca="false">N38*INDEX(Assumptions!$C$240:$E$240,$B$3)*INDEX(Assumptions!$C$69:$E$69,$B$3)</f>
        <v>5254.27177704942</v>
      </c>
      <c r="O76" s="40" t="n">
        <f aca="false">SUM(C76:N76)</f>
        <v>49446.529241889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35414.7269866667</v>
      </c>
      <c r="D77" s="40" t="n">
        <f aca="false">SUM(D69:D76)</f>
        <v>57632.6959166667</v>
      </c>
      <c r="E77" s="40" t="n">
        <f aca="false">SUM(E69:E76)</f>
        <v>82967.8229244444</v>
      </c>
      <c r="F77" s="40" t="n">
        <f aca="false">SUM(F69:F76)</f>
        <v>120331.61828</v>
      </c>
      <c r="G77" s="40" t="n">
        <f aca="false">SUM(G69:G76)</f>
        <v>94669.16528</v>
      </c>
      <c r="H77" s="40" t="n">
        <f aca="false">SUM(H69:H76)</f>
        <v>167580.130084444</v>
      </c>
      <c r="I77" s="40" t="n">
        <f aca="false">SUM(I69:I76)</f>
        <v>196738.514838519</v>
      </c>
      <c r="J77" s="40" t="n">
        <f aca="false">SUM(J69:J76)</f>
        <v>167784.66526618</v>
      </c>
      <c r="K77" s="40" t="n">
        <f aca="false">SUM(K69:K76)</f>
        <v>172626.270965623</v>
      </c>
      <c r="L77" s="40" t="n">
        <f aca="false">SUM(L69:L76)</f>
        <v>207310.219812042</v>
      </c>
      <c r="M77" s="40" t="n">
        <f aca="false">SUM(M69:M76)</f>
        <v>189892.413434558</v>
      </c>
      <c r="N77" s="40" t="n">
        <f aca="false">SUM(N69:N76)</f>
        <v>190306.000038494</v>
      </c>
      <c r="O77" s="11" t="n">
        <f aca="false">SUM(C77:N77)</f>
        <v>1683254.24382764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156301.860583955</v>
      </c>
      <c r="D78" s="40" t="n">
        <f aca="false">D66-D77</f>
        <v>257830.545608757</v>
      </c>
      <c r="E78" s="40" t="n">
        <f aca="false">E66-E77</f>
        <v>409917.227923013</v>
      </c>
      <c r="F78" s="40" t="n">
        <f aca="false">F66-F77</f>
        <v>577774.703753898</v>
      </c>
      <c r="G78" s="40" t="n">
        <f aca="false">G66-G77</f>
        <v>948929.953364068</v>
      </c>
      <c r="H78" s="40" t="n">
        <f aca="false">H66-H77</f>
        <v>1213476.63262742</v>
      </c>
      <c r="I78" s="40" t="n">
        <f aca="false">I66-I77</f>
        <v>1498869.91202903</v>
      </c>
      <c r="J78" s="40" t="n">
        <f aca="false">J66-J77</f>
        <v>1164559.5128993</v>
      </c>
      <c r="K78" s="40" t="n">
        <f aca="false">K66-K77</f>
        <v>1219594.78961336</v>
      </c>
      <c r="L78" s="40" t="n">
        <f aca="false">L66-L77</f>
        <v>1558123.46883162</v>
      </c>
      <c r="M78" s="40" t="n">
        <f aca="false">M66-M77</f>
        <v>1386281.05360742</v>
      </c>
      <c r="N78" s="40" t="n">
        <f aca="false">N66-N77</f>
        <v>1403454.45863003</v>
      </c>
      <c r="O78" s="11" t="n">
        <f aca="false">SUM(C78:N78)</f>
        <v>11795114.1194719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0.815275624110401</v>
      </c>
      <c r="D79" s="8" t="n">
        <f aca="false">IFERROR(D78/D66,0)</f>
        <v>0.817307729299986</v>
      </c>
      <c r="E79" s="8" t="n">
        <f aca="false">IFERROR(E78/E66,0)</f>
        <v>0.831669021444673</v>
      </c>
      <c r="F79" s="8" t="n">
        <f aca="false">IFERROR(F78/F66,0)</f>
        <v>0.827631387251415</v>
      </c>
      <c r="G79" s="8" t="n">
        <f aca="false">IFERROR(G78/G66,0)</f>
        <v>0.909285889966061</v>
      </c>
      <c r="H79" s="8" t="n">
        <f aca="false">IFERROR(H78/H66,0)</f>
        <v>0.878658043167334</v>
      </c>
      <c r="I79" s="8" t="n">
        <f aca="false">IFERROR(I78/I66,0)</f>
        <v>0.883971728542319</v>
      </c>
      <c r="J79" s="8" t="n">
        <f aca="false">IFERROR(J78/J66,0)</f>
        <v>0.874068076390588</v>
      </c>
      <c r="K79" s="8" t="n">
        <f aca="false">IFERROR(K78/K66,0)</f>
        <v>0.876006565441674</v>
      </c>
      <c r="L79" s="8" t="n">
        <f aca="false">IFERROR(L78/L66,0)</f>
        <v>0.88257263858417</v>
      </c>
      <c r="M79" s="8" t="n">
        <f aca="false">IFERROR(M78/M66,0)</f>
        <v>0.879523150588919</v>
      </c>
      <c r="N79" s="8" t="n">
        <f aca="false">IFERROR(N78/N66,0)</f>
        <v>0.880593097285472</v>
      </c>
      <c r="O79" s="13" t="n">
        <f aca="false">IFERROR(O78/O66,0)</f>
        <v>0.875114390818179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2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3</v>
      </c>
      <c r="I81" s="10" t="n">
        <f aca="false">ROUNDUP(I42/(INDEX(Assumptions!$C$102:$E$102,$B$3)*$J$3),0)</f>
        <v>4</v>
      </c>
      <c r="J81" s="10" t="n">
        <f aca="false">ROUNDUP(J42/(INDEX(Assumptions!$C$102:$E$102,$B$3)*$J$3),0)</f>
        <v>4</v>
      </c>
      <c r="K81" s="10" t="n">
        <f aca="false">ROUNDUP(K42/(INDEX(Assumptions!$C$102:$E$102,$B$3)*$J$3),0)</f>
        <v>4</v>
      </c>
      <c r="L81" s="10" t="n">
        <f aca="false">ROUNDUP(L42/(INDEX(Assumptions!$C$102:$E$102,$B$3)*$J$3),0)</f>
        <v>4</v>
      </c>
      <c r="M81" s="10" t="n">
        <f aca="false">ROUNDUP(M42/(INDEX(Assumptions!$C$102:$E$102,$B$3)*$J$3),0)</f>
        <v>4</v>
      </c>
      <c r="N81" s="10" t="n">
        <f aca="false">ROUNDUP(N42/(INDEX(Assumptions!$C$102:$E$102,$B$3)*$J$3),0)</f>
        <v>4</v>
      </c>
      <c r="O81" s="40" t="n">
        <f aca="false">MAX(C81:N81)</f>
        <v>4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0.0916666666666667</v>
      </c>
      <c r="D82" s="6" t="n">
        <f aca="false">D81*(1-D12)</f>
        <v>0.183333333333333</v>
      </c>
      <c r="E82" s="6" t="n">
        <f aca="false">E81*(1-E12)</f>
        <v>0.275</v>
      </c>
      <c r="F82" s="6" t="n">
        <f aca="false">F81*(1-F12)</f>
        <v>0.733333333333333</v>
      </c>
      <c r="G82" s="6" t="n">
        <f aca="false">G81*(1-G12)</f>
        <v>0.916666666666667</v>
      </c>
      <c r="H82" s="6" t="n">
        <f aca="false">H81*(1-H12)</f>
        <v>1.65</v>
      </c>
      <c r="I82" s="6" t="n">
        <f aca="false">I81*(1-I12)</f>
        <v>2.33333333333333</v>
      </c>
      <c r="J82" s="6" t="n">
        <f aca="false">J81*(1-J12)</f>
        <v>2.46666666666667</v>
      </c>
      <c r="K82" s="6" t="n">
        <f aca="false">K81*(1-K12)</f>
        <v>2.6</v>
      </c>
      <c r="L82" s="6" t="n">
        <f aca="false">L81*(1-L12)</f>
        <v>2.73333333333333</v>
      </c>
      <c r="M82" s="6" t="n">
        <f aca="false">M81*(1-M12)</f>
        <v>2.86666666666667</v>
      </c>
      <c r="N82" s="6" t="n">
        <f aca="false">N81*(1-N12)</f>
        <v>3</v>
      </c>
      <c r="O82" s="41" t="n">
        <f aca="false">MAX(C82:N82)</f>
        <v>3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1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1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1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1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2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71000</v>
      </c>
      <c r="D86" s="10" t="n">
        <f aca="false">D83*INDEX(Assumptions!$C$98:$E$98,$B$3)*$W$4+D84*INDEX(Assumptions!$C$99:$E$99,$B$3)+D85*INDEX(Assumptions!$C$100:$E$100,$B$3)</f>
        <v>71000</v>
      </c>
      <c r="E86" s="10" t="n">
        <f aca="false">E83*INDEX(Assumptions!$C$98:$E$98,$B$3)*$W$4+E84*INDEX(Assumptions!$C$99:$E$99,$B$3)+E85*INDEX(Assumptions!$C$100:$E$100,$B$3)</f>
        <v>71000</v>
      </c>
      <c r="F86" s="10" t="n">
        <f aca="false">F83*INDEX(Assumptions!$C$98:$E$98,$B$3)*$W$4+F84*INDEX(Assumptions!$C$99:$E$99,$B$3)+F85*INDEX(Assumptions!$C$100:$E$100,$B$3)</f>
        <v>71000</v>
      </c>
      <c r="G86" s="10" t="n">
        <f aca="false">G83*INDEX(Assumptions!$C$98:$E$98,$B$3)*$W$4+G84*INDEX(Assumptions!$C$99:$E$99,$B$3)+G85*INDEX(Assumptions!$C$100:$E$100,$B$3)</f>
        <v>71000</v>
      </c>
      <c r="H86" s="10" t="n">
        <f aca="false">H83*INDEX(Assumptions!$C$98:$E$98,$B$3)*$W$4+H84*INDEX(Assumptions!$C$99:$E$99,$B$3)+H85*INDEX(Assumptions!$C$100:$E$100,$B$3)</f>
        <v>87000</v>
      </c>
      <c r="I86" s="10" t="n">
        <f aca="false">I83*INDEX(Assumptions!$C$98:$E$98,$B$3)*$W$4+I84*INDEX(Assumptions!$C$99:$E$99,$B$3)+I85*INDEX(Assumptions!$C$100:$E$100,$B$3)</f>
        <v>119000</v>
      </c>
      <c r="J86" s="10" t="n">
        <f aca="false">J83*INDEX(Assumptions!$C$98:$E$98,$B$3)*$W$4+J84*INDEX(Assumptions!$C$99:$E$99,$B$3)+J85*INDEX(Assumptions!$C$100:$E$100,$B$3)</f>
        <v>119000</v>
      </c>
      <c r="K86" s="10" t="n">
        <f aca="false">K83*INDEX(Assumptions!$C$98:$E$98,$B$3)*$W$4+K84*INDEX(Assumptions!$C$99:$E$99,$B$3)+K85*INDEX(Assumptions!$C$100:$E$100,$B$3)</f>
        <v>119000</v>
      </c>
      <c r="L86" s="10" t="n">
        <f aca="false">L83*INDEX(Assumptions!$C$98:$E$98,$B$3)*$W$4+L84*INDEX(Assumptions!$C$99:$E$99,$B$3)+L85*INDEX(Assumptions!$C$100:$E$100,$B$3)</f>
        <v>119000</v>
      </c>
      <c r="M86" s="10" t="n">
        <f aca="false">M83*INDEX(Assumptions!$C$98:$E$98,$B$3)*$W$4+M84*INDEX(Assumptions!$C$99:$E$99,$B$3)+M85*INDEX(Assumptions!$C$100:$E$100,$B$3)</f>
        <v>119000</v>
      </c>
      <c r="N86" s="10" t="n">
        <f aca="false">N83*INDEX(Assumptions!$C$98:$E$98,$B$3)*$W$4+N84*INDEX(Assumptions!$C$99:$E$99,$B$3)+N85*INDEX(Assumptions!$C$100:$E$100,$B$3)</f>
        <v>119000</v>
      </c>
      <c r="O86" s="40" t="n">
        <f aca="false">SUM(C86:N86)</f>
        <v>1156000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50000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50000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50000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50000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50000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50000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50000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50000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50000</v>
      </c>
      <c r="O87" s="40" t="n">
        <f aca="false">SUM(C87:N87)</f>
        <v>525000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25000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135000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160000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160000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160000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160000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160000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160000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160000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160000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160000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160000</v>
      </c>
      <c r="O88" s="40" t="n">
        <f aca="false">SUM(C88:N88)</f>
        <v>1760000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18000</v>
      </c>
      <c r="G89" s="10" t="n">
        <f aca="false">IF(AND(5&gt;=IF($Q$3=1,$Q$4+1,INDEX(Assumptions!$C$215:$E$215,$D$3)),5&lt;$U$4),INDEX(Assumptions!$C$227:$E$227,G$9),0)</f>
        <v>18000</v>
      </c>
      <c r="H89" s="10" t="n">
        <f aca="false">IF(AND(6&gt;=IF($Q$3=1,$Q$4+1,INDEX(Assumptions!$C$215:$E$215,$D$3)),6&lt;$U$4),INDEX(Assumptions!$C$227:$E$227,H$9),0)</f>
        <v>18000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162000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65000</v>
      </c>
      <c r="M90" s="10" t="n">
        <f aca="false">IF(11&gt;=INDEX(Assumptions!$C$229:$E$229,M$9),INDEX(Assumptions!$C$228:$E$228,$B$3),0)</f>
        <v>65000</v>
      </c>
      <c r="N90" s="10" t="n">
        <f aca="false">IF(12&gt;=INDEX(Assumptions!$C$229:$E$229,N$9),INDEX(Assumptions!$C$228:$E$228,$B$3),0)</f>
        <v>65000</v>
      </c>
      <c r="O90" s="40" t="n">
        <f aca="false">SUM(C90:N90)</f>
        <v>195000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121000</v>
      </c>
      <c r="D92" s="40" t="n">
        <f aca="false">SUM(D86:D91)</f>
        <v>231000</v>
      </c>
      <c r="E92" s="40" t="n">
        <f aca="false">SUM(E86:E91)</f>
        <v>256000</v>
      </c>
      <c r="F92" s="40" t="n">
        <f aca="false">SUM(F86:F91)</f>
        <v>299000</v>
      </c>
      <c r="G92" s="40" t="n">
        <f aca="false">SUM(G86:G91)</f>
        <v>299000</v>
      </c>
      <c r="H92" s="40" t="n">
        <f aca="false">SUM(H86:H91)</f>
        <v>315000</v>
      </c>
      <c r="I92" s="40" t="n">
        <f aca="false">SUM(I86:I91)</f>
        <v>347000</v>
      </c>
      <c r="J92" s="40" t="n">
        <f aca="false">SUM(J86:J91)</f>
        <v>347000</v>
      </c>
      <c r="K92" s="40" t="n">
        <f aca="false">SUM(K86:K91)</f>
        <v>347000</v>
      </c>
      <c r="L92" s="40" t="n">
        <f aca="false">SUM(L86:L91)</f>
        <v>412000</v>
      </c>
      <c r="M92" s="40" t="n">
        <f aca="false">SUM(M86:M91)</f>
        <v>412000</v>
      </c>
      <c r="N92" s="40" t="n">
        <f aca="false">SUM(N86:N91)</f>
        <v>412000</v>
      </c>
      <c r="O92" s="11" t="n">
        <f aca="false">SUM(C92:N92)</f>
        <v>3798000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128000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128000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128000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128000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128000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128000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128000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128000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128000</v>
      </c>
      <c r="O94" s="40" t="n">
        <f aca="false">SUM(C94:N94)</f>
        <v>1257000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19200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19200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19200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19200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19200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19200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19200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19200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19200</v>
      </c>
      <c r="O95" s="40" t="n">
        <f aca="false">SUM(C95:N95)</f>
        <v>202800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30000</v>
      </c>
      <c r="D96" s="10" t="n">
        <f aca="false">INDEX(Assumptions!$C$107:$E$107,D$9)+IF(2&gt;=IF($Q$3=1,MAX(INDEX(Assumptions!$C$231:$E$231,D$9),$Q$4+1),INDEX(Assumptions!$C$231:$E$231,D$9))-1,INDEX(Assumptions!$C$230:$E$230,D$9),0)</f>
        <v>30000</v>
      </c>
      <c r="E96" s="10" t="n">
        <f aca="false">INDEX(Assumptions!$C$107:$E$107,E$9)+IF(3&gt;=IF($Q$3=1,MAX(INDEX(Assumptions!$C$231:$E$231,E$9),$Q$4+1),INDEX(Assumptions!$C$231:$E$231,E$9))-1,INDEX(Assumptions!$C$230:$E$230,E$9),0)</f>
        <v>30000</v>
      </c>
      <c r="F96" s="10" t="n">
        <f aca="false">INDEX(Assumptions!$C$107:$E$107,F$9)+IF(4&gt;=IF($Q$3=1,MAX(INDEX(Assumptions!$C$231:$E$231,F$9),$Q$4+1),INDEX(Assumptions!$C$231:$E$231,F$9))-1,INDEX(Assumptions!$C$230:$E$230,F$9),0)</f>
        <v>30000</v>
      </c>
      <c r="G96" s="10" t="n">
        <f aca="false">INDEX(Assumptions!$C$107:$E$107,G$9)+IF(5&gt;=IF($Q$3=1,MAX(INDEX(Assumptions!$C$231:$E$231,G$9),$Q$4+1),INDEX(Assumptions!$C$231:$E$231,G$9))-1,INDEX(Assumptions!$C$230:$E$230,G$9),0)</f>
        <v>30000</v>
      </c>
      <c r="H96" s="10" t="n">
        <f aca="false">INDEX(Assumptions!$C$107:$E$107,H$9)+IF(6&gt;=IF($Q$3=1,MAX(INDEX(Assumptions!$C$231:$E$231,H$9),$Q$4+1),INDEX(Assumptions!$C$231:$E$231,H$9))-1,INDEX(Assumptions!$C$230:$E$230,H$9),0)</f>
        <v>30000</v>
      </c>
      <c r="I96" s="10" t="n">
        <f aca="false">INDEX(Assumptions!$C$107:$E$107,I$9)+IF(7&gt;=IF($Q$3=1,MAX(INDEX(Assumptions!$C$231:$E$231,I$9),$Q$4+1),INDEX(Assumptions!$C$231:$E$231,I$9))-1,INDEX(Assumptions!$C$230:$E$230,I$9),0)</f>
        <v>38000</v>
      </c>
      <c r="J96" s="10" t="n">
        <f aca="false">INDEX(Assumptions!$C$107:$E$107,J$9)+IF(8&gt;=IF($Q$3=1,MAX(INDEX(Assumptions!$C$231:$E$231,J$9),$Q$4+1),INDEX(Assumptions!$C$231:$E$231,J$9))-1,INDEX(Assumptions!$C$230:$E$230,J$9),0)</f>
        <v>38000</v>
      </c>
      <c r="K96" s="10" t="n">
        <f aca="false">INDEX(Assumptions!$C$107:$E$107,K$9)+IF(9&gt;=IF($Q$3=1,MAX(INDEX(Assumptions!$C$231:$E$231,K$9),$Q$4+1),INDEX(Assumptions!$C$231:$E$231,K$9))-1,INDEX(Assumptions!$C$230:$E$230,K$9),0)</f>
        <v>38000</v>
      </c>
      <c r="L96" s="10" t="n">
        <f aca="false">INDEX(Assumptions!$C$107:$E$107,L$9)+IF(10&gt;=IF($Q$3=1,MAX(INDEX(Assumptions!$C$231:$E$231,L$9),$Q$4+1),INDEX(Assumptions!$C$231:$E$231,L$9))-1,INDEX(Assumptions!$C$230:$E$230,L$9),0)</f>
        <v>38000</v>
      </c>
      <c r="M96" s="10" t="n">
        <f aca="false">INDEX(Assumptions!$C$107:$E$107,M$9)+IF(11&gt;=IF($Q$3=1,MAX(INDEX(Assumptions!$C$231:$E$231,M$9),$Q$4+1),INDEX(Assumptions!$C$231:$E$231,M$9))-1,INDEX(Assumptions!$C$230:$E$230,M$9),0)</f>
        <v>38000</v>
      </c>
      <c r="N96" s="10" t="n">
        <f aca="false">INDEX(Assumptions!$C$107:$E$107,N$9)+IF(12&gt;=IF($Q$3=1,MAX(INDEX(Assumptions!$C$231:$E$231,N$9),$Q$4+1),INDEX(Assumptions!$C$231:$E$231,N$9))-1,INDEX(Assumptions!$C$230:$E$230,N$9),0)</f>
        <v>38000</v>
      </c>
      <c r="O96" s="40" t="n">
        <f aca="false">SUM(C96:N96)</f>
        <v>408000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50000</v>
      </c>
      <c r="F97" s="10" t="n">
        <f aca="false">F18</f>
        <v>60000</v>
      </c>
      <c r="G97" s="10" t="n">
        <f aca="false">G18</f>
        <v>60000</v>
      </c>
      <c r="H97" s="10" t="n">
        <f aca="false">H18</f>
        <v>120000</v>
      </c>
      <c r="I97" s="10" t="n">
        <f aca="false">I18</f>
        <v>170000</v>
      </c>
      <c r="J97" s="10" t="n">
        <f aca="false">J18</f>
        <v>200000</v>
      </c>
      <c r="K97" s="10" t="n">
        <f aca="false">K18</f>
        <v>200000</v>
      </c>
      <c r="L97" s="10" t="n">
        <f aca="false">L18</f>
        <v>200000</v>
      </c>
      <c r="M97" s="10" t="n">
        <f aca="false">M18</f>
        <v>200000</v>
      </c>
      <c r="N97" s="10" t="n">
        <f aca="false">N18</f>
        <v>200000</v>
      </c>
      <c r="O97" s="40" t="n">
        <f aca="false">SUM(C97:N97)</f>
        <v>1490000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19167</v>
      </c>
      <c r="D98" s="10" t="n">
        <f aca="false">INDEX(Assumptions!$C$212:$E$212,D$9)</f>
        <v>19167</v>
      </c>
      <c r="E98" s="10" t="n">
        <f aca="false">INDEX(Assumptions!$C$212:$E$212,E$9)</f>
        <v>19167</v>
      </c>
      <c r="F98" s="10" t="n">
        <f aca="false">INDEX(Assumptions!$C$212:$E$212,F$9)</f>
        <v>19167</v>
      </c>
      <c r="G98" s="10" t="n">
        <f aca="false">INDEX(Assumptions!$C$212:$E$212,G$9)</f>
        <v>19167</v>
      </c>
      <c r="H98" s="10" t="n">
        <f aca="false">INDEX(Assumptions!$C$212:$E$212,H$9)</f>
        <v>19167</v>
      </c>
      <c r="I98" s="10" t="n">
        <f aca="false">INDEX(Assumptions!$C$212:$E$212,I$9)</f>
        <v>19167</v>
      </c>
      <c r="J98" s="10" t="n">
        <f aca="false">INDEX(Assumptions!$C$212:$E$212,J$9)</f>
        <v>19167</v>
      </c>
      <c r="K98" s="10" t="n">
        <f aca="false">INDEX(Assumptions!$C$212:$E$212,K$9)</f>
        <v>19167</v>
      </c>
      <c r="L98" s="10" t="n">
        <f aca="false">INDEX(Assumptions!$C$212:$E$212,L$9)</f>
        <v>19167</v>
      </c>
      <c r="M98" s="10" t="n">
        <f aca="false">INDEX(Assumptions!$C$212:$E$212,M$9)</f>
        <v>19167</v>
      </c>
      <c r="N98" s="10" t="n">
        <f aca="false">INDEX(Assumptions!$C$212:$E$212,N$9)</f>
        <v>19167</v>
      </c>
      <c r="O98" s="40" t="n">
        <f aca="false">SUM(C98:N98)</f>
        <v>230004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20000</v>
      </c>
      <c r="D99" s="10" t="n">
        <f aca="false">INDEX(Assumptions!$C$237:$E$237,D$9)</f>
        <v>20000</v>
      </c>
      <c r="E99" s="10" t="n">
        <f aca="false">INDEX(Assumptions!$C$237:$E$237,E$9)</f>
        <v>20000</v>
      </c>
      <c r="F99" s="10" t="n">
        <f aca="false">INDEX(Assumptions!$C$237:$E$237,F$9)</f>
        <v>20000</v>
      </c>
      <c r="G99" s="10" t="n">
        <f aca="false">INDEX(Assumptions!$C$237:$E$237,G$9)</f>
        <v>20000</v>
      </c>
      <c r="H99" s="10" t="n">
        <f aca="false">INDEX(Assumptions!$C$237:$E$237,H$9)</f>
        <v>20000</v>
      </c>
      <c r="I99" s="10" t="n">
        <f aca="false">INDEX(Assumptions!$C$237:$E$237,I$9)</f>
        <v>20000</v>
      </c>
      <c r="J99" s="10" t="n">
        <f aca="false">INDEX(Assumptions!$C$237:$E$237,J$9)</f>
        <v>20000</v>
      </c>
      <c r="K99" s="10" t="n">
        <f aca="false">INDEX(Assumptions!$C$237:$E$237,K$9)</f>
        <v>20000</v>
      </c>
      <c r="L99" s="10" t="n">
        <f aca="false">INDEX(Assumptions!$C$237:$E$237,L$9)</f>
        <v>20000</v>
      </c>
      <c r="M99" s="10" t="n">
        <f aca="false">INDEX(Assumptions!$C$237:$E$237,M$9)</f>
        <v>20000</v>
      </c>
      <c r="N99" s="10" t="n">
        <f aca="false">INDEX(Assumptions!$C$237:$E$237,N$9)</f>
        <v>20000</v>
      </c>
      <c r="O99" s="40" t="n">
        <f aca="false">SUM(C99:N99)</f>
        <v>240000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250000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200000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450000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500167</v>
      </c>
      <c r="D102" s="40" t="n">
        <f aca="false">D92+SUM(D94:D101)</f>
        <v>360167</v>
      </c>
      <c r="E102" s="40" t="n">
        <f aca="false">E92+SUM(E94:E101)</f>
        <v>620167</v>
      </c>
      <c r="F102" s="40" t="n">
        <f aca="false">F92+SUM(F94:F101)</f>
        <v>575367</v>
      </c>
      <c r="G102" s="40" t="n">
        <f aca="false">G92+SUM(G94:G101)</f>
        <v>575367</v>
      </c>
      <c r="H102" s="40" t="n">
        <f aca="false">H92+SUM(H94:H101)</f>
        <v>651367</v>
      </c>
      <c r="I102" s="40" t="n">
        <f aca="false">I92+SUM(I94:I101)</f>
        <v>741367</v>
      </c>
      <c r="J102" s="40" t="n">
        <f aca="false">J92+SUM(J94:J101)</f>
        <v>771367</v>
      </c>
      <c r="K102" s="40" t="n">
        <f aca="false">K92+SUM(K94:K101)</f>
        <v>771367</v>
      </c>
      <c r="L102" s="40" t="n">
        <f aca="false">L92+SUM(L94:L101)</f>
        <v>836367</v>
      </c>
      <c r="M102" s="40" t="n">
        <f aca="false">M92+SUM(M94:M101)</f>
        <v>836367</v>
      </c>
      <c r="N102" s="40" t="n">
        <f aca="false">N92+SUM(N94:N101)</f>
        <v>836367</v>
      </c>
      <c r="O102" s="11" t="n">
        <f aca="false">SUM(C102:N102)</f>
        <v>8075804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-343865.139416045</v>
      </c>
      <c r="D103" s="40" t="n">
        <f aca="false">D78-D102</f>
        <v>-102336.454391243</v>
      </c>
      <c r="E103" s="40" t="n">
        <f aca="false">E78-E102</f>
        <v>-210249.772076987</v>
      </c>
      <c r="F103" s="40" t="n">
        <f aca="false">F78-F102</f>
        <v>2407.70375389839</v>
      </c>
      <c r="G103" s="40" t="n">
        <f aca="false">G78-G102</f>
        <v>373562.953364068</v>
      </c>
      <c r="H103" s="40" t="n">
        <f aca="false">H78-H102</f>
        <v>562109.63262742</v>
      </c>
      <c r="I103" s="40" t="n">
        <f aca="false">I78-I102</f>
        <v>757502.912029027</v>
      </c>
      <c r="J103" s="40" t="n">
        <f aca="false">J78-J102</f>
        <v>393192.512899296</v>
      </c>
      <c r="K103" s="40" t="n">
        <f aca="false">K78-K102</f>
        <v>448227.789613363</v>
      </c>
      <c r="L103" s="40" t="n">
        <f aca="false">L78-L102</f>
        <v>721756.468831617</v>
      </c>
      <c r="M103" s="40" t="n">
        <f aca="false">M78-M102</f>
        <v>549914.053607416</v>
      </c>
      <c r="N103" s="40" t="n">
        <f aca="false">N78-N102</f>
        <v>567087.458630029</v>
      </c>
      <c r="O103" s="11" t="n">
        <f aca="false">SUM(C103:N103)</f>
        <v>3719310.11947186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-1.79361182969824</v>
      </c>
      <c r="D104" s="8" t="n">
        <f aca="false">IFERROR(D103/D66,0)</f>
        <v>-0.32440056691358</v>
      </c>
      <c r="E104" s="8" t="n">
        <f aca="false">IFERROR(E103/E66,0)</f>
        <v>-0.426569585982547</v>
      </c>
      <c r="F104" s="8" t="n">
        <f aca="false">IFERROR(F103/F66,0)</f>
        <v>0.0034489069614549</v>
      </c>
      <c r="G104" s="8" t="n">
        <f aca="false">IFERROR(G103/G66,0)</f>
        <v>0.357956371072287</v>
      </c>
      <c r="H104" s="8" t="n">
        <f aca="false">IFERROR(H103/H66,0)</f>
        <v>0.407014141492384</v>
      </c>
      <c r="I104" s="8" t="n">
        <f aca="false">IFERROR(I103/I66,0)</f>
        <v>0.446744012371083</v>
      </c>
      <c r="J104" s="8" t="n">
        <f aca="false">IFERROR(J103/J66,0)</f>
        <v>0.295113319323156</v>
      </c>
      <c r="K104" s="8" t="n">
        <f aca="false">IFERROR(K103/K66,0)</f>
        <v>0.321951593970973</v>
      </c>
      <c r="L104" s="8" t="n">
        <f aca="false">IFERROR(L103/L66,0)</f>
        <v>0.408826722563636</v>
      </c>
      <c r="M104" s="8" t="n">
        <f aca="false">IFERROR(M103/M66,0)</f>
        <v>0.348891835261919</v>
      </c>
      <c r="N104" s="8" t="n">
        <f aca="false">IFERROR(N103/N66,0)</f>
        <v>0.355817246905342</v>
      </c>
      <c r="O104" s="8" t="n">
        <f aca="false">IFERROR(O103/O66,0)</f>
        <v>0.275946614547146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-418865.139416045</v>
      </c>
      <c r="D105" s="10" t="n">
        <f aca="false">D103-INDEX(Assumptions!$C$204:$E$204,$B$3)</f>
        <v>-177336.454391243</v>
      </c>
      <c r="E105" s="10" t="n">
        <f aca="false">E103-INDEX(Assumptions!$C$204:$E$204,$B$3)</f>
        <v>-285249.772076987</v>
      </c>
      <c r="F105" s="10" t="n">
        <f aca="false">F103-INDEX(Assumptions!$C$204:$E$204,$B$3)</f>
        <v>-72592.2962461016</v>
      </c>
      <c r="G105" s="10" t="n">
        <f aca="false">G103-INDEX(Assumptions!$C$204:$E$204,$B$3)</f>
        <v>298562.953364068</v>
      </c>
      <c r="H105" s="10" t="n">
        <f aca="false">H103-INDEX(Assumptions!$C$204:$E$204,$B$3)</f>
        <v>487109.63262742</v>
      </c>
      <c r="I105" s="10" t="n">
        <f aca="false">I103-INDEX(Assumptions!$C$204:$E$204,$B$3)</f>
        <v>682502.912029027</v>
      </c>
      <c r="J105" s="10" t="n">
        <f aca="false">J103-INDEX(Assumptions!$C$204:$E$204,$B$3)</f>
        <v>318192.512899296</v>
      </c>
      <c r="K105" s="10" t="n">
        <f aca="false">K103-INDEX(Assumptions!$C$204:$E$204,$B$3)</f>
        <v>373227.789613363</v>
      </c>
      <c r="L105" s="10" t="n">
        <f aca="false">L103-INDEX(Assumptions!$C$204:$E$204,$B$3)</f>
        <v>646756.468831617</v>
      </c>
      <c r="M105" s="10" t="n">
        <f aca="false">M103-INDEX(Assumptions!$C$204:$E$204,$B$3)</f>
        <v>474914.053607416</v>
      </c>
      <c r="N105" s="10" t="n">
        <f aca="false">N103-INDEX(Assumptions!$C$204:$E$204,$B$3)</f>
        <v>492087.458630029</v>
      </c>
      <c r="O105" s="40" t="n">
        <f aca="false">SUM(C105:N105)</f>
        <v>2819310.11947186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1280000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1280000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240000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240000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384000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384000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250000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250000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550000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550000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250000</v>
      </c>
      <c r="D112" s="40" t="n">
        <f aca="false">SUM(D107:D111)</f>
        <v>0</v>
      </c>
      <c r="E112" s="40" t="n">
        <f aca="false">SUM(E107:E111)</f>
        <v>1904000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550000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2704000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0</v>
      </c>
      <c r="D113" s="10" t="n">
        <f aca="false">((D67+IF(INDEX(Assumptions!$C$87:$E$87,$B$3)&gt;=2,C67,0)+IF(INDEX(Assumptions!$C$87:$E$87,$B$3)&gt;=3,0,0))/INDEX(Assumptions!$C$87:$E$87,$B$3))-D67</f>
        <v>0</v>
      </c>
      <c r="E113" s="10" t="n">
        <f aca="false">((E67+IF(INDEX(Assumptions!$C$87:$E$87,$B$3)&gt;=2,D67,0)+IF(INDEX(Assumptions!$C$87:$E$87,$B$3)&gt;=3,C67,0))/INDEX(Assumptions!$C$87:$E$87,$B$3))-E67</f>
        <v>0</v>
      </c>
      <c r="F113" s="10" t="n">
        <f aca="false">((F67+IF(INDEX(Assumptions!$C$87:$E$87,$B$3)&gt;=2,E67,0)+IF(INDEX(Assumptions!$C$87:$E$87,$B$3)&gt;=3,D67,0))/INDEX(Assumptions!$C$87:$E$87,$B$3))-F67</f>
        <v>0</v>
      </c>
      <c r="G113" s="10" t="n">
        <f aca="false">((G67+IF(INDEX(Assumptions!$C$87:$E$87,$B$3)&gt;=2,F67,0)+IF(INDEX(Assumptions!$C$87:$E$87,$B$3)&gt;=3,E67,0))/INDEX(Assumptions!$C$87:$E$87,$B$3))-G67</f>
        <v>0</v>
      </c>
      <c r="H113" s="10" t="n">
        <f aca="false">((H67+IF(INDEX(Assumptions!$C$87:$E$87,$B$3)&gt;=2,G67,0)+IF(INDEX(Assumptions!$C$87:$E$87,$B$3)&gt;=3,F67,0))/INDEX(Assumptions!$C$87:$E$87,$B$3))-H67</f>
        <v>0</v>
      </c>
      <c r="I113" s="10" t="n">
        <f aca="false">((I67+IF(INDEX(Assumptions!$C$87:$E$87,$B$3)&gt;=2,H67,0)+IF(INDEX(Assumptions!$C$87:$E$87,$B$3)&gt;=3,G67,0))/INDEX(Assumptions!$C$87:$E$87,$B$3))-I67</f>
        <v>0</v>
      </c>
      <c r="J113" s="10" t="n">
        <f aca="false">((J67+IF(INDEX(Assumptions!$C$87:$E$87,$B$3)&gt;=2,I67,0)+IF(INDEX(Assumptions!$C$87:$E$87,$B$3)&gt;=3,H67,0))/INDEX(Assumptions!$C$87:$E$87,$B$3))-J67</f>
        <v>0</v>
      </c>
      <c r="K113" s="10" t="n">
        <f aca="false">((K67+IF(INDEX(Assumptions!$C$87:$E$87,$B$3)&gt;=2,J67,0)+IF(INDEX(Assumptions!$C$87:$E$87,$B$3)&gt;=3,I67,0))/INDEX(Assumptions!$C$87:$E$87,$B$3))-K67</f>
        <v>0</v>
      </c>
      <c r="L113" s="10" t="n">
        <f aca="false">((L67+IF(INDEX(Assumptions!$C$87:$E$87,$B$3)&gt;=2,K67,0)+IF(INDEX(Assumptions!$C$87:$E$87,$B$3)&gt;=3,J67,0))/INDEX(Assumptions!$C$87:$E$87,$B$3))-L67</f>
        <v>0</v>
      </c>
      <c r="M113" s="10" t="n">
        <f aca="false">((M67+IF(INDEX(Assumptions!$C$87:$E$87,$B$3)&gt;=2,L67,0)+IF(INDEX(Assumptions!$C$87:$E$87,$B$3)&gt;=3,K67,0))/INDEX(Assumptions!$C$87:$E$87,$B$3))-M67</f>
        <v>0</v>
      </c>
      <c r="N113" s="10" t="n">
        <f aca="false">((N67+IF(INDEX(Assumptions!$C$87:$E$87,$B$3)&gt;=2,M67,0)+IF(INDEX(Assumptions!$C$87:$E$87,$B$3)&gt;=3,L67,0))/INDEX(Assumptions!$C$87:$E$87,$B$3))-N67</f>
        <v>0</v>
      </c>
      <c r="O113" s="40" t="n">
        <f aca="false">SUM(C113:N113)</f>
        <v>0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-593865.139416045</v>
      </c>
      <c r="D114" s="40" t="n">
        <f aca="false">D103+D113-D112</f>
        <v>-102336.454391243</v>
      </c>
      <c r="E114" s="40" t="n">
        <f aca="false">E103+E113-E112</f>
        <v>-2114249.77207699</v>
      </c>
      <c r="F114" s="40" t="n">
        <f aca="false">F103+F113-F112</f>
        <v>2407.70375389839</v>
      </c>
      <c r="G114" s="40" t="n">
        <f aca="false">G103+G113-G112</f>
        <v>373562.953364068</v>
      </c>
      <c r="H114" s="40" t="n">
        <f aca="false">H103+H113-H112</f>
        <v>12109.6326274199</v>
      </c>
      <c r="I114" s="40" t="n">
        <f aca="false">I103+I113-I112</f>
        <v>757502.912029027</v>
      </c>
      <c r="J114" s="40" t="n">
        <f aca="false">J103+J113-J112</f>
        <v>393192.512899296</v>
      </c>
      <c r="K114" s="40" t="n">
        <f aca="false">K103+K113-K112</f>
        <v>448227.789613363</v>
      </c>
      <c r="L114" s="40" t="n">
        <f aca="false">L103+L113-L112</f>
        <v>721756.468831617</v>
      </c>
      <c r="M114" s="40" t="n">
        <f aca="false">M103+M113-M112</f>
        <v>549914.053607416</v>
      </c>
      <c r="N114" s="40" t="n">
        <f aca="false">N103+N113-N112</f>
        <v>567087.458630029</v>
      </c>
      <c r="O114" s="11" t="n">
        <f aca="false">SUM(C114:N114)</f>
        <v>1015310.11947186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-593865.139416045</v>
      </c>
      <c r="D115" s="40" t="n">
        <f aca="false">C115+D114</f>
        <v>-696201.593807288</v>
      </c>
      <c r="E115" s="40" t="n">
        <f aca="false">D115+E114</f>
        <v>-2810451.36588427</v>
      </c>
      <c r="F115" s="40" t="n">
        <f aca="false">E115+F114</f>
        <v>-2808043.66213038</v>
      </c>
      <c r="G115" s="40" t="n">
        <f aca="false">F115+G114</f>
        <v>-2434480.70876631</v>
      </c>
      <c r="H115" s="40" t="n">
        <f aca="false">G115+H114</f>
        <v>-2422371.07613889</v>
      </c>
      <c r="I115" s="40" t="n">
        <f aca="false">H115+I114</f>
        <v>-1664868.16410986</v>
      </c>
      <c r="J115" s="40" t="n">
        <f aca="false">I115+J114</f>
        <v>-1271675.65121057</v>
      </c>
      <c r="K115" s="40" t="n">
        <f aca="false">J115+K114</f>
        <v>-823447.861597203</v>
      </c>
      <c r="L115" s="40" t="n">
        <f aca="false">K115+L114</f>
        <v>-101691.392765585</v>
      </c>
      <c r="M115" s="40" t="n">
        <f aca="false">L115+M114</f>
        <v>448222.660841831</v>
      </c>
      <c r="N115" s="40" t="n">
        <f aca="false">M115+N114</f>
        <v>1015310.11947186</v>
      </c>
      <c r="O115" s="11" t="n">
        <f aca="false">N115</f>
        <v>1015310.11947186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593865.139416045</v>
      </c>
      <c r="D116" s="40" t="n">
        <f aca="false">-MIN(0,MIN($C$115:D115))</f>
        <v>696201.593807288</v>
      </c>
      <c r="E116" s="40" t="n">
        <f aca="false">-MIN(0,MIN($C$115:E115))</f>
        <v>2810451.36588427</v>
      </c>
      <c r="F116" s="40" t="n">
        <f aca="false">-MIN(0,MIN($C$115:F115))</f>
        <v>2810451.36588427</v>
      </c>
      <c r="G116" s="40" t="n">
        <f aca="false">-MIN(0,MIN($C$115:G115))</f>
        <v>2810451.36588427</v>
      </c>
      <c r="H116" s="40" t="n">
        <f aca="false">-MIN(0,MIN($C$115:H115))</f>
        <v>2810451.36588427</v>
      </c>
      <c r="I116" s="40" t="n">
        <f aca="false">-MIN(0,MIN($C$115:I115))</f>
        <v>2810451.36588427</v>
      </c>
      <c r="J116" s="40" t="n">
        <f aca="false">-MIN(0,MIN($C$115:J115))</f>
        <v>2810451.36588427</v>
      </c>
      <c r="K116" s="40" t="n">
        <f aca="false">-MIN(0,MIN($C$115:K115))</f>
        <v>2810451.36588427</v>
      </c>
      <c r="L116" s="40" t="n">
        <f aca="false">-MIN(0,MIN($C$115:L115))</f>
        <v>2810451.36588427</v>
      </c>
      <c r="M116" s="40" t="n">
        <f aca="false">-MIN(0,MIN($C$115:M115))</f>
        <v>2810451.36588427</v>
      </c>
      <c r="N116" s="40" t="n">
        <f aca="false">-MIN(0,MIN($C$115:N115))</f>
        <v>2810451.36588427</v>
      </c>
      <c r="O116" s="11" t="n">
        <f aca="false">MAX(C116:N116)</f>
        <v>2810451.36588427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1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1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4.981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9.12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11.60056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16.0576155555556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10.279151006976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9.78602883609532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11.3303971103955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4.981</v>
      </c>
      <c r="D129" s="8" t="n">
        <f aca="false">C129/INDEX(Assumptions!$C$179:$E$179,$B$3)</f>
        <v>0.415083333333333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9.12</v>
      </c>
      <c r="D130" s="8" t="n">
        <f aca="false">C130/INDEX(Assumptions!$C$179:$E$179,$B$3)</f>
        <v>0.76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11.60056</v>
      </c>
      <c r="D131" s="8" t="n">
        <f aca="false">C131/INDEX(Assumptions!$C$179:$E$179,$B$3)</f>
        <v>0.966713333333333</v>
      </c>
      <c r="E131" s="10" t="n">
        <f aca="false">IF(AND(D131&gt;=INDEX(Assumptions!$C$180:$E$180,$B$3),D130&gt;=INDEX(Assumptions!$C$180:$E$180,$B$3)),1,0)</f>
        <v>1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16.0576155555556</v>
      </c>
      <c r="D132" s="8" t="n">
        <f aca="false">C132/INDEX(Assumptions!$C$179:$E$179,$B$3)</f>
        <v>1.33813462962963</v>
      </c>
      <c r="E132" s="10" t="n">
        <f aca="false">IF(AND(D132&gt;=INDEX(Assumptions!$C$180:$E$180,$B$3),D131&gt;=INDEX(Assumptions!$C$180:$E$180,$B$3)),1,0)</f>
        <v>1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10.279151006976</v>
      </c>
      <c r="D133" s="8" t="n">
        <f aca="false">C133/INDEX(Assumptions!$C$179:$E$179,$B$3)</f>
        <v>0.856595917248004</v>
      </c>
      <c r="E133" s="10" t="n">
        <f aca="false">IF(AND(D133&gt;=INDEX(Assumptions!$C$180:$E$180,$B$3),D132&gt;=INDEX(Assumptions!$C$180:$E$180,$B$3)),1,0)</f>
        <v>1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0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9.78602883609532</v>
      </c>
      <c r="D134" s="8" t="n">
        <f aca="false">C134/INDEX(Assumptions!$C$179:$E$179,$B$3)</f>
        <v>0.815502403007943</v>
      </c>
      <c r="E134" s="10" t="n">
        <f aca="false">IF(AND(D134&gt;=INDEX(Assumptions!$C$180:$E$180,$B$3),D133&gt;=INDEX(Assumptions!$C$180:$E$180,$B$3)),1,0)</f>
        <v>1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11.3303971103955</v>
      </c>
      <c r="D135" s="8" t="n">
        <f aca="false">C135/INDEX(Assumptions!$C$179:$E$179,$B$3)</f>
        <v>0.944199759199627</v>
      </c>
      <c r="E135" s="10" t="n">
        <f aca="false">IF(AND(D135&gt;=INDEX(Assumptions!$C$180:$E$180,$B$3),D134&gt;=INDEX(Assumptions!$C$180:$E$180,$B$3)),1,0)</f>
        <v>1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4.981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9.12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16.33304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18.7727888804825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12.6175265181444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14.7587549824317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4.981</v>
      </c>
      <c r="D143" s="8" t="n">
        <f aca="false">C143/INDEX(Assumptions!$C$179:$E$179,$B$3)</f>
        <v>0.415083333333333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9.12</v>
      </c>
      <c r="D144" s="8" t="n">
        <f aca="false">C144/INDEX(Assumptions!$C$179:$E$179,$B$3)</f>
        <v>0.76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16.33304</v>
      </c>
      <c r="D145" s="8" t="n">
        <f aca="false">C145/INDEX(Assumptions!$C$179:$E$179,$B$3)</f>
        <v>1.36108666666667</v>
      </c>
      <c r="E145" s="10" t="n">
        <f aca="false">IF(AND(D145&gt;=INDEX(Assumptions!$C$180:$E$180,$B$3),D144&gt;=INDEX(Assumptions!$C$180:$E$180,$B$3)),1,0)</f>
        <v>1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18.7727888804825</v>
      </c>
      <c r="D146" s="8" t="n">
        <f aca="false">C146/INDEX(Assumptions!$C$179:$E$179,$B$3)</f>
        <v>1.56439907337354</v>
      </c>
      <c r="E146" s="10" t="n">
        <f aca="false">IF(AND(D146&gt;=INDEX(Assumptions!$C$180:$E$180,$B$3),D145&gt;=INDEX(Assumptions!$C$180:$E$180,$B$3)),1,0)</f>
        <v>1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12.6175265181444</v>
      </c>
      <c r="D147" s="8" t="n">
        <f aca="false">C147/INDEX(Assumptions!$C$179:$E$179,$B$3)</f>
        <v>1.0514605431787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14.7587549824317</v>
      </c>
      <c r="D148" s="8" t="n">
        <f aca="false">C148/INDEX(Assumptions!$C$179:$E$179,$B$3)</f>
        <v>1.22989624853597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13478368.3632995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3719310.11947186</v>
      </c>
    </row>
    <row r="154" customFormat="false" ht="15" hidden="false" customHeight="false" outlineLevel="0" collapsed="false">
      <c r="A154" s="3" t="s">
        <v>45</v>
      </c>
      <c r="B154" s="9" t="n">
        <f aca="false">O104</f>
        <v>0.275946614547146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2819310.11947186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2704000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2810451.36588427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5000000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2189548.63411573</v>
      </c>
    </row>
    <row r="160" customFormat="false" ht="15" hidden="false" customHeight="false" outlineLevel="0" collapsed="false">
      <c r="A160" s="3" t="s">
        <v>51</v>
      </c>
      <c r="B160" s="7" t="n">
        <f aca="false">O38</f>
        <v>123.616323104723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13.7443871841204</v>
      </c>
    </row>
    <row r="162" customFormat="false" ht="15" hidden="false" customHeight="false" outlineLevel="0" collapsed="false">
      <c r="A162" s="3" t="s">
        <v>53</v>
      </c>
      <c r="B162" s="11" t="n">
        <f aca="false">O46</f>
        <v>202.5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0.25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68504.5547756493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836367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503600.586737455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4.85758084776037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58.2909701731245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16552.2112373873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0.19531609260117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0.439851898236505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23.9529504580762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1838757.98106906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4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1015310.11947186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3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2810451.36588427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1156000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100000</v>
      </c>
    </row>
    <row r="184" customFormat="false" ht="15" hidden="false" customHeight="false" outlineLevel="0" collapsed="false">
      <c r="A184" s="3" t="s">
        <v>75</v>
      </c>
      <c r="B184" s="11" t="n">
        <f aca="false">IF(IF($Q$3=1,$Q$4+1,INDEX(Assumptions!$C$215:$E$215,$D$3))&lt;$U$4,IF($Q$3=1,$Q$4+1,INDEX(Assumptions!$C$215:$E$215,$D$3)),99)</f>
        <v>4</v>
      </c>
    </row>
    <row r="185" customFormat="false" ht="15" hidden="false" customHeight="false" outlineLevel="0" collapsed="false">
      <c r="A185" s="3" t="s">
        <v>76</v>
      </c>
      <c r="B185" s="11" t="n">
        <f aca="false">IF($Q$3=1,$Q$4+1,INDEX(Assumptions!$C$105:$E$105,$B$3))</f>
        <v>5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4979450.52924189</v>
      </c>
    </row>
    <row r="187" customFormat="false" ht="15" hidden="false" customHeight="false" outlineLevel="0" collapsed="false">
      <c r="A187" s="3" t="s">
        <v>78</v>
      </c>
      <c r="B187" s="11" t="n">
        <f aca="false">O97</f>
        <v>1490000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3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486195.720595126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0.415083333333333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0.76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0.870889910821696</v>
      </c>
    </row>
    <row r="197" customFormat="false" ht="15" hidden="false" customHeight="false" outlineLevel="0" collapsed="false">
      <c r="A197" s="3" t="s">
        <v>88</v>
      </c>
      <c r="B197" s="11" t="n">
        <f aca="false">IFERROR(INDEX(F129:F135,MATCH(1,E129:E135,0)),"not in Y1")</f>
        <v>6</v>
      </c>
    </row>
    <row r="198" customFormat="false" ht="15" hidden="false" customHeight="false" outlineLevel="0" collapsed="false">
      <c r="A198" s="3" t="s">
        <v>89</v>
      </c>
      <c r="B198" s="7" t="n">
        <f aca="false">C135</f>
        <v>11.3303971103955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1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6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1.32564876107297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49.4797938628336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3437.62950683796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16.1395176791756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4347858.98106906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1565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f aca="false">Assumptions!$C$4</f>
        <v>2</v>
      </c>
      <c r="C3" s="13" t="s">
        <v>1386</v>
      </c>
      <c r="D3" s="37" t="n">
        <f aca="false">Assumptions!$C$4</f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f aca="false">Assumptions!$D$5</f>
        <v>0</v>
      </c>
      <c r="R3" s="2" t="s">
        <v>1393</v>
      </c>
      <c r="S3" s="37" t="n">
        <f aca="false">Assumptions!$H$5</f>
        <v>1</v>
      </c>
      <c r="T3" s="2" t="s">
        <v>1394</v>
      </c>
      <c r="U3" s="37" t="n">
        <f aca="false">Assumptions!$L$5</f>
        <v>0</v>
      </c>
      <c r="V3" s="2" t="s">
        <v>1395</v>
      </c>
      <c r="W3" s="30" t="n">
        <v>1</v>
      </c>
      <c r="X3" s="2" t="s">
        <v>1396</v>
      </c>
      <c r="Y3" s="37" t="n">
        <f aca="false">Assumptions!$P$5</f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f aca="false">Assumptions!$F$5</f>
        <v>9</v>
      </c>
      <c r="R4" s="2" t="s">
        <v>1403</v>
      </c>
      <c r="S4" s="37" t="n">
        <f aca="false">Assumptions!$J$5</f>
        <v>1</v>
      </c>
      <c r="T4" s="2" t="s">
        <v>1404</v>
      </c>
      <c r="U4" s="37" t="n">
        <f aca="false">Assumptions!$N$5</f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0.333333333333333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0.3</v>
      </c>
      <c r="O12" s="39" t="n">
        <f aca="false">N12</f>
        <v>0.3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80000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100000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100000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100000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820000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1.65</v>
      </c>
      <c r="M30" s="16" t="n">
        <f aca="false">MAX(M24*INDEX(Assumptions!$C$26:$E$26,$B$3)*M28,M29)</f>
        <v>1.575</v>
      </c>
      <c r="N30" s="16" t="n">
        <f aca="false">MAX(N24*INDEX(Assumptions!$C$26:$E$26,$B$3)*N28,N29)</f>
        <v>1.5</v>
      </c>
      <c r="O30" s="38" t="n">
        <f aca="false">SUM(C30:N30)</f>
        <v>4.725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8.60896215257244</v>
      </c>
      <c r="J31" s="6" t="n">
        <f aca="false">I34+H34+I37+H37+1.25*I35</f>
        <v>11.7502735068007</v>
      </c>
      <c r="K31" s="6" t="n">
        <f aca="false">J34+I34+J37+I37+1.25*J35</f>
        <v>17.0481113542283</v>
      </c>
      <c r="L31" s="6" t="n">
        <f aca="false">K34+J34+K37+J37+1.25*K35</f>
        <v>15.9006487570424</v>
      </c>
      <c r="M31" s="6" t="n">
        <f aca="false">L34+K34+L37+K37+1.25*L35</f>
        <v>13.6107386094122</v>
      </c>
      <c r="N31" s="6" t="n">
        <f aca="false">M34+L34+M37+L37+1.25*M35</f>
        <v>13.2157369927081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12.1513113542283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14.12</v>
      </c>
      <c r="L32" s="6" t="n">
        <f aca="false">L24*(INDEX(Assumptions!$C$26:$E$26,$B$3)*(1-L28)+(1-INDEX(Assumptions!$C$26:$E$26,$B$3)))+1.25*L30+K36*INDEX(Assumptions!$C$89:$E$89,$B$3)</f>
        <v>12.4697119666188</v>
      </c>
      <c r="M32" s="6" t="n">
        <f aca="false">M24*(INDEX(Assumptions!$C$26:$E$26,$B$3)*(1-M28)+(1-INDEX(Assumptions!$C$26:$E$26,$B$3)))+1.25*M30+L36*INDEX(Assumptions!$C$89:$E$89,$B$3)</f>
        <v>12.0686884171763</v>
      </c>
      <c r="N32" s="6" t="n">
        <f aca="false">N24*(INDEX(Assumptions!$C$26:$E$26,$B$3)*(1-N28)+(1-INDEX(Assumptions!$C$26:$E$26,$B$3)))+1.25*N30+M36*INDEX(Assumptions!$C$89:$E$89,$B$3)</f>
        <v>11.635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0.806475458308693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0.704807977745873</v>
      </c>
      <c r="L33" s="8" t="n">
        <f aca="false">IF(L32&lt;=0,1,MAX(0,MIN(1,(L27-L31)/L32)))</f>
        <v>0.890104861497234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0.704807977745873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3.55655677114134</v>
      </c>
      <c r="I34" s="38" t="n">
        <f aca="false">I24*INDEX(Assumptions!$C$26:$E$26,$B$3)*(1-I28)*I33</f>
        <v>6.864</v>
      </c>
      <c r="J34" s="38" t="n">
        <f aca="false">J24*INDEX(Assumptions!$C$26:$E$26,$B$3)*(1-J28)*J33</f>
        <v>8.1</v>
      </c>
      <c r="K34" s="38" t="n">
        <f aca="false">K24*INDEX(Assumptions!$C$26:$E$26,$B$3)*(1-K28)*K33</f>
        <v>5.28605983309405</v>
      </c>
      <c r="L34" s="38" t="n">
        <f aca="false">L24*INDEX(Assumptions!$C$26:$E$26,$B$3)*(1-L28)*L33</f>
        <v>4.40601906441131</v>
      </c>
      <c r="M34" s="38" t="n">
        <f aca="false">M24*INDEX(Assumptions!$C$26:$E$26,$B$3)*(1-M28)*M33</f>
        <v>4.725</v>
      </c>
      <c r="N34" s="38" t="n">
        <f aca="false">N24*INDEX(Assumptions!$C$26:$E$26,$B$3)*(1-N28)*N33</f>
        <v>4.5</v>
      </c>
      <c r="O34" s="17" t="n">
        <f aca="false">SUM(C34:N34)</f>
        <v>49.0433606686467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1.46867302147044</v>
      </c>
      <c r="M35" s="16" t="n">
        <f aca="false">M30*M33</f>
        <v>1.575</v>
      </c>
      <c r="N35" s="16" t="n">
        <f aca="false">N30*N33</f>
        <v>1.5</v>
      </c>
      <c r="O35" s="38" t="n">
        <f aca="false">SUM(C35:N35)</f>
        <v>4.54367302147044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2.37103784742756</v>
      </c>
      <c r="I36" s="16" t="n">
        <f aca="false">I24*(1-INDEX(Assumptions!$C$26:$E$26,$B$3))*I33</f>
        <v>4.576</v>
      </c>
      <c r="J36" s="16" t="n">
        <f aca="false">J24*(1-INDEX(Assumptions!$C$26:$E$26,$B$3))*J33</f>
        <v>5.4</v>
      </c>
      <c r="K36" s="16" t="n">
        <f aca="false">K24*(1-INDEX(Assumptions!$C$26:$E$26,$B$3))*K33</f>
        <v>3.52403988872937</v>
      </c>
      <c r="L36" s="16" t="n">
        <f aca="false">L24*(1-INDEX(Assumptions!$C$26:$E$26,$B$3))*L33</f>
        <v>3.91646139058783</v>
      </c>
      <c r="M36" s="16" t="n">
        <f aca="false">M24*(1-INDEX(Assumptions!$C$26:$E$26,$B$3))*M33</f>
        <v>4.2</v>
      </c>
      <c r="N36" s="16" t="n">
        <f aca="false">N24*(1-INDEX(Assumptions!$C$26:$E$26,$B$3))*N33</f>
        <v>4</v>
      </c>
      <c r="O36" s="38" t="n">
        <f aca="false">SUM(C36:N36)</f>
        <v>35.7246891267448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0.618405381431106</v>
      </c>
      <c r="I37" s="16" t="n">
        <f aca="false">H36*INDEX(Assumptions!$C$89:$E$89,$B$3)*I33</f>
        <v>0.711311354228267</v>
      </c>
      <c r="J37" s="16" t="n">
        <f aca="false">I36*INDEX(Assumptions!$C$89:$E$89,$B$3)*J33</f>
        <v>1.3728</v>
      </c>
      <c r="K37" s="16" t="n">
        <f aca="false">J36*INDEX(Assumptions!$C$89:$E$89,$B$3)*K33</f>
        <v>1.14178892394831</v>
      </c>
      <c r="L37" s="16" t="n">
        <f aca="false">K36*INDEX(Assumptions!$C$89:$E$89,$B$3)*L33</f>
        <v>0.941029511120454</v>
      </c>
      <c r="M37" s="16" t="n">
        <f aca="false">L36*INDEX(Assumptions!$C$89:$E$89,$B$3)*M33</f>
        <v>1.17493841717635</v>
      </c>
      <c r="N37" s="16" t="n">
        <f aca="false">M36*INDEX(Assumptions!$C$89:$E$89,$B$3)*N33</f>
        <v>1.26</v>
      </c>
      <c r="O37" s="38" t="n">
        <f aca="false">SUM(C37:N37)</f>
        <v>8.77461858790449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5.9275946185689</v>
      </c>
      <c r="I38" s="38" t="n">
        <f aca="false">I34+I35+I36</f>
        <v>11.44</v>
      </c>
      <c r="J38" s="38" t="n">
        <f aca="false">J34+J35+J36</f>
        <v>13.5</v>
      </c>
      <c r="K38" s="38" t="n">
        <f aca="false">K34+K35+K36</f>
        <v>8.81009972182342</v>
      </c>
      <c r="L38" s="38" t="n">
        <f aca="false">L34+L35+L36</f>
        <v>9.79115347646957</v>
      </c>
      <c r="M38" s="38" t="n">
        <f aca="false">M34+M35+M36</f>
        <v>10.5</v>
      </c>
      <c r="N38" s="38" t="n">
        <f aca="false">N34+N35+N36</f>
        <v>10</v>
      </c>
      <c r="O38" s="17" t="n">
        <f aca="false">SUM(C38:N38)</f>
        <v>89.3117228168619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13.5</v>
      </c>
      <c r="K39" s="16" t="n">
        <f aca="false">IF(9&lt;IF($Q$3=1,$Q$4+1,INDEX(Assumptions!$C$215:$E$215,$D$3)),K24,K38)</f>
        <v>8.81009972182342</v>
      </c>
      <c r="L39" s="16" t="n">
        <f aca="false">IF(10&lt;IF($Q$3=1,$Q$4+1,INDEX(Assumptions!$C$215:$E$215,$D$3)),L24,L38)</f>
        <v>9.79115347646957</v>
      </c>
      <c r="M39" s="16" t="n">
        <f aca="false">IF(11&lt;IF($Q$3=1,$Q$4+1,INDEX(Assumptions!$C$215:$E$215,$D$3)),M24,M38)</f>
        <v>10.5</v>
      </c>
      <c r="N39" s="16" t="n">
        <f aca="false">IF(12&lt;IF($Q$3=1,$Q$4+1,INDEX(Assumptions!$C$215:$E$215,$D$3)),N24,N38)</f>
        <v>10</v>
      </c>
      <c r="O39" s="38" t="n">
        <f aca="false">SUM(C39:N39)</f>
        <v>90.734128198293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1.48189865464222</v>
      </c>
      <c r="I40" s="16" t="n">
        <f aca="false">I38*INDEX(Assumptions!$C$74:$E$74,$B$3)</f>
        <v>2.86</v>
      </c>
      <c r="J40" s="16" t="n">
        <f aca="false">J38*INDEX(Assumptions!$C$74:$E$74,$B$3)</f>
        <v>3.375</v>
      </c>
      <c r="K40" s="16" t="n">
        <f aca="false">K38*INDEX(Assumptions!$C$74:$E$74,$B$3)</f>
        <v>2.20252493045585</v>
      </c>
      <c r="L40" s="16" t="n">
        <f aca="false">L38*INDEX(Assumptions!$C$74:$E$74,$B$3)</f>
        <v>2.44778836911739</v>
      </c>
      <c r="M40" s="16" t="n">
        <f aca="false">M38*INDEX(Assumptions!$C$74:$E$74,$B$3)</f>
        <v>2.625</v>
      </c>
      <c r="N40" s="16" t="n">
        <f aca="false">N38*INDEX(Assumptions!$C$74:$E$74,$B$3)</f>
        <v>2.5</v>
      </c>
      <c r="O40" s="38" t="n">
        <f aca="false">SUM(C40:N40)</f>
        <v>22.3279307042155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2.9033116499113</v>
      </c>
      <c r="I41" s="16" t="n">
        <f aca="false">I10*MIN(I16,I21*I20)*I22*I23*I33</f>
        <v>6.24</v>
      </c>
      <c r="J41" s="16" t="n">
        <f aca="false">J10*MIN(J16,J21*J20)*J22*J23*J33</f>
        <v>8.1</v>
      </c>
      <c r="K41" s="16" t="n">
        <f aca="false">K10*MIN(K16,K21*K20)*K22*K23*K33</f>
        <v>5.28605983309405</v>
      </c>
      <c r="L41" s="16" t="n">
        <f aca="false">L10*MIN(L16,L21*L20)*L22*L23*L33</f>
        <v>5.87469208588174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48.1963135688871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14.4</v>
      </c>
      <c r="I42" s="6" t="n">
        <f aca="false">I31+I34+I37+I36+1.25*I35</f>
        <v>20.7602735068007</v>
      </c>
      <c r="J42" s="6" t="n">
        <f aca="false">J31+J34+J37+J36+1.25*J35</f>
        <v>26.6230735068007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25.6794270265885</v>
      </c>
      <c r="N42" s="6" t="n">
        <f aca="false">N31+N34+N37+N36+1.25*N35</f>
        <v>24.8507369927081</v>
      </c>
      <c r="O42" s="41" t="n">
        <f aca="false">AVERAGE(C42:N42)</f>
        <v>16.7702392527415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0.8002715625</v>
      </c>
      <c r="H43" s="39" t="n">
        <f aca="false">H42/(H25*H26)</f>
        <v>0.9</v>
      </c>
      <c r="I43" s="39" t="n">
        <f aca="false">I42/(I25*I26)</f>
        <v>0.692009116893357</v>
      </c>
      <c r="J43" s="39" t="n">
        <f aca="false">J42/(J25*J26)</f>
        <v>0.887435783560024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0.855980900886284</v>
      </c>
      <c r="N43" s="39" t="n">
        <f aca="false">N42/(N25*N26)</f>
        <v>0.828357899756937</v>
      </c>
      <c r="O43" s="9" t="n">
        <f aca="false">N43</f>
        <v>0.828357899756937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180841.869719051</v>
      </c>
      <c r="I56" s="10" t="n">
        <f aca="false">I34*I53/(1+INDEX(Assumptions!$C$15:$E$15,$B$3)*$H$4)</f>
        <v>465355.93220339</v>
      </c>
      <c r="J56" s="10" t="n">
        <f aca="false">J34*J53/(1+INDEX(Assumptions!$C$15:$E$15,$B$3)*$H$4)</f>
        <v>549152.542372881</v>
      </c>
      <c r="K56" s="10" t="n">
        <f aca="false">K34*K53/(1+INDEX(Assumptions!$C$15:$E$15,$B$3)*$H$4)</f>
        <v>358376.937836885</v>
      </c>
      <c r="L56" s="10" t="n">
        <f aca="false">L34*L53/(1+INDEX(Assumptions!$C$15:$E$15,$B$3)*$H$4)</f>
        <v>298713.156909241</v>
      </c>
      <c r="M56" s="10" t="n">
        <f aca="false">M34*M53/(1+INDEX(Assumptions!$C$15:$E$15,$B$3)*$H$4)</f>
        <v>320338.983050848</v>
      </c>
      <c r="N56" s="10" t="n">
        <f aca="false">N34*N53/(1+INDEX(Assumptions!$C$15:$E$15,$B$3)*$H$4)</f>
        <v>305084.745762712</v>
      </c>
      <c r="O56" s="40" t="n">
        <f aca="false">SUM(C56:N56)</f>
        <v>3067985.7780245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99571.0523030804</v>
      </c>
      <c r="M57" s="10" t="n">
        <f aca="false">M35*M53/(1+INDEX(Assumptions!$C$15:$E$15,$B$3)*$H$4)</f>
        <v>106779.661016949</v>
      </c>
      <c r="N57" s="10" t="n">
        <f aca="false">N35*N53/(1+INDEX(Assumptions!$C$15:$E$15,$B$3)*$H$4)</f>
        <v>101694.915254237</v>
      </c>
      <c r="O57" s="40" t="n">
        <f aca="false">SUM(C57:N57)</f>
        <v>308045.628574267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10533.8543786146</v>
      </c>
      <c r="I58" s="10" t="n">
        <f aca="false">I37*MAX(0,I53-INDEX(Assumptions!$C$18:$E$18,$B$3)*$H$3)/(1+INDEX(Assumptions!$C$15:$E$15,$B$3)*$H$4)</f>
        <v>24172.5299191132</v>
      </c>
      <c r="J58" s="10" t="n">
        <f aca="false">J37*MAX(0,J53-INDEX(Assumptions!$C$18:$E$18,$B$3)*$H$3)/(1+INDEX(Assumptions!$C$15:$E$15,$B$3)*$H$4)</f>
        <v>46651.9322033898</v>
      </c>
      <c r="K58" s="10" t="n">
        <f aca="false">K37*MAX(0,K53-INDEX(Assumptions!$C$18:$E$18,$B$3)*$H$3)/(1+INDEX(Assumptions!$C$15:$E$15,$B$3)*$H$4)</f>
        <v>38801.4710595995</v>
      </c>
      <c r="L58" s="10" t="n">
        <f aca="false">L37*MAX(0,L53-INDEX(Assumptions!$C$18:$E$18,$B$3)*$H$3)/(1+INDEX(Assumptions!$C$15:$E$15,$B$3)*$H$4)</f>
        <v>31979.0537253646</v>
      </c>
      <c r="M58" s="10" t="n">
        <f aca="false">M37*MAX(0,M53-INDEX(Assumptions!$C$18:$E$18,$B$3)*$H$3)/(1+INDEX(Assumptions!$C$15:$E$15,$B$3)*$H$4)</f>
        <v>39927.9919735352</v>
      </c>
      <c r="N58" s="10" t="n">
        <f aca="false">N37*MAX(0,N53-INDEX(Assumptions!$C$18:$E$18,$B$3)*$H$3)/(1+INDEX(Assumptions!$C$15:$E$15,$B$3)*$H$4)</f>
        <v>42818.6440677966</v>
      </c>
      <c r="O58" s="40" t="n">
        <f aca="false">SUM(C58:N58)</f>
        <v>261362.031988431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80173.2289087793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182593.220338983</v>
      </c>
      <c r="K59" s="10" t="n">
        <f aca="false">K36*INDEX(Assumptions!$C$18:$E$18,$B$3)*$H$3/(1+INDEX(Assumptions!$C$15:$E$15,$B$3)*$H$4)</f>
        <v>119160.331830764</v>
      </c>
      <c r="L59" s="10" t="n">
        <f aca="false">L36*INDEX(Assumptions!$C$18:$E$18,$B$3)*$H$3/(1+INDEX(Assumptions!$C$15:$E$15,$B$3)*$H$4)</f>
        <v>132429.499563097</v>
      </c>
      <c r="M59" s="10" t="n">
        <f aca="false">M36*INDEX(Assumptions!$C$18:$E$18,$B$3)*$H$3/(1+INDEX(Assumptions!$C$15:$E$15,$B$3)*$H$4)</f>
        <v>142016.949152542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1207978.8950484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7776</v>
      </c>
      <c r="K65" s="10" t="n">
        <f aca="false">(K34+K35)*(1-K54)*INDEX(Assumptions!$C$90:$E$90,$B$3)</f>
        <v>5074.61743977029</v>
      </c>
      <c r="L65" s="10" t="n">
        <f aca="false">(L34+L35)*(1-L54)*INDEX(Assumptions!$C$90:$E$90,$B$3)</f>
        <v>5639.70440244647</v>
      </c>
      <c r="M65" s="10" t="n">
        <f aca="false">(M34+M35)*(1-M54)*INDEX(Assumptions!$C$90:$E$90,$B$3)</f>
        <v>6048</v>
      </c>
      <c r="N65" s="10" t="n">
        <f aca="false">(N34+N35)*(1-N54)*INDEX(Assumptions!$C$90:$E$90,$B$3)</f>
        <v>5760</v>
      </c>
      <c r="O65" s="40" t="n">
        <f aca="false">SUM(C65:N65)</f>
        <v>36887.7618422168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450922.531311212</v>
      </c>
      <c r="I66" s="40" t="n">
        <f aca="false">SUM(I56:I65)</f>
        <v>857599.961113822</v>
      </c>
      <c r="J66" s="40" t="n">
        <f aca="false">SUM(J56:J65)</f>
        <v>1018862.18893058</v>
      </c>
      <c r="K66" s="40" t="n">
        <f aca="false">SUM(K56:K65)</f>
        <v>773717.743523333</v>
      </c>
      <c r="L66" s="40" t="n">
        <f aca="false">SUM(L56:L65)</f>
        <v>832281.875711701</v>
      </c>
      <c r="M66" s="40" t="n">
        <f aca="false">SUM(M56:M65)</f>
        <v>897770.21085928</v>
      </c>
      <c r="N66" s="40" t="n">
        <f aca="false">SUM(N56:N65)</f>
        <v>891980.384895221</v>
      </c>
      <c r="O66" s="11" t="n">
        <f aca="false">SUM(C66:N66)</f>
        <v>7096610.72610592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271548.953006445</v>
      </c>
      <c r="I67" s="10" t="n">
        <f aca="false">I56+I57+I58+I59</f>
        <v>644259.30958013</v>
      </c>
      <c r="J67" s="10" t="n">
        <f aca="false">J56+J57+J58+J59</f>
        <v>778397.694915254</v>
      </c>
      <c r="K67" s="10" t="n">
        <f aca="false">K56+K57+K58+K59</f>
        <v>516338.740727249</v>
      </c>
      <c r="L67" s="10" t="n">
        <f aca="false">L56+L57+L58+L59</f>
        <v>562692.762500783</v>
      </c>
      <c r="M67" s="10" t="n">
        <f aca="false">M56+M57+M58+M59</f>
        <v>609063.585193874</v>
      </c>
      <c r="N67" s="10" t="n">
        <f aca="false">N56+N57+N58+N59</f>
        <v>584852.542372881</v>
      </c>
      <c r="O67" s="40" t="n">
        <f aca="false">SUM(C67:N67)</f>
        <v>4845372.3336356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25049.7729154347</v>
      </c>
      <c r="I69" s="10" t="n">
        <f aca="false">((I34+I37)*INDEX(Assumptions!$C$91:$E$91,$B$3)+I35*(INDEX(Assumptions!$C$93:$E$93,$B$3)+IF($Q$3=1,INDEX(Assumptions!$C$282:$E$282,$B$3),0)))*$N$3</f>
        <v>45451.8681253696</v>
      </c>
      <c r="J69" s="10" t="n">
        <f aca="false">((J34+J37)*INDEX(Assumptions!$C$91:$E$91,$B$3)+J35*(INDEX(Assumptions!$C$93:$E$93,$B$3)+IF($Q$3=1,INDEX(Assumptions!$C$282:$E$282,$B$3),0)))*$N$3</f>
        <v>56836.8</v>
      </c>
      <c r="K69" s="10" t="n">
        <f aca="false">((K34+K37)*INDEX(Assumptions!$C$91:$E$91,$B$3)+K35*(INDEX(Assumptions!$C$93:$E$93,$B$3)+IF($Q$3=1,INDEX(Assumptions!$C$282:$E$282,$B$3),0)))*$N$3</f>
        <v>38567.0925422542</v>
      </c>
      <c r="L69" s="10" t="n">
        <f aca="false">((L34+L37)*INDEX(Assumptions!$C$91:$E$91,$B$3)+L35*(INDEX(Assumptions!$C$93:$E$93,$B$3)+IF($Q$3=1,INDEX(Assumptions!$C$282:$E$282,$B$3),0)))*$N$3</f>
        <v>43097.3391142188</v>
      </c>
      <c r="M69" s="10" t="n">
        <f aca="false">((M34+M37)*INDEX(Assumptions!$C$91:$E$91,$B$3)+M35*(INDEX(Assumptions!$C$93:$E$93,$B$3)+IF($Q$3=1,INDEX(Assumptions!$C$282:$E$282,$B$3),0)))*$N$3</f>
        <v>47212.1305030581</v>
      </c>
      <c r="N69" s="10" t="n">
        <f aca="false">((N34+N37)*INDEX(Assumptions!$C$91:$E$91,$B$3)+N35*(INDEX(Assumptions!$C$93:$E$93,$B$3)+IF($Q$3=1,INDEX(Assumptions!$C$282:$E$282,$B$3),0)))*$N$3</f>
        <v>45810</v>
      </c>
      <c r="O69" s="40" t="n">
        <f aca="false">SUM(C69:N69)</f>
        <v>380985.423200335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42678.681253696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181947.381253696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4742.07569485512</v>
      </c>
      <c r="I71" s="10" t="n">
        <f aca="false">I36*INDEX(Assumptions!$C$92:$E$92,$B$3)*$N$3</f>
        <v>9152</v>
      </c>
      <c r="J71" s="10" t="n">
        <f aca="false">J36*INDEX(Assumptions!$C$92:$E$92,$B$3)*$N$3</f>
        <v>10800</v>
      </c>
      <c r="K71" s="10" t="n">
        <f aca="false">K36*INDEX(Assumptions!$C$92:$E$92,$B$3)*$N$3</f>
        <v>7048.07977745873</v>
      </c>
      <c r="L71" s="10" t="n">
        <f aca="false">L36*INDEX(Assumptions!$C$92:$E$92,$B$3)*$N$3</f>
        <v>7832.92278117566</v>
      </c>
      <c r="M71" s="10" t="n">
        <f aca="false">M36*INDEX(Assumptions!$C$92:$E$92,$B$3)*$N$3</f>
        <v>8400</v>
      </c>
      <c r="N71" s="10" t="n">
        <f aca="false">N36*INDEX(Assumptions!$C$92:$E$92,$B$3)*$N$3</f>
        <v>8000</v>
      </c>
      <c r="O71" s="40" t="n">
        <f aca="false">SUM(C71:N71)</f>
        <v>71449.3782534895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14593.6804415614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30348.1218251159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36348.5100587617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26461.4728908631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28526.7886464594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30831.8900105325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30334.9420835272</v>
      </c>
      <c r="O75" s="40" t="n">
        <f aca="false">SUM(C75:N75)</f>
        <v>242592.187642925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3556.55677114134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8100</v>
      </c>
      <c r="K76" s="10" t="n">
        <f aca="false">K38*INDEX(Assumptions!$C$240:$E$240,$B$3)*INDEX(Assumptions!$C$69:$E$69,$B$3)</f>
        <v>5286.05983309405</v>
      </c>
      <c r="L76" s="10" t="n">
        <f aca="false">L38*INDEX(Assumptions!$C$240:$E$240,$B$3)*INDEX(Assumptions!$C$69:$E$69,$B$3)</f>
        <v>5874.69208588174</v>
      </c>
      <c r="M76" s="10" t="n">
        <f aca="false">M38*INDEX(Assumptions!$C$240:$E$240,$B$3)*INDEX(Assumptions!$C$69:$E$69,$B$3)</f>
        <v>6300</v>
      </c>
      <c r="N76" s="10" t="n">
        <f aca="false">N38*INDEX(Assumptions!$C$240:$E$240,$B$3)*INDEX(Assumptions!$C$69:$E$69,$B$3)</f>
        <v>6000</v>
      </c>
      <c r="O76" s="40" t="n">
        <f aca="false">SUM(C76:N76)</f>
        <v>53587.0336901171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112648.500660178</v>
      </c>
      <c r="I77" s="40" t="n">
        <f aca="false">SUM(I69:I76)</f>
        <v>118078.916779754</v>
      </c>
      <c r="J77" s="40" t="n">
        <f aca="false">SUM(J69:J76)</f>
        <v>142107.351334559</v>
      </c>
      <c r="K77" s="40" t="n">
        <f aca="false">SUM(K69:K76)</f>
        <v>133150.224743482</v>
      </c>
      <c r="L77" s="40" t="n">
        <f aca="false">SUM(L69:L76)</f>
        <v>141967.47996357</v>
      </c>
      <c r="M77" s="40" t="n">
        <f aca="false">SUM(M69:M76)</f>
        <v>151062.497061433</v>
      </c>
      <c r="N77" s="40" t="n">
        <f aca="false">SUM(N69:N76)</f>
        <v>150146.157843377</v>
      </c>
      <c r="O77" s="11" t="n">
        <f aca="false">SUM(C77:N77)</f>
        <v>1295409.37660154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338274.030651033</v>
      </c>
      <c r="I78" s="40" t="n">
        <f aca="false">I66-I77</f>
        <v>739521.044334068</v>
      </c>
      <c r="J78" s="40" t="n">
        <f aca="false">J66-J77</f>
        <v>876754.837596023</v>
      </c>
      <c r="K78" s="40" t="n">
        <f aca="false">K66-K77</f>
        <v>640567.51877985</v>
      </c>
      <c r="L78" s="40" t="n">
        <f aca="false">L66-L77</f>
        <v>690314.395748131</v>
      </c>
      <c r="M78" s="40" t="n">
        <f aca="false">M66-M77</f>
        <v>746707.713797847</v>
      </c>
      <c r="N78" s="40" t="n">
        <f aca="false">N66-N77</f>
        <v>741834.227051843</v>
      </c>
      <c r="O78" s="11" t="n">
        <f aca="false">SUM(C78:N78)</f>
        <v>5801201.34950438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0.750182142523209</v>
      </c>
      <c r="I79" s="8" t="n">
        <f aca="false">IFERROR(I78/I66,0)</f>
        <v>0.862314689676062</v>
      </c>
      <c r="J79" s="8" t="n">
        <f aca="false">IFERROR(J78/J66,0)</f>
        <v>0.860523481116011</v>
      </c>
      <c r="K79" s="8" t="n">
        <f aca="false">IFERROR(K78/K66,0)</f>
        <v>0.827908528842641</v>
      </c>
      <c r="L79" s="8" t="n">
        <f aca="false">IFERROR(L78/L66,0)</f>
        <v>0.829423799668626</v>
      </c>
      <c r="M79" s="8" t="n">
        <f aca="false">IFERROR(M78/M66,0)</f>
        <v>0.831735899415902</v>
      </c>
      <c r="N79" s="8" t="n">
        <f aca="false">IFERROR(N78/N66,0)</f>
        <v>0.831671009378738</v>
      </c>
      <c r="O79" s="13" t="n">
        <f aca="false">IFERROR(O78/O66,0)</f>
        <v>0.81746083777201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1.6</v>
      </c>
      <c r="J82" s="6" t="n">
        <f aca="false">J81*(1-J12)</f>
        <v>1.7</v>
      </c>
      <c r="K82" s="6" t="n">
        <f aca="false">K81*(1-K12)</f>
        <v>1.8</v>
      </c>
      <c r="L82" s="6" t="n">
        <f aca="false">L81*(1-L12)</f>
        <v>1.9</v>
      </c>
      <c r="M82" s="6" t="n">
        <f aca="false">M81*(1-M12)</f>
        <v>2</v>
      </c>
      <c r="N82" s="6" t="n">
        <f aca="false">N81*(1-N12)</f>
        <v>2.1</v>
      </c>
      <c r="O82" s="41" t="n">
        <f aca="false">MAX(C82:N82)</f>
        <v>2.1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96000</v>
      </c>
      <c r="M86" s="10" t="n">
        <f aca="false">M83*INDEX(Assumptions!$C$98:$E$98,$B$3)*$W$4+M84*INDEX(Assumptions!$C$99:$E$99,$B$3)+M85*INDEX(Assumptions!$C$100:$E$100,$B$3)</f>
        <v>96000</v>
      </c>
      <c r="N86" s="10" t="n">
        <f aca="false">N83*INDEX(Assumptions!$C$98:$E$98,$B$3)*$W$4+N84*INDEX(Assumptions!$C$99:$E$99,$B$3)+N85*INDEX(Assumptions!$C$100:$E$100,$B$3)</f>
        <v>96000</v>
      </c>
      <c r="O86" s="40" t="n">
        <f aca="false">SUM(C86:N86)</f>
        <v>984000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43000</v>
      </c>
      <c r="D92" s="40" t="n">
        <f aca="false">SUM(D86:D91)</f>
        <v>178000</v>
      </c>
      <c r="E92" s="40" t="n">
        <f aca="false">SUM(E86:E91)</f>
        <v>193000</v>
      </c>
      <c r="F92" s="40" t="n">
        <f aca="false">SUM(F86:F91)</f>
        <v>193000</v>
      </c>
      <c r="G92" s="40" t="n">
        <f aca="false">SUM(G86:G91)</f>
        <v>193000</v>
      </c>
      <c r="H92" s="40" t="n">
        <f aca="false">SUM(H86:H91)</f>
        <v>193000</v>
      </c>
      <c r="I92" s="40" t="n">
        <f aca="false">SUM(I86:I91)</f>
        <v>241500</v>
      </c>
      <c r="J92" s="40" t="n">
        <f aca="false">SUM(J86:J91)</f>
        <v>241500</v>
      </c>
      <c r="K92" s="40" t="n">
        <f aca="false">SUM(K86:K91)</f>
        <v>241500</v>
      </c>
      <c r="L92" s="40" t="n">
        <f aca="false">SUM(L86:L91)</f>
        <v>241500</v>
      </c>
      <c r="M92" s="40" t="n">
        <f aca="false">SUM(M86:M91)</f>
        <v>241500</v>
      </c>
      <c r="N92" s="40" t="n">
        <f aca="false">SUM(N86:N91)</f>
        <v>241500</v>
      </c>
      <c r="O92" s="11" t="n">
        <f aca="false">SUM(C92:N92)</f>
        <v>2442000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153600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271833</v>
      </c>
      <c r="D102" s="40" t="n">
        <f aca="false">D92+SUM(D94:D101)</f>
        <v>286833</v>
      </c>
      <c r="E102" s="40" t="n">
        <f aca="false">E92+SUM(E94:E101)</f>
        <v>476833</v>
      </c>
      <c r="F102" s="40" t="n">
        <f aca="false">F92+SUM(F94:F101)</f>
        <v>336833</v>
      </c>
      <c r="G102" s="40" t="n">
        <f aca="false">G92+SUM(G94:G101)</f>
        <v>346833</v>
      </c>
      <c r="H102" s="40" t="n">
        <f aca="false">H92+SUM(H94:H101)</f>
        <v>346833</v>
      </c>
      <c r="I102" s="40" t="n">
        <f aca="false">I92+SUM(I94:I101)</f>
        <v>489933</v>
      </c>
      <c r="J102" s="40" t="n">
        <f aca="false">J92+SUM(J94:J101)</f>
        <v>509933</v>
      </c>
      <c r="K102" s="40" t="n">
        <f aca="false">K92+SUM(K94:K101)</f>
        <v>514933</v>
      </c>
      <c r="L102" s="40" t="n">
        <f aca="false">L92+SUM(L94:L101)</f>
        <v>514933</v>
      </c>
      <c r="M102" s="40" t="n">
        <f aca="false">M92+SUM(M94:M101)</f>
        <v>514933</v>
      </c>
      <c r="N102" s="40" t="n">
        <f aca="false">N92+SUM(N94:N101)</f>
        <v>514933</v>
      </c>
      <c r="O102" s="11" t="n">
        <f aca="false">SUM(C102:N102)</f>
        <v>5125596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-184431.846949089</v>
      </c>
      <c r="D103" s="40" t="n">
        <f aca="false">D78-D102</f>
        <v>-164413.933075441</v>
      </c>
      <c r="E103" s="40" t="n">
        <f aca="false">E78-E102</f>
        <v>-273143.711470079</v>
      </c>
      <c r="F103" s="40" t="n">
        <f aca="false">F78-F102</f>
        <v>-54086.1106493325</v>
      </c>
      <c r="G103" s="40" t="n">
        <f aca="false">G78-G102</f>
        <v>-15861.8163104748</v>
      </c>
      <c r="H103" s="40" t="n">
        <f aca="false">H78-H102</f>
        <v>-8558.96934896655</v>
      </c>
      <c r="I103" s="40" t="n">
        <f aca="false">I78-I102</f>
        <v>249588.044334068</v>
      </c>
      <c r="J103" s="40" t="n">
        <f aca="false">J78-J102</f>
        <v>366821.837596023</v>
      </c>
      <c r="K103" s="40" t="n">
        <f aca="false">K78-K102</f>
        <v>125634.51877985</v>
      </c>
      <c r="L103" s="40" t="n">
        <f aca="false">L78-L102</f>
        <v>175381.395748131</v>
      </c>
      <c r="M103" s="40" t="n">
        <f aca="false">M78-M102</f>
        <v>231774.713797847</v>
      </c>
      <c r="N103" s="40" t="n">
        <f aca="false">N78-N102</f>
        <v>226901.227051843</v>
      </c>
      <c r="O103" s="11" t="n">
        <f aca="false">SUM(C103:N103)</f>
        <v>675605.349504378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-1.54800095967371</v>
      </c>
      <c r="D104" s="8" t="n">
        <f aca="false">IFERROR(D103/D66,0)</f>
        <v>-0.998411826484288</v>
      </c>
      <c r="E104" s="8" t="n">
        <f aca="false">IFERROR(E103/E66,0)</f>
        <v>-1.01652991340101</v>
      </c>
      <c r="F104" s="8" t="n">
        <f aca="false">IFERROR(F103/F66,0)</f>
        <v>-0.144174804474631</v>
      </c>
      <c r="G104" s="8" t="n">
        <f aca="false">IFERROR(G103/G66,0)</f>
        <v>-0.0355794701276828</v>
      </c>
      <c r="H104" s="8" t="n">
        <f aca="false">IFERROR(H103/H66,0)</f>
        <v>-0.0189810194759584</v>
      </c>
      <c r="I104" s="8" t="n">
        <f aca="false">IFERROR(I103/I66,0)</f>
        <v>0.291030848473817</v>
      </c>
      <c r="J104" s="8" t="n">
        <f aca="false">IFERROR(J103/J66,0)</f>
        <v>0.360030867355129</v>
      </c>
      <c r="K104" s="8" t="n">
        <f aca="false">IFERROR(K103/K66,0)</f>
        <v>0.162377714394579</v>
      </c>
      <c r="L104" s="8" t="n">
        <f aca="false">IFERROR(L103/L66,0)</f>
        <v>0.210723555163518</v>
      </c>
      <c r="M104" s="8" t="n">
        <f aca="false">IFERROR(M103/M66,0)</f>
        <v>0.258167079943551</v>
      </c>
      <c r="N104" s="8" t="n">
        <f aca="false">IFERROR(N103/N66,0)</f>
        <v>0.254379166733019</v>
      </c>
      <c r="O104" s="8" t="n">
        <f aca="false">IFERROR(O103/O66,0)</f>
        <v>0.0952011284794113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-259431.846949089</v>
      </c>
      <c r="D105" s="10" t="n">
        <f aca="false">D103-INDEX(Assumptions!$C$204:$E$204,$B$3)</f>
        <v>-239413.933075441</v>
      </c>
      <c r="E105" s="10" t="n">
        <f aca="false">E103-INDEX(Assumptions!$C$204:$E$204,$B$3)</f>
        <v>-348143.711470079</v>
      </c>
      <c r="F105" s="10" t="n">
        <f aca="false">F103-INDEX(Assumptions!$C$204:$E$204,$B$3)</f>
        <v>-129086.110649333</v>
      </c>
      <c r="G105" s="10" t="n">
        <f aca="false">G103-INDEX(Assumptions!$C$204:$E$204,$B$3)</f>
        <v>-90861.8163104748</v>
      </c>
      <c r="H105" s="10" t="n">
        <f aca="false">H103-INDEX(Assumptions!$C$204:$E$204,$B$3)</f>
        <v>-83558.9693489666</v>
      </c>
      <c r="I105" s="10" t="n">
        <f aca="false">I103-INDEX(Assumptions!$C$204:$E$204,$B$3)</f>
        <v>174588.044334068</v>
      </c>
      <c r="J105" s="10" t="n">
        <f aca="false">J103-INDEX(Assumptions!$C$204:$E$204,$B$3)</f>
        <v>291821.837596023</v>
      </c>
      <c r="K105" s="10" t="n">
        <f aca="false">K103-INDEX(Assumptions!$C$204:$E$204,$B$3)</f>
        <v>50634.5187798501</v>
      </c>
      <c r="L105" s="10" t="n">
        <f aca="false">L103-INDEX(Assumptions!$C$204:$E$204,$B$3)</f>
        <v>100381.395748131</v>
      </c>
      <c r="M105" s="10" t="n">
        <f aca="false">M103-INDEX(Assumptions!$C$204:$E$204,$B$3)</f>
        <v>156774.713797847</v>
      </c>
      <c r="N105" s="10" t="n">
        <f aca="false">N103-INDEX(Assumptions!$C$204:$E$204,$B$3)</f>
        <v>151901.227051843</v>
      </c>
      <c r="O105" s="40" t="n">
        <f aca="false">SUM(C105:N105)</f>
        <v>-224394.650495622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350000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350000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350000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1972000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10023.9980730487</v>
      </c>
      <c r="I113" s="10" t="n">
        <f aca="false">((I67+IF(INDEX(Assumptions!$C$87:$E$87,$B$3)&gt;=2,H67,0)+IF(INDEX(Assumptions!$C$87:$E$87,$B$3)&gt;=3,G67,0))/INDEX(Assumptions!$C$87:$E$87,$B$3))-I67</f>
        <v>-186355.178286843</v>
      </c>
      <c r="J113" s="10" t="n">
        <f aca="false">((J67+IF(INDEX(Assumptions!$C$87:$E$87,$B$3)&gt;=2,I67,0)+IF(INDEX(Assumptions!$C$87:$E$87,$B$3)&gt;=3,H67,0))/INDEX(Assumptions!$C$87:$E$87,$B$3))-J67</f>
        <v>-67069.1926675621</v>
      </c>
      <c r="K113" s="10" t="n">
        <f aca="false">((K67+IF(INDEX(Assumptions!$C$87:$E$87,$B$3)&gt;=2,J67,0)+IF(INDEX(Assumptions!$C$87:$E$87,$B$3)&gt;=3,I67,0))/INDEX(Assumptions!$C$87:$E$87,$B$3))-K67</f>
        <v>131029.477094003</v>
      </c>
      <c r="L113" s="10" t="n">
        <f aca="false">((L67+IF(INDEX(Assumptions!$C$87:$E$87,$B$3)&gt;=2,K67,0)+IF(INDEX(Assumptions!$C$87:$E$87,$B$3)&gt;=3,J67,0))/INDEX(Assumptions!$C$87:$E$87,$B$3))-L67</f>
        <v>-23177.0108867672</v>
      </c>
      <c r="M113" s="10" t="n">
        <f aca="false">((M67+IF(INDEX(Assumptions!$C$87:$E$87,$B$3)&gt;=2,L67,0)+IF(INDEX(Assumptions!$C$87:$E$87,$B$3)&gt;=3,K67,0))/INDEX(Assumptions!$C$87:$E$87,$B$3))-M67</f>
        <v>-23185.4113465457</v>
      </c>
      <c r="N113" s="10" t="n">
        <f aca="false">((N67+IF(INDEX(Assumptions!$C$87:$E$87,$B$3)&gt;=2,M67,0)+IF(INDEX(Assumptions!$C$87:$E$87,$B$3)&gt;=3,L67,0))/INDEX(Assumptions!$C$87:$E$87,$B$3))-N67</f>
        <v>12105.5214104966</v>
      </c>
      <c r="O113" s="40" t="n">
        <f aca="false">SUM(C113:N113)</f>
        <v>-292426.271186441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-378465.745254174</v>
      </c>
      <c r="D114" s="40" t="n">
        <f aca="false">D103+D113-D112</f>
        <v>-176428.926719509</v>
      </c>
      <c r="E114" s="40" t="n">
        <f aca="false">E103+E113-E112</f>
        <v>-296661.06295313</v>
      </c>
      <c r="F114" s="40" t="n">
        <f aca="false">F103+F113-F112</f>
        <v>-88181.7316239088</v>
      </c>
      <c r="G114" s="40" t="n">
        <f aca="false">G103+G113-G112</f>
        <v>-47998.4264799663</v>
      </c>
      <c r="H114" s="40" t="n">
        <f aca="false">H103+H113-H112</f>
        <v>-1470534.97127592</v>
      </c>
      <c r="I114" s="40" t="n">
        <f aca="false">I103+I113-I112</f>
        <v>63232.8660472254</v>
      </c>
      <c r="J114" s="40" t="n">
        <f aca="false">J103+J113-J112</f>
        <v>-50247.3550715395</v>
      </c>
      <c r="K114" s="40" t="n">
        <f aca="false">K103+K113-K112</f>
        <v>256663.995873853</v>
      </c>
      <c r="L114" s="40" t="n">
        <f aca="false">L103+L113-L112</f>
        <v>152204.384861363</v>
      </c>
      <c r="M114" s="40" t="n">
        <f aca="false">M103+M113-M112</f>
        <v>208589.302451301</v>
      </c>
      <c r="N114" s="40" t="n">
        <f aca="false">N103+N113-N112</f>
        <v>239006.74846234</v>
      </c>
      <c r="O114" s="11" t="n">
        <f aca="false">SUM(C114:N114)</f>
        <v>-1588820.92168206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-378465.745254174</v>
      </c>
      <c r="D115" s="40" t="n">
        <f aca="false">C115+D114</f>
        <v>-554894.671973683</v>
      </c>
      <c r="E115" s="40" t="n">
        <f aca="false">D115+E114</f>
        <v>-851555.734926813</v>
      </c>
      <c r="F115" s="40" t="n">
        <f aca="false">E115+F114</f>
        <v>-939737.466550722</v>
      </c>
      <c r="G115" s="40" t="n">
        <f aca="false">F115+G114</f>
        <v>-987735.893030688</v>
      </c>
      <c r="H115" s="40" t="n">
        <f aca="false">G115+H114</f>
        <v>-2458270.86430661</v>
      </c>
      <c r="I115" s="40" t="n">
        <f aca="false">H115+I114</f>
        <v>-2395037.99825938</v>
      </c>
      <c r="J115" s="40" t="n">
        <f aca="false">I115+J114</f>
        <v>-2445285.35333092</v>
      </c>
      <c r="K115" s="40" t="n">
        <f aca="false">J115+K114</f>
        <v>-2188621.35745707</v>
      </c>
      <c r="L115" s="40" t="n">
        <f aca="false">K115+L114</f>
        <v>-2036416.9725957</v>
      </c>
      <c r="M115" s="40" t="n">
        <f aca="false">L115+M114</f>
        <v>-1827827.6701444</v>
      </c>
      <c r="N115" s="40" t="n">
        <f aca="false">M115+N114</f>
        <v>-1588820.92168206</v>
      </c>
      <c r="O115" s="11" t="n">
        <f aca="false">N115</f>
        <v>-1588820.92168206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378465.745254174</v>
      </c>
      <c r="D116" s="40" t="n">
        <f aca="false">-MIN(0,MIN($C$115:D115))</f>
        <v>554894.671973683</v>
      </c>
      <c r="E116" s="40" t="n">
        <f aca="false">-MIN(0,MIN($C$115:E115))</f>
        <v>851555.734926813</v>
      </c>
      <c r="F116" s="40" t="n">
        <f aca="false">-MIN(0,MIN($C$115:F115))</f>
        <v>939737.466550722</v>
      </c>
      <c r="G116" s="40" t="n">
        <f aca="false">-MIN(0,MIN($C$115:G115))</f>
        <v>987735.893030688</v>
      </c>
      <c r="H116" s="40" t="n">
        <f aca="false">-MIN(0,MIN($C$115:H115))</f>
        <v>2458270.86430661</v>
      </c>
      <c r="I116" s="40" t="n">
        <f aca="false">-MIN(0,MIN($C$115:I115))</f>
        <v>2458270.86430661</v>
      </c>
      <c r="J116" s="40" t="n">
        <f aca="false">-MIN(0,MIN($C$115:J115))</f>
        <v>2458270.86430661</v>
      </c>
      <c r="K116" s="40" t="n">
        <f aca="false">-MIN(0,MIN($C$115:K115))</f>
        <v>2458270.86430661</v>
      </c>
      <c r="L116" s="40" t="n">
        <f aca="false">-MIN(0,MIN($C$115:L115))</f>
        <v>2458270.86430661</v>
      </c>
      <c r="M116" s="40" t="n">
        <f aca="false">-MIN(0,MIN($C$115:M115))</f>
        <v>2458270.86430661</v>
      </c>
      <c r="N116" s="40" t="n">
        <f aca="false">-MIN(0,MIN($C$115:N115))</f>
        <v>2458270.86430661</v>
      </c>
      <c r="O116" s="11" t="n">
        <f aca="false">MAX(C116:N116)</f>
        <v>2458270.86430661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5.9787359964518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8.23595655824956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12.2780012905149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8.1588117348821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7.91341168221993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5.9787359964518</v>
      </c>
      <c r="D131" s="8" t="n">
        <f aca="false">C131/INDEX(Assumptions!$C$179:$E$179,$B$3)</f>
        <v>0.498227999704317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8.23595655824956</v>
      </c>
      <c r="D132" s="8" t="n">
        <f aca="false">C132/INDEX(Assumptions!$C$179:$E$179,$B$3)</f>
        <v>0.686329713187463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12.2780012905149</v>
      </c>
      <c r="D133" s="8" t="n">
        <f aca="false">C133/INDEX(Assumptions!$C$179:$E$179,$B$3)</f>
        <v>1.02316677420957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8.1588117348821</v>
      </c>
      <c r="D134" s="8" t="n">
        <f aca="false">C134/INDEX(Assumptions!$C$179:$E$179,$B$3)</f>
        <v>0.679900977906842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7.91341168221993</v>
      </c>
      <c r="D135" s="8" t="n">
        <f aca="false">C135/INDEX(Assumptions!$C$179:$E$179,$B$3)</f>
        <v>0.659450973518328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7.89921858663513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14.6318309201656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12.1204560732976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10.5812036764529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7.89921858663513</v>
      </c>
      <c r="D145" s="8" t="n">
        <f aca="false">C145/INDEX(Assumptions!$C$179:$E$179,$B$3)</f>
        <v>0.658268215552927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14.6318309201656</v>
      </c>
      <c r="D146" s="8" t="n">
        <f aca="false">C146/INDEX(Assumptions!$C$179:$E$179,$B$3)</f>
        <v>1.21931924334713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12.1204560732976</v>
      </c>
      <c r="D147" s="8" t="n">
        <f aca="false">C147/INDEX(Assumptions!$C$179:$E$179,$B$3)</f>
        <v>1.01003800610813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10.5812036764529</v>
      </c>
      <c r="D148" s="8" t="n">
        <f aca="false">C148/INDEX(Assumptions!$C$179:$E$179,$B$3)</f>
        <v>0.881766973037739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7096610.72610592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675605.349504378</v>
      </c>
    </row>
    <row r="154" customFormat="false" ht="15" hidden="false" customHeight="false" outlineLevel="0" collapsed="false">
      <c r="A154" s="3" t="s">
        <v>45</v>
      </c>
      <c r="B154" s="9" t="n">
        <f aca="false">O104</f>
        <v>0.0952011284794113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-224394.650495622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1972000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2458270.86430661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541729.135693395</v>
      </c>
    </row>
    <row r="160" customFormat="false" ht="15" hidden="false" customHeight="false" outlineLevel="0" collapsed="false">
      <c r="A160" s="3" t="s">
        <v>51</v>
      </c>
      <c r="B160" s="7" t="n">
        <f aca="false">O38</f>
        <v>89.3117228168619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10.6735421997155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0.828357899756937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0.3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3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50195.5817372881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514933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5.47965738818625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65.755888658235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10740.527089785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0.158422774574328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0.423535404642289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17.5428834734527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634057.336597821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-1588820.92168206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6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2458270.86430661</v>
      </c>
    </row>
    <row r="182" customFormat="false" ht="15" hidden="false" customHeight="false" outlineLevel="0" collapsed="false">
      <c r="A182" s="3" t="s">
        <v>73</v>
      </c>
      <c r="B182" s="11" t="n">
        <f aca="false">O86</f>
        <v>984000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75</v>
      </c>
      <c r="B184" s="11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76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2853583.03369012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229350.289551294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0.610606991218075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7.91341168221993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1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0.962541821669398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37.8007519189758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4.54367302147044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2178856.33659782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1566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1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0</v>
      </c>
      <c r="R3" s="2" t="s">
        <v>1393</v>
      </c>
      <c r="S3" s="37" t="n">
        <v>1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1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1</v>
      </c>
      <c r="D9" s="10" t="n">
        <f aca="false">IF(2&gt;=$U$4,1,$D$3)</f>
        <v>1</v>
      </c>
      <c r="E9" s="10" t="n">
        <f aca="false">IF(3&gt;=$U$4,1,$D$3)</f>
        <v>1</v>
      </c>
      <c r="F9" s="10" t="n">
        <f aca="false">IF(4&gt;=$U$4,1,$D$3)</f>
        <v>1</v>
      </c>
      <c r="G9" s="10" t="n">
        <f aca="false">IF(5&gt;=$U$4,1,$D$3)</f>
        <v>1</v>
      </c>
      <c r="H9" s="10" t="n">
        <f aca="false">IF(6&gt;=$U$4,1,$D$3)</f>
        <v>1</v>
      </c>
      <c r="I9" s="10" t="n">
        <f aca="false">IF(7&gt;=$U$4,1,$D$3)</f>
        <v>1</v>
      </c>
      <c r="J9" s="10" t="n">
        <f aca="false">IF(8&gt;=$U$4,1,$D$3)</f>
        <v>1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0.933333333333333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0.866666666666667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0.8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0.733333333333333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0.666666666666667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0.6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0.566666666666667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0.533333333333333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2.48333333333333</v>
      </c>
      <c r="E15" s="16" t="n">
        <f aca="false">E14+(INDEX(Assumptions!$C$25:$E$25,E$9)*(1-(INDEX(Assumptions!$C$27:$E$27,$B$3)+INDEX(Assumptions!$C$28:$E$28,$B$3)+INDEX(Assumptions!$C$31:$E$31,$B$3)))-E14)*MIN(1,(3-1)/6)*$N$4</f>
        <v>2.46666666666667</v>
      </c>
      <c r="F15" s="16" t="n">
        <f aca="false">F14+(INDEX(Assumptions!$C$25:$E$25,F$9)*(1-(INDEX(Assumptions!$C$27:$E$27,$B$3)+INDEX(Assumptions!$C$28:$E$28,$B$3)+INDEX(Assumptions!$C$31:$E$31,$B$3)))-F14)*MIN(1,(4-1)/6)*$N$4</f>
        <v>2.45</v>
      </c>
      <c r="G15" s="16" t="n">
        <f aca="false">G14+(INDEX(Assumptions!$C$25:$E$25,G$9)*(1-(INDEX(Assumptions!$C$27:$E$27,$B$3)+INDEX(Assumptions!$C$28:$E$28,$B$3)+INDEX(Assumptions!$C$31:$E$31,$B$3)))-G14)*MIN(1,(5-1)/6)*$N$4</f>
        <v>2.43333333333333</v>
      </c>
      <c r="H15" s="16" t="n">
        <f aca="false">H14+(INDEX(Assumptions!$C$25:$E$25,H$9)*(1-(INDEX(Assumptions!$C$27:$E$27,$B$3)+INDEX(Assumptions!$C$28:$E$28,$B$3)+INDEX(Assumptions!$C$31:$E$31,$B$3)))-H14)*MIN(1,(6-1)/6)*$N$4</f>
        <v>2.41666666666667</v>
      </c>
      <c r="I15" s="16" t="n">
        <f aca="false">I14+(INDEX(Assumptions!$C$25:$E$25,I$9)*(1-(INDEX(Assumptions!$C$27:$E$27,$B$3)+INDEX(Assumptions!$C$28:$E$28,$B$3)+INDEX(Assumptions!$C$31:$E$31,$B$3)))-I14)*MIN(1,(7-1)/6)*$N$4</f>
        <v>2.4</v>
      </c>
      <c r="J15" s="16" t="n">
        <f aca="false">J14+(INDEX(Assumptions!$C$25:$E$25,J$9)*(1-(INDEX(Assumptions!$C$27:$E$27,$B$3)+INDEX(Assumptions!$C$28:$E$28,$B$3)+INDEX(Assumptions!$C$31:$E$31,$B$3)))-J14)*MIN(1,(8-1)/6)*$N$4</f>
        <v>2.4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29.15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0.6</v>
      </c>
      <c r="E16" s="16" t="n">
        <f aca="false">INDEX(Assumptions!$C$25:$E$25,E$9)*(INDEX(Assumptions!$C$27:$E$27,$B$3)+INDEX(Assumptions!$C$28:$E$28,$B$3)+INDEX(Assumptions!$C$31:$E$31,$B$3))*MIN(1,(3-1)/6)</f>
        <v>1.2</v>
      </c>
      <c r="F16" s="16" t="n">
        <f aca="false">INDEX(Assumptions!$C$25:$E$25,F$9)*(INDEX(Assumptions!$C$27:$E$27,$B$3)+INDEX(Assumptions!$C$28:$E$28,$B$3)+INDEX(Assumptions!$C$31:$E$31,$B$3))*MIN(1,(4-1)/6)</f>
        <v>1.8</v>
      </c>
      <c r="G16" s="16" t="n">
        <f aca="false">INDEX(Assumptions!$C$25:$E$25,G$9)*(INDEX(Assumptions!$C$27:$E$27,$B$3)+INDEX(Assumptions!$C$28:$E$28,$B$3)+INDEX(Assumptions!$C$31:$E$31,$B$3))*MIN(1,(5-1)/6)</f>
        <v>2.4</v>
      </c>
      <c r="H16" s="16" t="n">
        <f aca="false">INDEX(Assumptions!$C$25:$E$25,H$9)*(INDEX(Assumptions!$C$27:$E$27,$B$3)+INDEX(Assumptions!$C$28:$E$28,$B$3)+INDEX(Assumptions!$C$31:$E$31,$B$3))*MIN(1,(6-1)/6)</f>
        <v>3</v>
      </c>
      <c r="I16" s="16" t="n">
        <f aca="false">INDEX(Assumptions!$C$25:$E$25,I$9)*(INDEX(Assumptions!$C$27:$E$27,$B$3)+INDEX(Assumptions!$C$28:$E$28,$B$3)+INDEX(Assumptions!$C$31:$E$31,$B$3))*MIN(1,(7-1)/6)</f>
        <v>3.6</v>
      </c>
      <c r="J16" s="16" t="n">
        <f aca="false">INDEX(Assumptions!$C$25:$E$25,J$9)*(INDEX(Assumptions!$C$27:$E$27,$B$3)+INDEX(Assumptions!$C$28:$E$28,$B$3)+INDEX(Assumptions!$C$31:$E$31,$B$3))*MIN(1,(8-1)/6)</f>
        <v>3.6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30.6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3.08333333333333</v>
      </c>
      <c r="E17" s="16" t="n">
        <f aca="false">E15+E16</f>
        <v>3.66666666666667</v>
      </c>
      <c r="F17" s="16" t="n">
        <f aca="false">F15+F16</f>
        <v>4.25</v>
      </c>
      <c r="G17" s="16" t="n">
        <f aca="false">G15+G16</f>
        <v>4.83333333333333</v>
      </c>
      <c r="H17" s="16" t="n">
        <f aca="false">H15+H16</f>
        <v>5.41666666666667</v>
      </c>
      <c r="I17" s="16" t="n">
        <f aca="false">I15+I16</f>
        <v>6</v>
      </c>
      <c r="J17" s="16" t="n">
        <f aca="false">J15+J16</f>
        <v>6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59.75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10000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30000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35000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40000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40000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40000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40000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40000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40000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40000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40000</v>
      </c>
      <c r="O18" s="40" t="n">
        <f aca="false">SUM(C18:N18)</f>
        <v>410000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0.67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0.9175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0.6</v>
      </c>
      <c r="D21" s="16" t="n">
        <f aca="false">D18*INDEX(Assumptions!$C$119:$E$119,$B$3)/D19</f>
        <v>0.9</v>
      </c>
      <c r="E21" s="16" t="n">
        <f aca="false">E18*INDEX(Assumptions!$C$119:$E$119,$B$3)/E19</f>
        <v>1.8</v>
      </c>
      <c r="F21" s="16" t="n">
        <f aca="false">F18*INDEX(Assumptions!$C$119:$E$119,$B$3)/F19</f>
        <v>2.1</v>
      </c>
      <c r="G21" s="16" t="n">
        <f aca="false">G18*INDEX(Assumptions!$C$119:$E$119,$B$3)/G19</f>
        <v>2.4</v>
      </c>
      <c r="H21" s="16" t="n">
        <f aca="false">H18*INDEX(Assumptions!$C$119:$E$119,$B$3)/H19</f>
        <v>2.4</v>
      </c>
      <c r="I21" s="16" t="n">
        <f aca="false">I18*INDEX(Assumptions!$C$119:$E$119,$B$3)/I19</f>
        <v>2.4</v>
      </c>
      <c r="J21" s="16" t="n">
        <f aca="false">J18*INDEX(Assumptions!$C$119:$E$119,$B$3)/J19</f>
        <v>2.4</v>
      </c>
      <c r="K21" s="16" t="n">
        <f aca="false">K18*INDEX(Assumptions!$C$119:$E$119,$B$3)/K19</f>
        <v>2.4</v>
      </c>
      <c r="L21" s="16" t="n">
        <f aca="false">L18*INDEX(Assumptions!$C$119:$E$119,$B$3)/L19</f>
        <v>2.4</v>
      </c>
      <c r="M21" s="16" t="n">
        <f aca="false">M18*INDEX(Assumptions!$C$119:$E$119,$B$3)/M19</f>
        <v>2.4</v>
      </c>
      <c r="N21" s="16" t="n">
        <f aca="false">N18*INDEX(Assumptions!$C$119:$E$119,$B$3)/N19</f>
        <v>2.4</v>
      </c>
      <c r="O21" s="38" t="n">
        <f aca="false">SUM(C21:N21)</f>
        <v>24.6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2.316625</v>
      </c>
      <c r="E24" s="38" t="n">
        <f aca="false">E10*(E14*$F$3+(E15-E14)*$F$3*E20+MIN(E16,E21*E20))*E22*E23</f>
        <v>2.57436666666667</v>
      </c>
      <c r="F24" s="38" t="n">
        <f aca="false">F10*(F14*$F$3+(F15-F14)*$F$3*F20+MIN(F16,F21*F20))*F22*F23</f>
        <v>3.4</v>
      </c>
      <c r="G24" s="38" t="n">
        <f aca="false">G10*(G14*$F$3+(G15-G14)*$F$3*G20+MIN(G16,G21*G20))*G22*G23</f>
        <v>4.35</v>
      </c>
      <c r="H24" s="38" t="n">
        <f aca="false">H10*(H14*$F$3+(H15-H14)*$F$3*H20+MIN(H16,H21*H20))*H22*H23</f>
        <v>4.81666666666667</v>
      </c>
      <c r="I24" s="38" t="n">
        <f aca="false">I10*(I14*$F$3+(I15-I14)*$F$3*I20+MIN(I16,I21*I20))*I22*I23</f>
        <v>6.24</v>
      </c>
      <c r="J24" s="38" t="n">
        <f aca="false">J10*(J14*$F$3+(J15-J14)*$F$3*J20+MIN(J16,J21*J20))*J22*J23</f>
        <v>6.48</v>
      </c>
      <c r="K24" s="38" t="n">
        <f aca="false">K10*(K14*$F$3+(K15-K14)*$F$3*K20+MIN(K16,K21*K20))*K22*K23</f>
        <v>6</v>
      </c>
      <c r="L24" s="38" t="n">
        <f aca="false">L10*(L14*$F$3+(L15-L14)*$F$3*L20+MIN(L16,L21*L20))*L22*L23</f>
        <v>5.28</v>
      </c>
      <c r="M24" s="38" t="n">
        <f aca="false">M10*(M14*$F$3+(M15-M14)*$F$3*M20+MIN(M16,M21*M20))*M22*M23</f>
        <v>5.04</v>
      </c>
      <c r="N24" s="38" t="n">
        <f aca="false">N10*(N14*$F$3+(N15-N14)*$F$3*N20+MIN(N16,N21*N20))*N22*N23</f>
        <v>4.8</v>
      </c>
      <c r="O24" s="17" t="n">
        <f aca="false">SUM(C24:N24)</f>
        <v>53.2976583333333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</v>
      </c>
      <c r="O26" s="41" t="n">
        <f aca="false">N26</f>
        <v>2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14.4</v>
      </c>
      <c r="J27" s="6" t="n">
        <f aca="false">J25*J26*INDEX(Assumptions!$C$220:$E$220,$B$3)</f>
        <v>14.4</v>
      </c>
      <c r="K27" s="6" t="n">
        <f aca="false">K25*K26*INDEX(Assumptions!$C$220:$E$220,$B$3)</f>
        <v>14.4</v>
      </c>
      <c r="L27" s="6" t="n">
        <f aca="false">L25*L26*INDEX(Assumptions!$C$220:$E$220,$B$3)</f>
        <v>14.4</v>
      </c>
      <c r="M27" s="6" t="n">
        <f aca="false">M25*M26*INDEX(Assumptions!$C$220:$E$220,$B$3)</f>
        <v>14.4</v>
      </c>
      <c r="N27" s="6" t="n">
        <f aca="false">N25*N26*INDEX(Assumptions!$C$220:$E$220,$B$3)</f>
        <v>14.4</v>
      </c>
      <c r="O27" s="41" t="n">
        <f aca="false">N27</f>
        <v>14.4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2.829975</v>
      </c>
      <c r="F31" s="6" t="n">
        <f aca="false">E34+D34+E37+D37+1.25*E35</f>
        <v>3.45259</v>
      </c>
      <c r="G31" s="6" t="n">
        <f aca="false">F34+E34+F37+E37+1.25*F35</f>
        <v>4.171539</v>
      </c>
      <c r="H31" s="6" t="n">
        <f aca="false">G34+F34+G37+F37+1.25*G35</f>
        <v>5.366924</v>
      </c>
      <c r="I31" s="6" t="n">
        <f aca="false">H34+G34+H37+G37+1.25*H35</f>
        <v>6.43</v>
      </c>
      <c r="J31" s="6" t="n">
        <f aca="false">I34+H34+I37+H37+1.25*I35</f>
        <v>7.734</v>
      </c>
      <c r="K31" s="6" t="n">
        <f aca="false">J34+I34+J37+I37+1.25*J35</f>
        <v>8.59780079681275</v>
      </c>
      <c r="L31" s="6" t="n">
        <f aca="false">K34+J34+K37+J37+1.25*K35</f>
        <v>8.00487893465055</v>
      </c>
      <c r="M31" s="6" t="n">
        <f aca="false">L34+K34+L37+K37+1.25*L35</f>
        <v>7.51901445744264</v>
      </c>
      <c r="N31" s="6" t="n">
        <f aca="false">M34+L34+M37+L37+1.25*M35</f>
        <v>7.44753631960484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2.556625</v>
      </c>
      <c r="E32" s="6" t="n">
        <f aca="false">E24*(INDEX(Assumptions!$C$26:$E$26,$B$3)*(1-E28)+(1-INDEX(Assumptions!$C$26:$E$26,$B$3)))+1.25*E30+D36*INDEX(Assumptions!$C$89:$E$89,$B$3)</f>
        <v>2.85236166666667</v>
      </c>
      <c r="F32" s="6" t="n">
        <f aca="false">F24*(INDEX(Assumptions!$C$26:$E$26,$B$3)*(1-F28)+(1-INDEX(Assumptions!$C$26:$E$26,$B$3)))+1.25*F30+E36*INDEX(Assumptions!$C$89:$E$89,$B$3)</f>
        <v>3.708924</v>
      </c>
      <c r="G32" s="6" t="n">
        <f aca="false">G24*(INDEX(Assumptions!$C$26:$E$26,$B$3)*(1-G28)+(1-INDEX(Assumptions!$C$26:$E$26,$B$3)))+1.25*G30+F36*INDEX(Assumptions!$C$89:$E$89,$B$3)</f>
        <v>4.758</v>
      </c>
      <c r="H32" s="6" t="n">
        <f aca="false">H24*(INDEX(Assumptions!$C$26:$E$26,$B$3)*(1-H28)+(1-INDEX(Assumptions!$C$26:$E$26,$B$3)))+1.25*H30+G36*INDEX(Assumptions!$C$89:$E$89,$B$3)</f>
        <v>5.33866666666667</v>
      </c>
      <c r="I32" s="6" t="n">
        <f aca="false">I24*(INDEX(Assumptions!$C$26:$E$26,$B$3)*(1-I28)+(1-INDEX(Assumptions!$C$26:$E$26,$B$3)))+1.25*I30+H36*INDEX(Assumptions!$C$89:$E$89,$B$3)</f>
        <v>6.818</v>
      </c>
      <c r="J32" s="6" t="n">
        <f aca="false">J24*(INDEX(Assumptions!$C$26:$E$26,$B$3)*(1-J28)+(1-INDEX(Assumptions!$C$26:$E$26,$B$3)))+1.25*J30+I36*INDEX(Assumptions!$C$89:$E$89,$B$3)</f>
        <v>7.2288</v>
      </c>
      <c r="K32" s="6" t="n">
        <f aca="false">K24*(INDEX(Assumptions!$C$26:$E$26,$B$3)*(1-K28)+(1-INDEX(Assumptions!$C$26:$E$26,$B$3)))+1.25*K30+J36*INDEX(Assumptions!$C$89:$E$89,$B$3)</f>
        <v>6.71705976095618</v>
      </c>
      <c r="L32" s="6" t="n">
        <f aca="false">L24*(INDEX(Assumptions!$C$26:$E$26,$B$3)*(1-L28)+(1-INDEX(Assumptions!$C$26:$E$26,$B$3)))+1.25*L30+K36*INDEX(Assumptions!$C$89:$E$89,$B$3)</f>
        <v>5.90193631960484</v>
      </c>
      <c r="M32" s="6" t="n">
        <f aca="false">M24*(INDEX(Assumptions!$C$26:$E$26,$B$3)*(1-M28)+(1-INDEX(Assumptions!$C$26:$E$26,$B$3)))+1.25*M30+L36*INDEX(Assumptions!$C$89:$E$89,$B$3)</f>
        <v>5.6736</v>
      </c>
      <c r="N32" s="6" t="n">
        <f aca="false">N24*(INDEX(Assumptions!$C$26:$E$26,$B$3)*(1-N28)+(1-INDEX(Assumptions!$C$26:$E$26,$B$3)))+1.25*N30+M36*INDEX(Assumptions!$C$89:$E$89,$B$3)</f>
        <v>5.4048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0.922144754316069</v>
      </c>
      <c r="K33" s="8" t="n">
        <f aca="false">IF(K32&lt;=0,1,MAX(0,MIN(1,(K27-K31)/K32)))</f>
        <v>0.863800443895605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0.863800443895605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1.389975</v>
      </c>
      <c r="E34" s="38" t="n">
        <f aca="false">E24*INDEX(Assumptions!$C$26:$E$26,$B$3)*(1-E28)*E33</f>
        <v>1.54462</v>
      </c>
      <c r="F34" s="38" t="n">
        <f aca="false">F24*INDEX(Assumptions!$C$26:$E$26,$B$3)*(1-F28)*F33</f>
        <v>2.04</v>
      </c>
      <c r="G34" s="38" t="n">
        <f aca="false">G24*INDEX(Assumptions!$C$26:$E$26,$B$3)*(1-G28)*G33</f>
        <v>2.61</v>
      </c>
      <c r="H34" s="38" t="n">
        <f aca="false">H24*INDEX(Assumptions!$C$26:$E$26,$B$3)*(1-H28)*H33</f>
        <v>2.89</v>
      </c>
      <c r="I34" s="38" t="n">
        <f aca="false">I24*INDEX(Assumptions!$C$26:$E$26,$B$3)*(1-I28)*I33</f>
        <v>3.744</v>
      </c>
      <c r="J34" s="38" t="n">
        <f aca="false">J24*INDEX(Assumptions!$C$26:$E$26,$B$3)*(1-J28)*J33</f>
        <v>3.58529880478088</v>
      </c>
      <c r="K34" s="38" t="n">
        <f aca="false">K24*INDEX(Assumptions!$C$26:$E$26,$B$3)*(1-K28)*K33</f>
        <v>3.10968159802418</v>
      </c>
      <c r="L34" s="38" t="n">
        <f aca="false">L24*INDEX(Assumptions!$C$26:$E$26,$B$3)*(1-L28)*L33</f>
        <v>3.168</v>
      </c>
      <c r="M34" s="38" t="n">
        <f aca="false">M24*INDEX(Assumptions!$C$26:$E$26,$B$3)*(1-M28)*M33</f>
        <v>3.024</v>
      </c>
      <c r="N34" s="38" t="n">
        <f aca="false">N24*INDEX(Assumptions!$C$26:$E$26,$B$3)*(1-N28)*N33</f>
        <v>2.88</v>
      </c>
      <c r="O34" s="17" t="n">
        <f aca="false">SUM(C34:N34)</f>
        <v>31.1855754028051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0.92665</v>
      </c>
      <c r="E36" s="16" t="n">
        <f aca="false">E24*(1-INDEX(Assumptions!$C$26:$E$26,$B$3))*E33</f>
        <v>1.02974666666667</v>
      </c>
      <c r="F36" s="16" t="n">
        <f aca="false">F24*(1-INDEX(Assumptions!$C$26:$E$26,$B$3))*F33</f>
        <v>1.36</v>
      </c>
      <c r="G36" s="16" t="n">
        <f aca="false">G24*(1-INDEX(Assumptions!$C$26:$E$26,$B$3))*G33</f>
        <v>1.74</v>
      </c>
      <c r="H36" s="16" t="n">
        <f aca="false">H24*(1-INDEX(Assumptions!$C$26:$E$26,$B$3))*H33</f>
        <v>1.92666666666667</v>
      </c>
      <c r="I36" s="16" t="n">
        <f aca="false">I24*(1-INDEX(Assumptions!$C$26:$E$26,$B$3))*I33</f>
        <v>2.496</v>
      </c>
      <c r="J36" s="16" t="n">
        <f aca="false">J24*(1-INDEX(Assumptions!$C$26:$E$26,$B$3))*J33</f>
        <v>2.39019920318725</v>
      </c>
      <c r="K36" s="16" t="n">
        <f aca="false">K24*(1-INDEX(Assumptions!$C$26:$E$26,$B$3))*K33</f>
        <v>2.07312106534945</v>
      </c>
      <c r="L36" s="16" t="n">
        <f aca="false">L24*(1-INDEX(Assumptions!$C$26:$E$26,$B$3))*L33</f>
        <v>2.112</v>
      </c>
      <c r="M36" s="16" t="n">
        <f aca="false">M24*(1-INDEX(Assumptions!$C$26:$E$26,$B$3))*M33</f>
        <v>2.016</v>
      </c>
      <c r="N36" s="16" t="n">
        <f aca="false">N24*(1-INDEX(Assumptions!$C$26:$E$26,$B$3))*N33</f>
        <v>1.92</v>
      </c>
      <c r="O36" s="38" t="n">
        <f aca="false">SUM(C36:N36)</f>
        <v>20.79038360187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0.277995</v>
      </c>
      <c r="F37" s="16" t="n">
        <f aca="false">E36*INDEX(Assumptions!$C$89:$E$89,$B$3)*F33</f>
        <v>0.308924</v>
      </c>
      <c r="G37" s="16" t="n">
        <f aca="false">F36*INDEX(Assumptions!$C$89:$E$89,$B$3)*G33</f>
        <v>0.408</v>
      </c>
      <c r="H37" s="16" t="n">
        <f aca="false">G36*INDEX(Assumptions!$C$89:$E$89,$B$3)*H33</f>
        <v>0.522</v>
      </c>
      <c r="I37" s="16" t="n">
        <f aca="false">H36*INDEX(Assumptions!$C$89:$E$89,$B$3)*I33</f>
        <v>0.578</v>
      </c>
      <c r="J37" s="16" t="n">
        <f aca="false">I36*INDEX(Assumptions!$C$89:$E$89,$B$3)*J33</f>
        <v>0.690501992031873</v>
      </c>
      <c r="K37" s="16" t="n">
        <f aca="false">J36*INDEX(Assumptions!$C$89:$E$89,$B$3)*K33</f>
        <v>0.619396539813621</v>
      </c>
      <c r="L37" s="16" t="n">
        <f aca="false">K36*INDEX(Assumptions!$C$89:$E$89,$B$3)*L33</f>
        <v>0.621936319604836</v>
      </c>
      <c r="M37" s="16" t="n">
        <f aca="false">L36*INDEX(Assumptions!$C$89:$E$89,$B$3)*M33</f>
        <v>0.6336</v>
      </c>
      <c r="N37" s="16" t="n">
        <f aca="false">M36*INDEX(Assumptions!$C$89:$E$89,$B$3)*N33</f>
        <v>0.6048</v>
      </c>
      <c r="O37" s="38" t="n">
        <f aca="false">SUM(C37:N37)</f>
        <v>5.50515385145033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2.316625</v>
      </c>
      <c r="E38" s="38" t="n">
        <f aca="false">E34+E35+E36</f>
        <v>2.57436666666667</v>
      </c>
      <c r="F38" s="38" t="n">
        <f aca="false">F34+F35+F36</f>
        <v>3.4</v>
      </c>
      <c r="G38" s="38" t="n">
        <f aca="false">G34+G35+G36</f>
        <v>4.35</v>
      </c>
      <c r="H38" s="38" t="n">
        <f aca="false">H34+H35+H36</f>
        <v>4.81666666666667</v>
      </c>
      <c r="I38" s="38" t="n">
        <f aca="false">I34+I35+I36</f>
        <v>6.24</v>
      </c>
      <c r="J38" s="38" t="n">
        <f aca="false">J34+J35+J36</f>
        <v>5.97549800796813</v>
      </c>
      <c r="K38" s="38" t="n">
        <f aca="false">K34+K35+K36</f>
        <v>5.18280266337363</v>
      </c>
      <c r="L38" s="38" t="n">
        <f aca="false">L34+L35+L36</f>
        <v>5.28</v>
      </c>
      <c r="M38" s="38" t="n">
        <f aca="false">M34+M35+M36</f>
        <v>5.04</v>
      </c>
      <c r="N38" s="38" t="n">
        <f aca="false">N34+N35+N36</f>
        <v>4.8</v>
      </c>
      <c r="O38" s="17" t="n">
        <f aca="false">SUM(C38:N38)</f>
        <v>51.9759590046751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2.316625</v>
      </c>
      <c r="E39" s="16" t="n">
        <f aca="false">IF(3&lt;IF($Q$3=1,$Q$4+1,INDEX(Assumptions!$C$215:$E$215,$D$3)),E24,E38)</f>
        <v>2.57436666666667</v>
      </c>
      <c r="F39" s="16" t="n">
        <f aca="false">IF(4&lt;IF($Q$3=1,$Q$4+1,INDEX(Assumptions!$C$215:$E$215,$D$3)),F24,F38)</f>
        <v>3.4</v>
      </c>
      <c r="G39" s="16" t="n">
        <f aca="false">IF(5&lt;IF($Q$3=1,$Q$4+1,INDEX(Assumptions!$C$215:$E$215,$D$3)),G24,G38)</f>
        <v>4.35</v>
      </c>
      <c r="H39" s="16" t="n">
        <f aca="false">IF(6&lt;IF($Q$3=1,$Q$4+1,INDEX(Assumptions!$C$215:$E$215,$D$3)),H24,H38)</f>
        <v>4.81666666666667</v>
      </c>
      <c r="I39" s="16" t="n">
        <f aca="false">IF(7&lt;IF($Q$3=1,$Q$4+1,INDEX(Assumptions!$C$215:$E$215,$D$3)),I24,I38)</f>
        <v>6.24</v>
      </c>
      <c r="J39" s="16" t="n">
        <f aca="false">IF(8&lt;IF($Q$3=1,$Q$4+1,INDEX(Assumptions!$C$215:$E$215,$D$3)),J24,J38)</f>
        <v>6.48</v>
      </c>
      <c r="K39" s="16" t="n">
        <f aca="false">IF(9&lt;IF($Q$3=1,$Q$4+1,INDEX(Assumptions!$C$215:$E$215,$D$3)),K24,K38)</f>
        <v>6</v>
      </c>
      <c r="L39" s="16" t="n">
        <f aca="false">IF(10&lt;IF($Q$3=1,$Q$4+1,INDEX(Assumptions!$C$215:$E$215,$D$3)),L24,L38)</f>
        <v>5.28</v>
      </c>
      <c r="M39" s="16" t="n">
        <f aca="false">IF(11&lt;IF($Q$3=1,$Q$4+1,INDEX(Assumptions!$C$215:$E$215,$D$3)),M24,M38)</f>
        <v>5.04</v>
      </c>
      <c r="N39" s="16" t="n">
        <f aca="false">IF(12&lt;IF($Q$3=1,$Q$4+1,INDEX(Assumptions!$C$215:$E$215,$D$3)),N24,N38)</f>
        <v>4.8</v>
      </c>
      <c r="O39" s="38" t="n">
        <f aca="false">SUM(C39:N39)</f>
        <v>53.2976583333333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0.57915625</v>
      </c>
      <c r="E40" s="16" t="n">
        <f aca="false">E38*INDEX(Assumptions!$C$74:$E$74,$B$3)</f>
        <v>0.643591666666667</v>
      </c>
      <c r="F40" s="16" t="n">
        <f aca="false">F38*INDEX(Assumptions!$C$74:$E$74,$B$3)</f>
        <v>0.85</v>
      </c>
      <c r="G40" s="16" t="n">
        <f aca="false">G38*INDEX(Assumptions!$C$74:$E$74,$B$3)</f>
        <v>1.0875</v>
      </c>
      <c r="H40" s="16" t="n">
        <f aca="false">H38*INDEX(Assumptions!$C$74:$E$74,$B$3)</f>
        <v>1.20416666666667</v>
      </c>
      <c r="I40" s="16" t="n">
        <f aca="false">I38*INDEX(Assumptions!$C$74:$E$74,$B$3)</f>
        <v>1.56</v>
      </c>
      <c r="J40" s="16" t="n">
        <f aca="false">J38*INDEX(Assumptions!$C$74:$E$74,$B$3)</f>
        <v>1.49387450199203</v>
      </c>
      <c r="K40" s="16" t="n">
        <f aca="false">K38*INDEX(Assumptions!$C$74:$E$74,$B$3)</f>
        <v>1.29570066584341</v>
      </c>
      <c r="L40" s="16" t="n">
        <f aca="false">L38*INDEX(Assumptions!$C$74:$E$74,$B$3)</f>
        <v>1.32</v>
      </c>
      <c r="M40" s="16" t="n">
        <f aca="false">M38*INDEX(Assumptions!$C$74:$E$74,$B$3)</f>
        <v>1.26</v>
      </c>
      <c r="N40" s="16" t="n">
        <f aca="false">N38*INDEX(Assumptions!$C$74:$E$74,$B$3)</f>
        <v>1.2</v>
      </c>
      <c r="O40" s="38" t="n">
        <f aca="false">SUM(C40:N40)</f>
        <v>12.9939897511688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</v>
      </c>
      <c r="E41" s="16" t="n">
        <f aca="false">E10*MIN(E16,E21*E20)*E22*E23*E33</f>
        <v>0.84</v>
      </c>
      <c r="F41" s="16" t="n">
        <f aca="false">F10*MIN(F16,F21*F20)*F22*F23*F33</f>
        <v>1.44</v>
      </c>
      <c r="G41" s="16" t="n">
        <f aca="false">G10*MIN(G16,G21*G20)*G22*G23*G33</f>
        <v>2.16</v>
      </c>
      <c r="H41" s="16" t="n">
        <f aca="false">H10*MIN(H16,H21*H20)*H22*H23*H33</f>
        <v>2.4</v>
      </c>
      <c r="I41" s="16" t="n">
        <f aca="false">I10*MIN(I16,I21*I20)*I22*I23*I33</f>
        <v>3.12</v>
      </c>
      <c r="J41" s="16" t="n">
        <f aca="false">J10*MIN(J16,J21*J20)*J22*J23*J33</f>
        <v>2.98774900398406</v>
      </c>
      <c r="K41" s="16" t="n">
        <f aca="false">K10*MIN(K16,K21*K20)*K22*K23*K33</f>
        <v>2.59140133168682</v>
      </c>
      <c r="L41" s="16" t="n">
        <f aca="false">L10*MIN(L16,L21*L20)*L22*L23*L33</f>
        <v>2.64</v>
      </c>
      <c r="M41" s="16" t="n">
        <f aca="false">M10*MIN(M16,M21*M20)*M22*M23*M33</f>
        <v>2.52</v>
      </c>
      <c r="N41" s="16" t="n">
        <f aca="false">N10*MIN(N16,N21*N20)*N22*N23*N33</f>
        <v>2.4</v>
      </c>
      <c r="O41" s="38" t="n">
        <f aca="false">SUM(C41:N41)</f>
        <v>23.5491503356709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3.756625</v>
      </c>
      <c r="E42" s="6" t="n">
        <f aca="false">E31+E34+E37+E36+1.25*E35</f>
        <v>5.68233666666667</v>
      </c>
      <c r="F42" s="6" t="n">
        <f aca="false">F31+F34+F37+F36+1.25*F35</f>
        <v>7.161514</v>
      </c>
      <c r="G42" s="6" t="n">
        <f aca="false">G31+G34+G37+G36+1.25*G35</f>
        <v>8.929539</v>
      </c>
      <c r="H42" s="6" t="n">
        <f aca="false">H31+H34+H37+H36+1.25*H35</f>
        <v>10.7055906666667</v>
      </c>
      <c r="I42" s="6" t="n">
        <f aca="false">I31+I34+I37+I36+1.25*I35</f>
        <v>13.248</v>
      </c>
      <c r="J42" s="6" t="n">
        <f aca="false">J31+J34+J37+J36+1.25*J35</f>
        <v>14.4</v>
      </c>
      <c r="K42" s="6" t="n">
        <f aca="false">K31+K34+K37+K36+1.25*K35</f>
        <v>14.4</v>
      </c>
      <c r="L42" s="6" t="n">
        <f aca="false">L31+L34+L37+L36+1.25*L35</f>
        <v>13.9068152542554</v>
      </c>
      <c r="M42" s="6" t="n">
        <f aca="false">M31+M34+M37+M36+1.25*M35</f>
        <v>13.1926144574426</v>
      </c>
      <c r="N42" s="6" t="n">
        <f aca="false">N31+N34+N37+N36+1.25*N35</f>
        <v>12.8523363196048</v>
      </c>
      <c r="O42" s="41" t="n">
        <f aca="false">AVERAGE(C42:N42)</f>
        <v>10.0196142803864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0.2347890625</v>
      </c>
      <c r="E43" s="39" t="n">
        <f aca="false">E42/(E25*E26)</f>
        <v>0.355146041666667</v>
      </c>
      <c r="F43" s="39" t="n">
        <f aca="false">F42/(F25*F26)</f>
        <v>0.447594625</v>
      </c>
      <c r="G43" s="39" t="n">
        <f aca="false">G42/(G25*G26)</f>
        <v>0.5580961875</v>
      </c>
      <c r="H43" s="39" t="n">
        <f aca="false">H42/(H25*H26)</f>
        <v>0.669099416666667</v>
      </c>
      <c r="I43" s="39" t="n">
        <f aca="false">I42/(I25*I26)</f>
        <v>0.828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0.869175953390961</v>
      </c>
      <c r="M43" s="39" t="n">
        <f aca="false">M42/(M25*M26)</f>
        <v>0.824538403590165</v>
      </c>
      <c r="N43" s="39" t="n">
        <f aca="false">N42/(N25*N26)</f>
        <v>0.803271019975302</v>
      </c>
      <c r="O43" s="9" t="n">
        <f aca="false">N43</f>
        <v>0.803271019975302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2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1.7</v>
      </c>
      <c r="F46" s="6" t="n">
        <f aca="false">IF(4&gt;=3,INDEX(Assumptions!$C$234:$E$234,F$9)*INDEX(Assumptions!$C$235:$E$235,$B$3)*MIN(1,(4-2)/6),0)*$F$3*F22*$W$3</f>
        <v>3.4</v>
      </c>
      <c r="G46" s="6" t="n">
        <f aca="false">IF(5&gt;=3,INDEX(Assumptions!$C$234:$E$234,G$9)*INDEX(Assumptions!$C$235:$E$235,$B$3)*MIN(1,(5-2)/6),0)*$F$3*G22*$W$3</f>
        <v>5.1</v>
      </c>
      <c r="H46" s="6" t="n">
        <f aca="false">IF(6&gt;=3,INDEX(Assumptions!$C$234:$E$234,H$9)*INDEX(Assumptions!$C$235:$E$235,$B$3)*MIN(1,(6-2)/6),0)*$F$3*H22*$W$3</f>
        <v>6.8</v>
      </c>
      <c r="I46" s="6" t="n">
        <f aca="false">IF(7&gt;=3,INDEX(Assumptions!$C$234:$E$234,I$9)*INDEX(Assumptions!$C$235:$E$235,$B$3)*MIN(1,(7-2)/6),0)*$F$3*I22*$W$3</f>
        <v>8.5</v>
      </c>
      <c r="J46" s="6" t="n">
        <f aca="false">IF(8&gt;=3,INDEX(Assumptions!$C$234:$E$234,J$9)*INDEX(Assumptions!$C$235:$E$235,$B$3)*MIN(1,(8-2)/6),0)*$F$3*J22*$W$3</f>
        <v>10.2</v>
      </c>
      <c r="K46" s="6" t="n">
        <f aca="false">IF(9&gt;=3,INDEX(Assumptions!$C$234:$E$234,K$9)*INDEX(Assumptions!$C$235:$E$235,$B$3)*MIN(1,(9-2)/6),0)*$F$3*K22*$W$3</f>
        <v>10.2</v>
      </c>
      <c r="L46" s="6" t="n">
        <f aca="false">IF(10&gt;=3,INDEX(Assumptions!$C$234:$E$234,L$9)*INDEX(Assumptions!$C$235:$E$235,$B$3)*MIN(1,(10-2)/6),0)*$F$3*L22*$W$3</f>
        <v>10.2</v>
      </c>
      <c r="M46" s="6" t="n">
        <f aca="false">IF(11&gt;=3,INDEX(Assumptions!$C$234:$E$234,M$9)*INDEX(Assumptions!$C$235:$E$235,$B$3)*MIN(1,(11-2)/6),0)*$F$3*M22*$W$3</f>
        <v>10.2</v>
      </c>
      <c r="N46" s="6" t="n">
        <f aca="false">IF(12&gt;=3,INDEX(Assumptions!$C$234:$E$234,N$9)*INDEX(Assumptions!$C$235:$E$235,$B$3)*MIN(1,(12-2)/6),0)*$F$3*N22*$W$3</f>
        <v>10.2</v>
      </c>
      <c r="O46" s="41" t="n">
        <f aca="false">SUM(C46:N46)</f>
        <v>76.5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4.66666666666667</v>
      </c>
      <c r="D47" s="6" t="n">
        <f aca="false">INDEX(Assumptions!$C$236:$E$236,D$9)*D11*MIN(1,2/3)*$F$3*D22</f>
        <v>8</v>
      </c>
      <c r="E47" s="6" t="n">
        <f aca="false">INDEX(Assumptions!$C$236:$E$236,E$9)*E11*MIN(1,3/3)*$F$3*E22</f>
        <v>12</v>
      </c>
      <c r="F47" s="6" t="n">
        <f aca="false">INDEX(Assumptions!$C$236:$E$236,F$9)*F11*MIN(1,4/3)*$F$3*F22</f>
        <v>13</v>
      </c>
      <c r="G47" s="6" t="n">
        <f aca="false">INDEX(Assumptions!$C$236:$E$236,G$9)*G11*MIN(1,5/3)*$F$3*G22</f>
        <v>9</v>
      </c>
      <c r="H47" s="6" t="n">
        <f aca="false">INDEX(Assumptions!$C$236:$E$236,H$9)*H11*MIN(1,6/3)*$F$3*H22</f>
        <v>8</v>
      </c>
      <c r="I47" s="6" t="n">
        <f aca="false">INDEX(Assumptions!$C$236:$E$236,I$9)*I11*MIN(1,7/3)*$F$3*I22</f>
        <v>7</v>
      </c>
      <c r="J47" s="6" t="n">
        <f aca="false">INDEX(Assumptions!$C$236:$E$236,J$9)*J11*MIN(1,8/3)*$F$3*J22</f>
        <v>6</v>
      </c>
      <c r="K47" s="6" t="n">
        <f aca="false">INDEX(Assumptions!$C$236:$E$236,K$9)*K11*MIN(1,9/3)*$F$3*K22</f>
        <v>6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106.666666666667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2.17319418386492</v>
      </c>
      <c r="E48" s="6" t="n">
        <f aca="false">E24*INDEX(Assumptions!$C$31:$E$31,$B$3)/(INDEX(Assumptions!$C$56:$E$56,$B$3)*INDEX(Assumptions!$C$57:$E$57,$B$3)*INDEX(Assumptions!$C$58:$E$58,$B$3))</f>
        <v>2.41497811131958</v>
      </c>
      <c r="F48" s="6" t="n">
        <f aca="false">F24*INDEX(Assumptions!$C$31:$E$31,$B$3)/(INDEX(Assumptions!$C$56:$E$56,$B$3)*INDEX(Assumptions!$C$57:$E$57,$B$3)*INDEX(Assumptions!$C$58:$E$58,$B$3))</f>
        <v>3.18949343339587</v>
      </c>
      <c r="G48" s="6" t="n">
        <f aca="false">G24*INDEX(Assumptions!$C$31:$E$31,$B$3)/(INDEX(Assumptions!$C$56:$E$56,$B$3)*INDEX(Assumptions!$C$57:$E$57,$B$3)*INDEX(Assumptions!$C$58:$E$58,$B$3))</f>
        <v>4.08067542213884</v>
      </c>
      <c r="H48" s="6" t="n">
        <f aca="false">H24*INDEX(Assumptions!$C$31:$E$31,$B$3)/(INDEX(Assumptions!$C$56:$E$56,$B$3)*INDEX(Assumptions!$C$57:$E$57,$B$3)*INDEX(Assumptions!$C$58:$E$58,$B$3))</f>
        <v>4.51844903064415</v>
      </c>
      <c r="I48" s="6" t="n">
        <f aca="false">I24*INDEX(Assumptions!$C$31:$E$31,$B$3)/(INDEX(Assumptions!$C$56:$E$56,$B$3)*INDEX(Assumptions!$C$57:$E$57,$B$3)*INDEX(Assumptions!$C$58:$E$58,$B$3))</f>
        <v>5.85365853658537</v>
      </c>
      <c r="J48" s="6" t="n">
        <f aca="false">J24*INDEX(Assumptions!$C$31:$E$31,$B$3)/(INDEX(Assumptions!$C$56:$E$56,$B$3)*INDEX(Assumptions!$C$57:$E$57,$B$3)*INDEX(Assumptions!$C$58:$E$58,$B$3))</f>
        <v>6.07879924953096</v>
      </c>
      <c r="K48" s="6" t="n">
        <f aca="false">K24*INDEX(Assumptions!$C$31:$E$31,$B$3)/(INDEX(Assumptions!$C$56:$E$56,$B$3)*INDEX(Assumptions!$C$57:$E$57,$B$3)*INDEX(Assumptions!$C$58:$E$58,$B$3))</f>
        <v>5.62851782363978</v>
      </c>
      <c r="L48" s="6" t="n">
        <f aca="false">L24*INDEX(Assumptions!$C$31:$E$31,$B$3)/(INDEX(Assumptions!$C$56:$E$56,$B$3)*INDEX(Assumptions!$C$57:$E$57,$B$3)*INDEX(Assumptions!$C$58:$E$58,$B$3))</f>
        <v>4.953095684803</v>
      </c>
      <c r="M48" s="6" t="n">
        <f aca="false">M24*INDEX(Assumptions!$C$31:$E$31,$B$3)/(INDEX(Assumptions!$C$56:$E$56,$B$3)*INDEX(Assumptions!$C$57:$E$57,$B$3)*INDEX(Assumptions!$C$58:$E$58,$B$3))</f>
        <v>4.72795497185741</v>
      </c>
      <c r="N48" s="6" t="n">
        <f aca="false">N24*INDEX(Assumptions!$C$31:$E$31,$B$3)/(INDEX(Assumptions!$C$56:$E$56,$B$3)*INDEX(Assumptions!$C$57:$E$57,$B$3)*INDEX(Assumptions!$C$58:$E$58,$B$3))</f>
        <v>4.50281425891182</v>
      </c>
      <c r="O48" s="41" t="n">
        <f aca="false">SUM(C48:N48)</f>
        <v>49.9978033145716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0.119</v>
      </c>
      <c r="F51" s="16" t="n">
        <f aca="false">F46*0.7*INDEX(Assumptions!$C$73:$E$73,$B$3)</f>
        <v>0.238</v>
      </c>
      <c r="G51" s="16" t="n">
        <f aca="false">G46*0.7*INDEX(Assumptions!$C$73:$E$73,$B$3)</f>
        <v>0.357</v>
      </c>
      <c r="H51" s="16" t="n">
        <f aca="false">H46*0.7*INDEX(Assumptions!$C$73:$E$73,$B$3)</f>
        <v>0.476</v>
      </c>
      <c r="I51" s="16" t="n">
        <f aca="false">I46*0.7*INDEX(Assumptions!$C$73:$E$73,$B$3)</f>
        <v>0.595</v>
      </c>
      <c r="J51" s="16" t="n">
        <f aca="false">J46*0.7*INDEX(Assumptions!$C$73:$E$73,$B$3)</f>
        <v>0.714</v>
      </c>
      <c r="K51" s="16" t="n">
        <f aca="false">K46*0.7*INDEX(Assumptions!$C$73:$E$73,$B$3)</f>
        <v>0.714</v>
      </c>
      <c r="L51" s="16" t="n">
        <f aca="false">L46*0.7*INDEX(Assumptions!$C$73:$E$73,$B$3)</f>
        <v>0.714</v>
      </c>
      <c r="M51" s="16" t="n">
        <f aca="false">M46*0.7*INDEX(Assumptions!$C$73:$E$73,$B$3)</f>
        <v>0.714</v>
      </c>
      <c r="N51" s="16" t="n">
        <f aca="false">N46*0.7*INDEX(Assumptions!$C$73:$E$73,$B$3)</f>
        <v>0.714</v>
      </c>
      <c r="O51" s="38" t="n">
        <f aca="false">SUM(C51:N51)</f>
        <v>5.355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70676.6949152542</v>
      </c>
      <c r="E56" s="10" t="n">
        <f aca="false">E34*E53/(1+INDEX(Assumptions!$C$15:$E$15,$B$3)*$H$4)</f>
        <v>78540</v>
      </c>
      <c r="F56" s="10" t="n">
        <f aca="false">F34*F53/(1+INDEX(Assumptions!$C$15:$E$15,$B$3)*$H$4)</f>
        <v>103728.813559322</v>
      </c>
      <c r="G56" s="10" t="n">
        <f aca="false">G34*G53/(1+INDEX(Assumptions!$C$15:$E$15,$B$3)*$H$4)</f>
        <v>132711.86440678</v>
      </c>
      <c r="H56" s="10" t="n">
        <f aca="false">H34*H53/(1+INDEX(Assumptions!$C$15:$E$15,$B$3)*$H$4)</f>
        <v>146949.152542373</v>
      </c>
      <c r="I56" s="10" t="n">
        <f aca="false">I34*I53/(1+INDEX(Assumptions!$C$15:$E$15,$B$3)*$H$4)</f>
        <v>253830.508474576</v>
      </c>
      <c r="J56" s="10" t="n">
        <f aca="false">J34*J53/(1+INDEX(Assumptions!$C$15:$E$15,$B$3)*$H$4)</f>
        <v>243071.105408873</v>
      </c>
      <c r="K56" s="10" t="n">
        <f aca="false">K34*K53/(1+INDEX(Assumptions!$C$15:$E$15,$B$3)*$H$4)</f>
        <v>210825.871052487</v>
      </c>
      <c r="L56" s="10" t="n">
        <f aca="false">L34*L53/(1+INDEX(Assumptions!$C$15:$E$15,$B$3)*$H$4)</f>
        <v>214779.661016949</v>
      </c>
      <c r="M56" s="10" t="n">
        <f aca="false">M34*M53/(1+INDEX(Assumptions!$C$15:$E$15,$B$3)*$H$4)</f>
        <v>205016.949152542</v>
      </c>
      <c r="N56" s="10" t="n">
        <f aca="false">N34*N53/(1+INDEX(Assumptions!$C$15:$E$15,$B$3)*$H$4)</f>
        <v>195254.237288136</v>
      </c>
      <c r="O56" s="40" t="n">
        <f aca="false">SUM(C56:N56)</f>
        <v>1916401.80696983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4735.33855932203</v>
      </c>
      <c r="F58" s="10" t="n">
        <f aca="false">F37*MAX(0,F53-INDEX(Assumptions!$C$18:$E$18,$B$3)*$H$3)/(1+INDEX(Assumptions!$C$15:$E$15,$B$3)*$H$4)</f>
        <v>5262.18</v>
      </c>
      <c r="G58" s="10" t="n">
        <f aca="false">G37*MAX(0,G53-INDEX(Assumptions!$C$18:$E$18,$B$3)*$H$3)/(1+INDEX(Assumptions!$C$15:$E$15,$B$3)*$H$4)</f>
        <v>6949.83050847458</v>
      </c>
      <c r="H58" s="10" t="n">
        <f aca="false">H37*MAX(0,H53-INDEX(Assumptions!$C$18:$E$18,$B$3)*$H$3)/(1+INDEX(Assumptions!$C$15:$E$15,$B$3)*$H$4)</f>
        <v>8891.69491525424</v>
      </c>
      <c r="I58" s="10" t="n">
        <f aca="false">I37*MAX(0,I53-INDEX(Assumptions!$C$18:$E$18,$B$3)*$H$3)/(1+INDEX(Assumptions!$C$15:$E$15,$B$3)*$H$4)</f>
        <v>19642.2033898305</v>
      </c>
      <c r="J58" s="10" t="n">
        <f aca="false">J37*MAX(0,J53-INDEX(Assumptions!$C$18:$E$18,$B$3)*$H$3)/(1+INDEX(Assumptions!$C$15:$E$15,$B$3)*$H$4)</f>
        <v>23465.3643054899</v>
      </c>
      <c r="K58" s="10" t="n">
        <f aca="false">K37*MAX(0,K53-INDEX(Assumptions!$C$18:$E$18,$B$3)*$H$3)/(1+INDEX(Assumptions!$C$15:$E$15,$B$3)*$H$4)</f>
        <v>21048.9841072256</v>
      </c>
      <c r="L58" s="10" t="n">
        <f aca="false">L37*MAX(0,L53-INDEX(Assumptions!$C$18:$E$18,$B$3)*$H$3)/(1+INDEX(Assumptions!$C$15:$E$15,$B$3)*$H$4)</f>
        <v>21135.2935730118</v>
      </c>
      <c r="M58" s="10" t="n">
        <f aca="false">M37*MAX(0,M53-INDEX(Assumptions!$C$18:$E$18,$B$3)*$H$3)/(1+INDEX(Assumptions!$C$15:$E$15,$B$3)*$H$4)</f>
        <v>21531.6610169492</v>
      </c>
      <c r="N58" s="10" t="n">
        <f aca="false">N37*MAX(0,N53-INDEX(Assumptions!$C$18:$E$18,$B$3)*$H$3)/(1+INDEX(Assumptions!$C$15:$E$15,$B$3)*$H$4)</f>
        <v>20552.9491525424</v>
      </c>
      <c r="O58" s="40" t="n">
        <f aca="false">SUM(C58:N58)</f>
        <v>157303.635121321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31333.3347457627</v>
      </c>
      <c r="E59" s="10" t="n">
        <f aca="false">E36*INDEX(Assumptions!$C$18:$E$18,$B$3)*$H$3/(1+INDEX(Assumptions!$C$15:$E$15,$B$3)*$H$4)</f>
        <v>34819.4</v>
      </c>
      <c r="F59" s="10" t="n">
        <f aca="false">F36*INDEX(Assumptions!$C$18:$E$18,$B$3)*$H$3/(1+INDEX(Assumptions!$C$15:$E$15,$B$3)*$H$4)</f>
        <v>45986.4406779661</v>
      </c>
      <c r="G59" s="10" t="n">
        <f aca="false">G36*INDEX(Assumptions!$C$18:$E$18,$B$3)*$H$3/(1+INDEX(Assumptions!$C$15:$E$15,$B$3)*$H$4)</f>
        <v>58835.593220339</v>
      </c>
      <c r="H59" s="10" t="n">
        <f aca="false">H36*INDEX(Assumptions!$C$18:$E$18,$B$3)*$H$3/(1+INDEX(Assumptions!$C$15:$E$15,$B$3)*$H$4)</f>
        <v>65147.4576271186</v>
      </c>
      <c r="I59" s="10" t="n">
        <f aca="false">I36*INDEX(Assumptions!$C$18:$E$18,$B$3)*$H$3/(1+INDEX(Assumptions!$C$15:$E$15,$B$3)*$H$4)</f>
        <v>84398.6440677966</v>
      </c>
      <c r="J59" s="10" t="n">
        <f aca="false">J36*INDEX(Assumptions!$C$18:$E$18,$B$3)*$H$3/(1+INDEX(Assumptions!$C$15:$E$15,$B$3)*$H$4)</f>
        <v>80821.1425484503</v>
      </c>
      <c r="K59" s="10" t="n">
        <f aca="false">K36*INDEX(Assumptions!$C$18:$E$18,$B$3)*$H$3/(1+INDEX(Assumptions!$C$15:$E$15,$B$3)*$H$4)</f>
        <v>70099.6021249518</v>
      </c>
      <c r="L59" s="10" t="n">
        <f aca="false">L36*INDEX(Assumptions!$C$18:$E$18,$B$3)*$H$3/(1+INDEX(Assumptions!$C$15:$E$15,$B$3)*$H$4)</f>
        <v>71414.2372881356</v>
      </c>
      <c r="M59" s="10" t="n">
        <f aca="false">M36*INDEX(Assumptions!$C$18:$E$18,$B$3)*$H$3/(1+INDEX(Assumptions!$C$15:$E$15,$B$3)*$H$4)</f>
        <v>68168.1355932204</v>
      </c>
      <c r="N59" s="10" t="n">
        <f aca="false">N36*INDEX(Assumptions!$C$18:$E$18,$B$3)*$H$3/(1+INDEX(Assumptions!$C$15:$E$15,$B$3)*$H$4)</f>
        <v>64922.0338983051</v>
      </c>
      <c r="O59" s="40" t="n">
        <f aca="false">SUM(C59:N59)</f>
        <v>702996.869249673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1643.72046795004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1826.59652814259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2412.41011861227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3086.46588704805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3417.58100136738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4427.48210004134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4597.76987311985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4257.19432696283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3746.33100772729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3576.04323464877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3405.75546157026</v>
      </c>
      <c r="O60" s="40" t="n">
        <f aca="false">SUM(C60:N60)</f>
        <v>37816.4147828449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14406.7796610169</v>
      </c>
      <c r="F61" s="10" t="n">
        <f aca="false">F46*INDEX(Assumptions!$C$21:$E$21,$B$3)*$H$3/(1+INDEX(Assumptions!$C$15:$E$15,$B$3)*$H$4)</f>
        <v>28813.5593220339</v>
      </c>
      <c r="G61" s="10" t="n">
        <f aca="false">G46*INDEX(Assumptions!$C$21:$E$21,$B$3)*$H$3/(1+INDEX(Assumptions!$C$15:$E$15,$B$3)*$H$4)</f>
        <v>43220.3389830509</v>
      </c>
      <c r="H61" s="10" t="n">
        <f aca="false">H46*INDEX(Assumptions!$C$21:$E$21,$B$3)*$H$3/(1+INDEX(Assumptions!$C$15:$E$15,$B$3)*$H$4)</f>
        <v>57627.1186440678</v>
      </c>
      <c r="I61" s="10" t="n">
        <f aca="false">I46*INDEX(Assumptions!$C$21:$E$21,$B$3)*$H$3/(1+INDEX(Assumptions!$C$15:$E$15,$B$3)*$H$4)</f>
        <v>72033.8983050848</v>
      </c>
      <c r="J61" s="10" t="n">
        <f aca="false">J46*INDEX(Assumptions!$C$21:$E$21,$B$3)*$H$3/(1+INDEX(Assumptions!$C$15:$E$15,$B$3)*$H$4)</f>
        <v>86440.6779661017</v>
      </c>
      <c r="K61" s="10" t="n">
        <f aca="false">K46*INDEX(Assumptions!$C$21:$E$21,$B$3)*$H$3/(1+INDEX(Assumptions!$C$15:$E$15,$B$3)*$H$4)</f>
        <v>86440.6779661017</v>
      </c>
      <c r="L61" s="10" t="n">
        <f aca="false">L46*INDEX(Assumptions!$C$21:$E$21,$B$3)*$H$3/(1+INDEX(Assumptions!$C$15:$E$15,$B$3)*$H$4)</f>
        <v>86440.6779661017</v>
      </c>
      <c r="M61" s="10" t="n">
        <f aca="false">M46*INDEX(Assumptions!$C$21:$E$21,$B$3)*$H$3/(1+INDEX(Assumptions!$C$15:$E$15,$B$3)*$H$4)</f>
        <v>86440.6779661017</v>
      </c>
      <c r="N61" s="10" t="n">
        <f aca="false">N46*INDEX(Assumptions!$C$21:$E$21,$B$3)*$H$3/(1+INDEX(Assumptions!$C$15:$E$15,$B$3)*$H$4)</f>
        <v>86440.6779661017</v>
      </c>
      <c r="O61" s="40" t="n">
        <f aca="false">SUM(C61:N61)</f>
        <v>648305.084745763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19770.0564971751</v>
      </c>
      <c r="D62" s="10" t="n">
        <f aca="false">D47*INDEX(Assumptions!$C$22:$E$22,$B$3)*$H$3/(1+INDEX(Assumptions!$C$15:$E$15,$B$3)*$H$4)</f>
        <v>33891.5254237288</v>
      </c>
      <c r="E62" s="10" t="n">
        <f aca="false">E47*INDEX(Assumptions!$C$22:$E$22,$B$3)*$H$3/(1+INDEX(Assumptions!$C$15:$E$15,$B$3)*$H$4)</f>
        <v>50837.2881355932</v>
      </c>
      <c r="F62" s="10" t="n">
        <f aca="false">F47*INDEX(Assumptions!$C$22:$E$22,$B$3)*$H$3/(1+INDEX(Assumptions!$C$15:$E$15,$B$3)*$H$4)</f>
        <v>55073.7288135593</v>
      </c>
      <c r="G62" s="10" t="n">
        <f aca="false">G47*INDEX(Assumptions!$C$22:$E$22,$B$3)*$H$3/(1+INDEX(Assumptions!$C$15:$E$15,$B$3)*$H$4)</f>
        <v>38127.9661016949</v>
      </c>
      <c r="H62" s="10" t="n">
        <f aca="false">H47*INDEX(Assumptions!$C$22:$E$22,$B$3)*$H$3/(1+INDEX(Assumptions!$C$15:$E$15,$B$3)*$H$4)</f>
        <v>33891.5254237288</v>
      </c>
      <c r="I62" s="10" t="n">
        <f aca="false">I47*INDEX(Assumptions!$C$22:$E$22,$B$3)*$H$3/(1+INDEX(Assumptions!$C$15:$E$15,$B$3)*$H$4)</f>
        <v>29655.0847457627</v>
      </c>
      <c r="J62" s="10" t="n">
        <f aca="false">J47*INDEX(Assumptions!$C$22:$E$22,$B$3)*$H$3/(1+INDEX(Assumptions!$C$15:$E$15,$B$3)*$H$4)</f>
        <v>25418.6440677966</v>
      </c>
      <c r="K62" s="10" t="n">
        <f aca="false">K47*INDEX(Assumptions!$C$22:$E$22,$B$3)*$H$3/(1+INDEX(Assumptions!$C$15:$E$15,$B$3)*$H$4)</f>
        <v>25418.6440677966</v>
      </c>
      <c r="L62" s="10" t="n">
        <f aca="false">L47*INDEX(Assumptions!$C$22:$E$22,$B$3)*$H$3/(1+INDEX(Assumptions!$C$15:$E$15,$B$3)*$H$4)</f>
        <v>33891.5254237288</v>
      </c>
      <c r="M62" s="10" t="n">
        <f aca="false">M47*INDEX(Assumptions!$C$22:$E$22,$B$3)*$H$3/(1+INDEX(Assumptions!$C$15:$E$15,$B$3)*$H$4)</f>
        <v>46600.8474576271</v>
      </c>
      <c r="N62" s="10" t="n">
        <f aca="false">N47*INDEX(Assumptions!$C$22:$E$22,$B$3)*$H$3/(1+INDEX(Assumptions!$C$15:$E$15,$B$3)*$H$4)</f>
        <v>59310.1694915254</v>
      </c>
      <c r="O62" s="40" t="n">
        <f aca="false">SUM(C62:N62)</f>
        <v>451887.005649718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1008.37372881356</v>
      </c>
      <c r="F64" s="10" t="n">
        <f aca="false">F51*INDEX(Assumptions!$C$23:$E$23,$B$3)/(1+INDEX(Assumptions!$C$15:$E$15,$B$3)*$H$4)</f>
        <v>2016.74745762712</v>
      </c>
      <c r="G64" s="10" t="n">
        <f aca="false">G51*INDEX(Assumptions!$C$23:$E$23,$B$3)/(1+INDEX(Assumptions!$C$15:$E$15,$B$3)*$H$4)</f>
        <v>3025.12118644068</v>
      </c>
      <c r="H64" s="10" t="n">
        <f aca="false">H51*INDEX(Assumptions!$C$23:$E$23,$B$3)/(1+INDEX(Assumptions!$C$15:$E$15,$B$3)*$H$4)</f>
        <v>4033.49491525424</v>
      </c>
      <c r="I64" s="10" t="n">
        <f aca="false">I51*INDEX(Assumptions!$C$23:$E$23,$B$3)/(1+INDEX(Assumptions!$C$15:$E$15,$B$3)*$H$4)</f>
        <v>5041.8686440678</v>
      </c>
      <c r="J64" s="10" t="n">
        <f aca="false">J51*INDEX(Assumptions!$C$23:$E$23,$B$3)/(1+INDEX(Assumptions!$C$15:$E$15,$B$3)*$H$4)</f>
        <v>6050.24237288136</v>
      </c>
      <c r="K64" s="10" t="n">
        <f aca="false">K51*INDEX(Assumptions!$C$23:$E$23,$B$3)/(1+INDEX(Assumptions!$C$15:$E$15,$B$3)*$H$4)</f>
        <v>6050.24237288136</v>
      </c>
      <c r="L64" s="10" t="n">
        <f aca="false">L51*INDEX(Assumptions!$C$23:$E$23,$B$3)/(1+INDEX(Assumptions!$C$15:$E$15,$B$3)*$H$4)</f>
        <v>6050.24237288136</v>
      </c>
      <c r="M64" s="10" t="n">
        <f aca="false">M51*INDEX(Assumptions!$C$23:$E$23,$B$3)/(1+INDEX(Assumptions!$C$15:$E$15,$B$3)*$H$4)</f>
        <v>6050.24237288136</v>
      </c>
      <c r="N64" s="10" t="n">
        <f aca="false">N51*INDEX(Assumptions!$C$23:$E$23,$B$3)/(1+INDEX(Assumptions!$C$15:$E$15,$B$3)*$H$4)</f>
        <v>6050.24237288136</v>
      </c>
      <c r="O64" s="40" t="n">
        <f aca="false">SUM(C64:N64)</f>
        <v>45376.8177966102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3594.24</v>
      </c>
      <c r="J65" s="10" t="n">
        <f aca="false">(J34+J35)*(1-J54)*INDEX(Assumptions!$C$90:$E$90,$B$3)</f>
        <v>3441.88685258964</v>
      </c>
      <c r="K65" s="10" t="n">
        <f aca="false">(K34+K35)*(1-K54)*INDEX(Assumptions!$C$90:$E$90,$B$3)</f>
        <v>2985.29433410321</v>
      </c>
      <c r="L65" s="10" t="n">
        <f aca="false">(L34+L35)*(1-L54)*INDEX(Assumptions!$C$90:$E$90,$B$3)</f>
        <v>3041.28</v>
      </c>
      <c r="M65" s="10" t="n">
        <f aca="false">(M34+M35)*(1-M54)*INDEX(Assumptions!$C$90:$E$90,$B$3)</f>
        <v>2903.04</v>
      </c>
      <c r="N65" s="10" t="n">
        <f aca="false">(N34+N35)*(1-N54)*INDEX(Assumptions!$C$90:$E$90,$B$3)</f>
        <v>2764.8</v>
      </c>
      <c r="O65" s="40" t="n">
        <f aca="false">SUM(C65:N65)</f>
        <v>18730.5411866929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109256.917882999</v>
      </c>
      <c r="D66" s="40" t="n">
        <f aca="false">SUM(D56:D65)</f>
        <v>141633.411145916</v>
      </c>
      <c r="E66" s="40" t="n">
        <f aca="false">SUM(E56:E65)</f>
        <v>186173.776612888</v>
      </c>
      <c r="F66" s="40" t="n">
        <f aca="false">SUM(F56:F65)</f>
        <v>243293.879949121</v>
      </c>
      <c r="G66" s="40" t="n">
        <f aca="false">SUM(G56:G65)</f>
        <v>285957.180293828</v>
      </c>
      <c r="H66" s="40" t="n">
        <f aca="false">SUM(H56:H65)</f>
        <v>319958.025069164</v>
      </c>
      <c r="I66" s="40" t="n">
        <f aca="false">SUM(I56:I65)</f>
        <v>472623.92972716</v>
      </c>
      <c r="J66" s="40" t="n">
        <f aca="false">SUM(J56:J65)</f>
        <v>473306.833395302</v>
      </c>
      <c r="K66" s="40" t="n">
        <f aca="false">SUM(K56:K65)</f>
        <v>427126.51035251</v>
      </c>
      <c r="L66" s="40" t="n">
        <f aca="false">SUM(L56:L65)</f>
        <v>440499.248648536</v>
      </c>
      <c r="M66" s="40" t="n">
        <f aca="false">SUM(M56:M65)</f>
        <v>440287.596793971</v>
      </c>
      <c r="N66" s="40" t="n">
        <f aca="false">SUM(N56:N65)</f>
        <v>438700.865631062</v>
      </c>
      <c r="O66" s="11" t="n">
        <f aca="false">SUM(C66:N66)</f>
        <v>3978818.17550246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106098.165254237</v>
      </c>
      <c r="E67" s="10" t="n">
        <f aca="false">E56+E57+E58+E59</f>
        <v>118094.738559322</v>
      </c>
      <c r="F67" s="10" t="n">
        <f aca="false">F56+F57+F58+F59</f>
        <v>154977.434237288</v>
      </c>
      <c r="G67" s="10" t="n">
        <f aca="false">G56+G57+G58+G59</f>
        <v>198497.288135593</v>
      </c>
      <c r="H67" s="10" t="n">
        <f aca="false">H56+H57+H58+H59</f>
        <v>220988.305084746</v>
      </c>
      <c r="I67" s="10" t="n">
        <f aca="false">I56+I57+I58+I59</f>
        <v>357871.355932203</v>
      </c>
      <c r="J67" s="10" t="n">
        <f aca="false">J56+J57+J58+J59</f>
        <v>347357.612262813</v>
      </c>
      <c r="K67" s="10" t="n">
        <f aca="false">K56+K57+K58+K59</f>
        <v>301974.457284664</v>
      </c>
      <c r="L67" s="10" t="n">
        <f aca="false">L56+L57+L58+L59</f>
        <v>307329.191878097</v>
      </c>
      <c r="M67" s="10" t="n">
        <f aca="false">M56+M57+M58+M59</f>
        <v>294716.745762712</v>
      </c>
      <c r="N67" s="10" t="n">
        <f aca="false">N56+N57+N58+N59</f>
        <v>280729.220338983</v>
      </c>
      <c r="O67" s="40" t="n">
        <f aca="false">SUM(C67:N67)</f>
        <v>2776702.31134083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9779.85</v>
      </c>
      <c r="E69" s="10" t="n">
        <f aca="false">((E34+E37)*INDEX(Assumptions!$C$91:$E$91,$B$3)+E35*(INDEX(Assumptions!$C$93:$E$93,$B$3)+IF($Q$3=1,INDEX(Assumptions!$C$282:$E$282,$B$3),0)))*$N$3</f>
        <v>10935.69</v>
      </c>
      <c r="F69" s="10" t="n">
        <f aca="false">((F34+F37)*INDEX(Assumptions!$C$91:$E$91,$B$3)+F35*(INDEX(Assumptions!$C$93:$E$93,$B$3)+IF($Q$3=1,INDEX(Assumptions!$C$282:$E$282,$B$3),0)))*$N$3</f>
        <v>14093.544</v>
      </c>
      <c r="G69" s="10" t="n">
        <f aca="false">((G34+G37)*INDEX(Assumptions!$C$91:$E$91,$B$3)+G35*(INDEX(Assumptions!$C$93:$E$93,$B$3)+IF($Q$3=1,INDEX(Assumptions!$C$282:$E$282,$B$3),0)))*$N$3</f>
        <v>18108</v>
      </c>
      <c r="H69" s="10" t="n">
        <f aca="false">((H34+H37)*INDEX(Assumptions!$C$91:$E$91,$B$3)+H35*(INDEX(Assumptions!$C$93:$E$93,$B$3)+IF($Q$3=1,INDEX(Assumptions!$C$282:$E$282,$B$3),0)))*$N$3</f>
        <v>20472</v>
      </c>
      <c r="I69" s="10" t="n">
        <f aca="false">((I34+I37)*INDEX(Assumptions!$C$91:$E$91,$B$3)+I35*(INDEX(Assumptions!$C$93:$E$93,$B$3)+IF($Q$3=1,INDEX(Assumptions!$C$282:$E$282,$B$3),0)))*$N$3</f>
        <v>25932</v>
      </c>
      <c r="J69" s="10" t="n">
        <f aca="false">((J34+J37)*INDEX(Assumptions!$C$91:$E$91,$B$3)+J35*(INDEX(Assumptions!$C$93:$E$93,$B$3)+IF($Q$3=1,INDEX(Assumptions!$C$282:$E$282,$B$3),0)))*$N$3</f>
        <v>25654.8047808765</v>
      </c>
      <c r="K69" s="10" t="n">
        <f aca="false">((K34+K37)*INDEX(Assumptions!$C$91:$E$91,$B$3)+K35*(INDEX(Assumptions!$C$93:$E$93,$B$3)+IF($Q$3=1,INDEX(Assumptions!$C$282:$E$282,$B$3),0)))*$N$3</f>
        <v>22374.4688270268</v>
      </c>
      <c r="L69" s="10" t="n">
        <f aca="false">((L34+L37)*INDEX(Assumptions!$C$91:$E$91,$B$3)+L35*(INDEX(Assumptions!$C$93:$E$93,$B$3)+IF($Q$3=1,INDEX(Assumptions!$C$282:$E$282,$B$3),0)))*$N$3</f>
        <v>22739.617917629</v>
      </c>
      <c r="M69" s="10" t="n">
        <f aca="false">((M34+M37)*INDEX(Assumptions!$C$91:$E$91,$B$3)+M35*(INDEX(Assumptions!$C$93:$E$93,$B$3)+IF($Q$3=1,INDEX(Assumptions!$C$282:$E$282,$B$3),0)))*$N$3</f>
        <v>21945.6</v>
      </c>
      <c r="N69" s="10" t="n">
        <f aca="false">((N34+N37)*INDEX(Assumptions!$C$91:$E$91,$B$3)+N35*(INDEX(Assumptions!$C$93:$E$93,$B$3)+IF($Q$3=1,INDEX(Assumptions!$C$282:$E$282,$B$3),0)))*$N$3</f>
        <v>20908.8</v>
      </c>
      <c r="O69" s="40" t="n">
        <f aca="false">SUM(C69:N69)</f>
        <v>220144.375525532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16679.7</v>
      </c>
      <c r="E70" s="10" t="n">
        <f aca="false">(E34+E35)*E54*INDEX(Assumptions!$C$14:$E$14,$B$3)*$N$3</f>
        <v>18535.44</v>
      </c>
      <c r="F70" s="10" t="n">
        <f aca="false">(F34+F35)*F54*INDEX(Assumptions!$C$14:$E$14,$B$3)*$N$3</f>
        <v>24480</v>
      </c>
      <c r="G70" s="10" t="n">
        <f aca="false">(G34+G35)*G54*INDEX(Assumptions!$C$14:$E$14,$B$3)*$N$3</f>
        <v>31320</v>
      </c>
      <c r="H70" s="10" t="n">
        <f aca="false">(H34+H35)*H54*INDEX(Assumptions!$C$14:$E$14,$B$3)*$N$3</f>
        <v>34680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140095.14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1853.3</v>
      </c>
      <c r="E71" s="10" t="n">
        <f aca="false">E36*INDEX(Assumptions!$C$92:$E$92,$B$3)*$N$3</f>
        <v>2059.49333333333</v>
      </c>
      <c r="F71" s="10" t="n">
        <f aca="false">F36*INDEX(Assumptions!$C$92:$E$92,$B$3)*$N$3</f>
        <v>2720</v>
      </c>
      <c r="G71" s="10" t="n">
        <f aca="false">G36*INDEX(Assumptions!$C$92:$E$92,$B$3)*$N$3</f>
        <v>3480</v>
      </c>
      <c r="H71" s="10" t="n">
        <f aca="false">H36*INDEX(Assumptions!$C$92:$E$92,$B$3)*$N$3</f>
        <v>3853.33333333333</v>
      </c>
      <c r="I71" s="10" t="n">
        <f aca="false">I36*INDEX(Assumptions!$C$92:$E$92,$B$3)*$N$3</f>
        <v>4992</v>
      </c>
      <c r="J71" s="10" t="n">
        <f aca="false">J36*INDEX(Assumptions!$C$92:$E$92,$B$3)*$N$3</f>
        <v>4780.3984063745</v>
      </c>
      <c r="K71" s="10" t="n">
        <f aca="false">K36*INDEX(Assumptions!$C$92:$E$92,$B$3)*$N$3</f>
        <v>4146.24213069891</v>
      </c>
      <c r="L71" s="10" t="n">
        <f aca="false">L36*INDEX(Assumptions!$C$92:$E$92,$B$3)*$N$3</f>
        <v>4224</v>
      </c>
      <c r="M71" s="10" t="n">
        <f aca="false">M36*INDEX(Assumptions!$C$92:$E$92,$B$3)*$N$3</f>
        <v>4032</v>
      </c>
      <c r="N71" s="10" t="n">
        <f aca="false">N36*INDEX(Assumptions!$C$92:$E$92,$B$3)*$N$3</f>
        <v>3840</v>
      </c>
      <c r="O71" s="40" t="n">
        <f aca="false">SUM(C71:N71)</f>
        <v>41580.7672037401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2335.70981863665</v>
      </c>
      <c r="D72" s="10" t="n">
        <f aca="false">(D46*INDEX(Assumptions!$C$94:$E$94,$B$3)+D47*INDEX(Assumptions!$C$95:$E$95,$B$3)+D48*INDEX(Assumptions!$C$96:$E$96,$B$3))*$N$3</f>
        <v>3743.29854596623</v>
      </c>
      <c r="E72" s="10" t="n">
        <f aca="false">(E46*INDEX(Assumptions!$C$94:$E$94,$B$3)+E47*INDEX(Assumptions!$C$95:$E$95,$B$3)+E48*INDEX(Assumptions!$C$96:$E$96,$B$3))*$N$3</f>
        <v>7103.74452782989</v>
      </c>
      <c r="F72" s="10" t="n">
        <f aca="false">(F46*INDEX(Assumptions!$C$94:$E$94,$B$3)+F47*INDEX(Assumptions!$C$95:$E$95,$B$3)+F48*INDEX(Assumptions!$C$96:$E$96,$B$3))*$N$3</f>
        <v>9397.37335834897</v>
      </c>
      <c r="G72" s="10" t="n">
        <f aca="false">(G46*INDEX(Assumptions!$C$94:$E$94,$B$3)+G47*INDEX(Assumptions!$C$95:$E$95,$B$3)+G48*INDEX(Assumptions!$C$96:$E$96,$B$3))*$N$3</f>
        <v>9720.16885553471</v>
      </c>
      <c r="H72" s="10" t="n">
        <f aca="false">(H46*INDEX(Assumptions!$C$94:$E$94,$B$3)+H47*INDEX(Assumptions!$C$95:$E$95,$B$3)+H48*INDEX(Assumptions!$C$96:$E$96,$B$3))*$N$3</f>
        <v>11129.612257661</v>
      </c>
      <c r="I72" s="10" t="n">
        <f aca="false">(I46*INDEX(Assumptions!$C$94:$E$94,$B$3)+I47*INDEX(Assumptions!$C$95:$E$95,$B$3)+I48*INDEX(Assumptions!$C$96:$E$96,$B$3))*$N$3</f>
        <v>12763.4146341463</v>
      </c>
      <c r="J72" s="10" t="n">
        <f aca="false">(J46*INDEX(Assumptions!$C$94:$E$94,$B$3)+J47*INDEX(Assumptions!$C$95:$E$95,$B$3)+J48*INDEX(Assumptions!$C$96:$E$96,$B$3))*$N$3</f>
        <v>14119.6998123827</v>
      </c>
      <c r="K72" s="10" t="n">
        <f aca="false">(K46*INDEX(Assumptions!$C$94:$E$94,$B$3)+K47*INDEX(Assumptions!$C$95:$E$95,$B$3)+K48*INDEX(Assumptions!$C$96:$E$96,$B$3))*$N$3</f>
        <v>14007.1294559099</v>
      </c>
      <c r="L72" s="10" t="n">
        <f aca="false">(L46*INDEX(Assumptions!$C$94:$E$94,$B$3)+L47*INDEX(Assumptions!$C$95:$E$95,$B$3)+L48*INDEX(Assumptions!$C$96:$E$96,$B$3))*$N$3</f>
        <v>14638.2739212008</v>
      </c>
      <c r="M72" s="10" t="n">
        <f aca="false">(M46*INDEX(Assumptions!$C$94:$E$94,$B$3)+M47*INDEX(Assumptions!$C$95:$E$95,$B$3)+M48*INDEX(Assumptions!$C$96:$E$96,$B$3))*$N$3</f>
        <v>15781.9887429644</v>
      </c>
      <c r="N72" s="10" t="n">
        <f aca="false">(N46*INDEX(Assumptions!$C$94:$E$94,$B$3)+N47*INDEX(Assumptions!$C$95:$E$95,$B$3)+N48*INDEX(Assumptions!$C$96:$E$96,$B$3))*$N$3</f>
        <v>16925.703564728</v>
      </c>
      <c r="O72" s="40" t="n">
        <f aca="false">SUM(C72:N72)</f>
        <v>131666.11749531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238</v>
      </c>
      <c r="F74" s="10" t="n">
        <f aca="false">F51*INDEX(Assumptions!$C$97:$E$97,$B$3)</f>
        <v>476</v>
      </c>
      <c r="G74" s="10" t="n">
        <f aca="false">G51*INDEX(Assumptions!$C$97:$E$97,$B$3)</f>
        <v>714</v>
      </c>
      <c r="H74" s="10" t="n">
        <f aca="false">H51*INDEX(Assumptions!$C$97:$E$97,$B$3)</f>
        <v>952</v>
      </c>
      <c r="I74" s="10" t="n">
        <f aca="false">I51*INDEX(Assumptions!$C$97:$E$97,$B$3)</f>
        <v>1190</v>
      </c>
      <c r="J74" s="10" t="n">
        <f aca="false">J51*INDEX(Assumptions!$C$97:$E$97,$B$3)</f>
        <v>1428</v>
      </c>
      <c r="K74" s="10" t="n">
        <f aca="false">K51*INDEX(Assumptions!$C$97:$E$97,$B$3)</f>
        <v>1428</v>
      </c>
      <c r="L74" s="10" t="n">
        <f aca="false">L51*INDEX(Assumptions!$C$97:$E$97,$B$3)</f>
        <v>1428</v>
      </c>
      <c r="M74" s="10" t="n">
        <f aca="false">M51*INDEX(Assumptions!$C$97:$E$97,$B$3)</f>
        <v>1428</v>
      </c>
      <c r="N74" s="10" t="n">
        <f aca="false">N51*INDEX(Assumptions!$C$97:$E$97,$B$3)</f>
        <v>1428</v>
      </c>
      <c r="O74" s="40" t="n">
        <f aca="false">SUM(C74:N74)</f>
        <v>10710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3838.46326203877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4886.44225304362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6113.33686931417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7992.39958379925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9632.60345493434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10769.1228916323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16801.136241561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16674.0193677307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14868.4014033673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15267.4260803881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15069.0160843377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14809.7588288931</v>
      </c>
      <c r="O75" s="40" t="n">
        <f aca="false">SUM(C75:N75)</f>
        <v>136722.12632104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1389.975</v>
      </c>
      <c r="E76" s="10" t="n">
        <f aca="false">E38*INDEX(Assumptions!$C$240:$E$240,$B$3)*INDEX(Assumptions!$C$69:$E$69,$B$3)</f>
        <v>1544.62</v>
      </c>
      <c r="F76" s="10" t="n">
        <f aca="false">F38*INDEX(Assumptions!$C$240:$E$240,$B$3)*INDEX(Assumptions!$C$69:$E$69,$B$3)</f>
        <v>2040</v>
      </c>
      <c r="G76" s="10" t="n">
        <f aca="false">G38*INDEX(Assumptions!$C$240:$E$240,$B$3)*INDEX(Assumptions!$C$69:$E$69,$B$3)</f>
        <v>2610</v>
      </c>
      <c r="H76" s="10" t="n">
        <f aca="false">H38*INDEX(Assumptions!$C$240:$E$240,$B$3)*INDEX(Assumptions!$C$69:$E$69,$B$3)</f>
        <v>2890</v>
      </c>
      <c r="I76" s="10" t="n">
        <f aca="false">I38*INDEX(Assumptions!$C$240:$E$240,$B$3)*INDEX(Assumptions!$C$69:$E$69,$B$3)</f>
        <v>3744</v>
      </c>
      <c r="J76" s="10" t="n">
        <f aca="false">J38*INDEX(Assumptions!$C$240:$E$240,$B$3)*INDEX(Assumptions!$C$69:$E$69,$B$3)</f>
        <v>3585.29880478088</v>
      </c>
      <c r="K76" s="10" t="n">
        <f aca="false">K38*INDEX(Assumptions!$C$240:$E$240,$B$3)*INDEX(Assumptions!$C$69:$E$69,$B$3)</f>
        <v>3109.68159802418</v>
      </c>
      <c r="L76" s="10" t="n">
        <f aca="false">L38*INDEX(Assumptions!$C$240:$E$240,$B$3)*INDEX(Assumptions!$C$69:$E$69,$B$3)</f>
        <v>3168</v>
      </c>
      <c r="M76" s="10" t="n">
        <f aca="false">M38*INDEX(Assumptions!$C$240:$E$240,$B$3)*INDEX(Assumptions!$C$69:$E$69,$B$3)</f>
        <v>3024</v>
      </c>
      <c r="N76" s="10" t="n">
        <f aca="false">N38*INDEX(Assumptions!$C$240:$E$240,$B$3)*INDEX(Assumptions!$C$69:$E$69,$B$3)</f>
        <v>2880</v>
      </c>
      <c r="O76" s="40" t="n">
        <f aca="false">SUM(C76:N76)</f>
        <v>31185.5754028051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30574.1730806754</v>
      </c>
      <c r="D77" s="40" t="n">
        <f aca="false">SUM(D69:D76)</f>
        <v>38332.5657990099</v>
      </c>
      <c r="E77" s="40" t="n">
        <f aca="false">SUM(E69:E76)</f>
        <v>46530.3247304774</v>
      </c>
      <c r="F77" s="40" t="n">
        <f aca="false">SUM(F69:F76)</f>
        <v>61199.3169421482</v>
      </c>
      <c r="G77" s="40" t="n">
        <f aca="false">SUM(G69:G76)</f>
        <v>75584.772310469</v>
      </c>
      <c r="H77" s="40" t="n">
        <f aca="false">SUM(H69:H76)</f>
        <v>84746.0684826266</v>
      </c>
      <c r="I77" s="40" t="n">
        <f aca="false">SUM(I69:I76)</f>
        <v>65422.5508757073</v>
      </c>
      <c r="J77" s="40" t="n">
        <f aca="false">SUM(J69:J76)</f>
        <v>66242.2211721453</v>
      </c>
      <c r="K77" s="40" t="n">
        <f aca="false">SUM(K69:K76)</f>
        <v>59933.9234150271</v>
      </c>
      <c r="L77" s="40" t="n">
        <f aca="false">SUM(L69:L76)</f>
        <v>61465.3179192179</v>
      </c>
      <c r="M77" s="40" t="n">
        <f aca="false">SUM(M69:M76)</f>
        <v>61280.6048273021</v>
      </c>
      <c r="N77" s="40" t="n">
        <f aca="false">SUM(N69:N76)</f>
        <v>60792.262393621</v>
      </c>
      <c r="O77" s="11" t="n">
        <f aca="false">SUM(C77:N77)</f>
        <v>712104.101948427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78682.7448023235</v>
      </c>
      <c r="D78" s="40" t="n">
        <f aca="false">D66-D77</f>
        <v>103300.845346906</v>
      </c>
      <c r="E78" s="40" t="n">
        <f aca="false">E66-E77</f>
        <v>139643.451882411</v>
      </c>
      <c r="F78" s="40" t="n">
        <f aca="false">F66-F77</f>
        <v>182094.563006973</v>
      </c>
      <c r="G78" s="40" t="n">
        <f aca="false">G66-G77</f>
        <v>210372.407983359</v>
      </c>
      <c r="H78" s="40" t="n">
        <f aca="false">H66-H77</f>
        <v>235211.956586537</v>
      </c>
      <c r="I78" s="40" t="n">
        <f aca="false">I66-I77</f>
        <v>407201.378851453</v>
      </c>
      <c r="J78" s="40" t="n">
        <f aca="false">J66-J77</f>
        <v>407064.612223157</v>
      </c>
      <c r="K78" s="40" t="n">
        <f aca="false">K66-K77</f>
        <v>367192.586937483</v>
      </c>
      <c r="L78" s="40" t="n">
        <f aca="false">L66-L77</f>
        <v>379033.930729318</v>
      </c>
      <c r="M78" s="40" t="n">
        <f aca="false">M66-M77</f>
        <v>379006.991966669</v>
      </c>
      <c r="N78" s="40" t="n">
        <f aca="false">N66-N77</f>
        <v>377908.603237441</v>
      </c>
      <c r="O78" s="11" t="n">
        <f aca="false">SUM(C78:N78)</f>
        <v>3266714.07355403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0.720162588574788</v>
      </c>
      <c r="D79" s="8" t="n">
        <f aca="false">IFERROR(D78/D66,0)</f>
        <v>0.729353649757696</v>
      </c>
      <c r="E79" s="8" t="n">
        <f aca="false">IFERROR(E78/E66,0)</f>
        <v>0.750070468693193</v>
      </c>
      <c r="F79" s="8" t="n">
        <f aca="false">IFERROR(F78/F66,0)</f>
        <v>0.748455172999228</v>
      </c>
      <c r="G79" s="8" t="n">
        <f aca="false">IFERROR(G78/G66,0)</f>
        <v>0.735678005242589</v>
      </c>
      <c r="H79" s="8" t="n">
        <f aca="false">IFERROR(H78/H66,0)</f>
        <v>0.73513379305205</v>
      </c>
      <c r="I79" s="8" t="n">
        <f aca="false">IFERROR(I78/I66,0)</f>
        <v>0.861575881455103</v>
      </c>
      <c r="J79" s="8" t="n">
        <f aca="false">IFERROR(J78/J66,0)</f>
        <v>0.860043809853849</v>
      </c>
      <c r="K79" s="8" t="n">
        <f aca="false">IFERROR(K78/K66,0)</f>
        <v>0.859681096906012</v>
      </c>
      <c r="L79" s="8" t="n">
        <f aca="false">IFERROR(L78/L66,0)</f>
        <v>0.860464420523315</v>
      </c>
      <c r="M79" s="8" t="n">
        <f aca="false">IFERROR(M78/M66,0)</f>
        <v>0.860816872259116</v>
      </c>
      <c r="N79" s="8" t="n">
        <f aca="false">IFERROR(N78/N66,0)</f>
        <v>0.86142661855437</v>
      </c>
      <c r="O79" s="13" t="n">
        <f aca="false">IFERROR(O78/O66,0)</f>
        <v>0.821026226749228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2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0.0666666666666667</v>
      </c>
      <c r="D82" s="6" t="n">
        <f aca="false">D81*(1-D12)</f>
        <v>0.133333333333333</v>
      </c>
      <c r="E82" s="6" t="n">
        <f aca="false">E81*(1-E12)</f>
        <v>0.2</v>
      </c>
      <c r="F82" s="6" t="n">
        <f aca="false">F81*(1-F12)</f>
        <v>0.266666666666667</v>
      </c>
      <c r="G82" s="6" t="n">
        <f aca="false">G81*(1-G12)</f>
        <v>0.333333333333333</v>
      </c>
      <c r="H82" s="6" t="n">
        <f aca="false">H81*(1-H12)</f>
        <v>0.8</v>
      </c>
      <c r="I82" s="6" t="n">
        <f aca="false">I81*(1-I12)</f>
        <v>0.866666666666667</v>
      </c>
      <c r="J82" s="6" t="n">
        <f aca="false">J81*(1-J12)</f>
        <v>0.933333333333333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1.2</v>
      </c>
      <c r="O82" s="41" t="n">
        <f aca="false">MAX(C82:N82)</f>
        <v>1.2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0</v>
      </c>
      <c r="E83" s="6" t="n">
        <f aca="false">IF(3&gt;=INDEX(Assumptions!$C$161:$E$161,E$9),INDEX(Assumptions!$C$203:$E$203,E$9),0)</f>
        <v>0.5</v>
      </c>
      <c r="F83" s="6" t="n">
        <f aca="false">IF(4&gt;=INDEX(Assumptions!$C$161:$E$161,F$9),INDEX(Assumptions!$C$203:$E$203,F$9),0)</f>
        <v>0.5</v>
      </c>
      <c r="G83" s="6" t="n">
        <f aca="false">IF(5&gt;=INDEX(Assumptions!$C$161:$E$161,G$9),INDEX(Assumptions!$C$203:$E$203,G$9),0)</f>
        <v>0.5</v>
      </c>
      <c r="H83" s="6" t="n">
        <f aca="false">IF(6&gt;=INDEX(Assumptions!$C$161:$E$161,H$9),INDEX(Assumptions!$C$203:$E$203,H$9),0)</f>
        <v>0.5</v>
      </c>
      <c r="I83" s="6" t="n">
        <f aca="false">IF(7&gt;=INDEX(Assumptions!$C$161:$E$161,I$9),INDEX(Assumptions!$C$203:$E$203,I$9),0)</f>
        <v>0.5</v>
      </c>
      <c r="J83" s="6" t="n">
        <f aca="false">IF(8&gt;=INDEX(Assumptions!$C$161:$E$161,J$9),INDEX(Assumptions!$C$203:$E$203,J$9),0)</f>
        <v>0.5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18000</v>
      </c>
      <c r="E86" s="10" t="n">
        <f aca="false">E83*INDEX(Assumptions!$C$98:$E$98,$B$3)*$W$4+E84*INDEX(Assumptions!$C$99:$E$99,$B$3)+E85*INDEX(Assumptions!$C$100:$E$100,$B$3)</f>
        <v>48000</v>
      </c>
      <c r="F86" s="10" t="n">
        <f aca="false">F83*INDEX(Assumptions!$C$98:$E$98,$B$3)*$W$4+F84*INDEX(Assumptions!$C$99:$E$99,$B$3)+F85*INDEX(Assumptions!$C$100:$E$100,$B$3)</f>
        <v>48000</v>
      </c>
      <c r="G86" s="10" t="n">
        <f aca="false">G83*INDEX(Assumptions!$C$98:$E$98,$B$3)*$W$4+G84*INDEX(Assumptions!$C$99:$E$99,$B$3)+G85*INDEX(Assumptions!$C$100:$E$100,$B$3)</f>
        <v>48000</v>
      </c>
      <c r="H86" s="10" t="n">
        <f aca="false">H83*INDEX(Assumptions!$C$98:$E$98,$B$3)*$W$4+H84*INDEX(Assumptions!$C$99:$E$99,$B$3)+H85*INDEX(Assumptions!$C$100:$E$100,$B$3)</f>
        <v>48000</v>
      </c>
      <c r="I86" s="10" t="n">
        <f aca="false">I83*INDEX(Assumptions!$C$98:$E$98,$B$3)*$W$4+I84*INDEX(Assumptions!$C$99:$E$99,$B$3)+I85*INDEX(Assumptions!$C$100:$E$100,$B$3)</f>
        <v>48000</v>
      </c>
      <c r="J86" s="10" t="n">
        <f aca="false">J83*INDEX(Assumptions!$C$98:$E$98,$B$3)*$W$4+J84*INDEX(Assumptions!$C$99:$E$99,$B$3)+J85*INDEX(Assumptions!$C$100:$E$100,$B$3)</f>
        <v>48000</v>
      </c>
      <c r="K86" s="10" t="n">
        <f aca="false">K83*INDEX(Assumptions!$C$98:$E$98,$B$3)*$W$4+K84*INDEX(Assumptions!$C$99:$E$99,$B$3)+K85*INDEX(Assumptions!$C$100:$E$100,$B$3)</f>
        <v>48000</v>
      </c>
      <c r="L86" s="10" t="n">
        <f aca="false">L83*INDEX(Assumptions!$C$98:$E$98,$B$3)*$W$4+L84*INDEX(Assumptions!$C$99:$E$99,$B$3)+L85*INDEX(Assumptions!$C$100:$E$100,$B$3)</f>
        <v>48000</v>
      </c>
      <c r="M86" s="10" t="n">
        <f aca="false">M83*INDEX(Assumptions!$C$98:$E$98,$B$3)*$W$4+M84*INDEX(Assumptions!$C$99:$E$99,$B$3)+M85*INDEX(Assumptions!$C$100:$E$100,$B$3)</f>
        <v>48000</v>
      </c>
      <c r="N86" s="10" t="n">
        <f aca="false">N83*INDEX(Assumptions!$C$98:$E$98,$B$3)*$W$4+N84*INDEX(Assumptions!$C$99:$E$99,$B$3)+N85*INDEX(Assumptions!$C$100:$E$100,$B$3)</f>
        <v>48000</v>
      </c>
      <c r="O86" s="40" t="n">
        <f aca="false">SUM(C86:N86)</f>
        <v>516000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20000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200000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12000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12000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12000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12000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12000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12000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12000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12000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12000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12000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12000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12000</v>
      </c>
      <c r="O88" s="40" t="n">
        <f aca="false">SUM(C88:N88)</f>
        <v>144000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30000</v>
      </c>
      <c r="D92" s="40" t="n">
        <f aca="false">SUM(D86:D91)</f>
        <v>30000</v>
      </c>
      <c r="E92" s="40" t="n">
        <f aca="false">SUM(E86:E91)</f>
        <v>80000</v>
      </c>
      <c r="F92" s="40" t="n">
        <f aca="false">SUM(F86:F91)</f>
        <v>80000</v>
      </c>
      <c r="G92" s="40" t="n">
        <f aca="false">SUM(G86:G91)</f>
        <v>80000</v>
      </c>
      <c r="H92" s="40" t="n">
        <f aca="false">SUM(H86:H91)</f>
        <v>80000</v>
      </c>
      <c r="I92" s="40" t="n">
        <f aca="false">SUM(I86:I91)</f>
        <v>80000</v>
      </c>
      <c r="J92" s="40" t="n">
        <f aca="false">SUM(J86:J91)</f>
        <v>80000</v>
      </c>
      <c r="K92" s="40" t="n">
        <f aca="false">SUM(K86:K91)</f>
        <v>80000</v>
      </c>
      <c r="L92" s="40" t="n">
        <f aca="false">SUM(L86:L91)</f>
        <v>80000</v>
      </c>
      <c r="M92" s="40" t="n">
        <f aca="false">SUM(M86:M91)</f>
        <v>80000</v>
      </c>
      <c r="N92" s="40" t="n">
        <f aca="false">SUM(N86:N91)</f>
        <v>80000</v>
      </c>
      <c r="O92" s="11" t="n">
        <f aca="false">SUM(C92:N92)</f>
        <v>860000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35000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35000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35000</v>
      </c>
      <c r="O94" s="40" t="n">
        <f aca="false">SUM(C94:N94)</f>
        <v>420000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10000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10000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10000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10000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10000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10000</v>
      </c>
      <c r="O95" s="40" t="n">
        <f aca="false">SUM(C95:N95)</f>
        <v>120000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8000</v>
      </c>
      <c r="D96" s="10" t="n">
        <f aca="false">INDEX(Assumptions!$C$107:$E$107,D$9)+IF(2&gt;=IF($Q$3=1,MAX(INDEX(Assumptions!$C$231:$E$231,D$9),$Q$4+1),INDEX(Assumptions!$C$231:$E$231,D$9))-1,INDEX(Assumptions!$C$230:$E$230,D$9),0)</f>
        <v>8000</v>
      </c>
      <c r="E96" s="10" t="n">
        <f aca="false">INDEX(Assumptions!$C$107:$E$107,E$9)+IF(3&gt;=IF($Q$3=1,MAX(INDEX(Assumptions!$C$231:$E$231,E$9),$Q$4+1),INDEX(Assumptions!$C$231:$E$231,E$9))-1,INDEX(Assumptions!$C$230:$E$230,E$9),0)</f>
        <v>8000</v>
      </c>
      <c r="F96" s="10" t="n">
        <f aca="false">INDEX(Assumptions!$C$107:$E$107,F$9)+IF(4&gt;=IF($Q$3=1,MAX(INDEX(Assumptions!$C$231:$E$231,F$9),$Q$4+1),INDEX(Assumptions!$C$231:$E$231,F$9))-1,INDEX(Assumptions!$C$230:$E$230,F$9),0)</f>
        <v>8000</v>
      </c>
      <c r="G96" s="10" t="n">
        <f aca="false">INDEX(Assumptions!$C$107:$E$107,G$9)+IF(5&gt;=IF($Q$3=1,MAX(INDEX(Assumptions!$C$231:$E$231,G$9),$Q$4+1),INDEX(Assumptions!$C$231:$E$231,G$9))-1,INDEX(Assumptions!$C$230:$E$230,G$9),0)</f>
        <v>8000</v>
      </c>
      <c r="H96" s="10" t="n">
        <f aca="false">INDEX(Assumptions!$C$107:$E$107,H$9)+IF(6&gt;=IF($Q$3=1,MAX(INDEX(Assumptions!$C$231:$E$231,H$9),$Q$4+1),INDEX(Assumptions!$C$231:$E$231,H$9))-1,INDEX(Assumptions!$C$230:$E$230,H$9),0)</f>
        <v>8000</v>
      </c>
      <c r="I96" s="10" t="n">
        <f aca="false">INDEX(Assumptions!$C$107:$E$107,I$9)+IF(7&gt;=IF($Q$3=1,MAX(INDEX(Assumptions!$C$231:$E$231,I$9),$Q$4+1),INDEX(Assumptions!$C$231:$E$231,I$9))-1,INDEX(Assumptions!$C$230:$E$230,I$9),0)</f>
        <v>8000</v>
      </c>
      <c r="J96" s="10" t="n">
        <f aca="false">INDEX(Assumptions!$C$107:$E$107,J$9)+IF(8&gt;=IF($Q$3=1,MAX(INDEX(Assumptions!$C$231:$E$231,J$9),$Q$4+1),INDEX(Assumptions!$C$231:$E$231,J$9))-1,INDEX(Assumptions!$C$230:$E$230,J$9),0)</f>
        <v>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96000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10000</v>
      </c>
      <c r="D97" s="10" t="n">
        <f aca="false">D18</f>
        <v>15000</v>
      </c>
      <c r="E97" s="10" t="n">
        <f aca="false">E18</f>
        <v>30000</v>
      </c>
      <c r="F97" s="10" t="n">
        <f aca="false">F18</f>
        <v>35000</v>
      </c>
      <c r="G97" s="10" t="n">
        <f aca="false">G18</f>
        <v>40000</v>
      </c>
      <c r="H97" s="10" t="n">
        <f aca="false">H18</f>
        <v>40000</v>
      </c>
      <c r="I97" s="10" t="n">
        <f aca="false">I18</f>
        <v>40000</v>
      </c>
      <c r="J97" s="10" t="n">
        <f aca="false">J18</f>
        <v>40000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410000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3333</v>
      </c>
      <c r="D98" s="10" t="n">
        <f aca="false">INDEX(Assumptions!$C$212:$E$212,D$9)</f>
        <v>3333</v>
      </c>
      <c r="E98" s="10" t="n">
        <f aca="false">INDEX(Assumptions!$C$212:$E$212,E$9)</f>
        <v>3333</v>
      </c>
      <c r="F98" s="10" t="n">
        <f aca="false">INDEX(Assumptions!$C$212:$E$212,F$9)</f>
        <v>3333</v>
      </c>
      <c r="G98" s="10" t="n">
        <f aca="false">INDEX(Assumptions!$C$212:$E$212,G$9)</f>
        <v>3333</v>
      </c>
      <c r="H98" s="10" t="n">
        <f aca="false">INDEX(Assumptions!$C$212:$E$212,H$9)</f>
        <v>3333</v>
      </c>
      <c r="I98" s="10" t="n">
        <f aca="false">INDEX(Assumptions!$C$212:$E$212,I$9)</f>
        <v>3333</v>
      </c>
      <c r="J98" s="10" t="n">
        <f aca="false">INDEX(Assumptions!$C$212:$E$212,J$9)</f>
        <v>3333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39996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12000</v>
      </c>
      <c r="D99" s="10" t="n">
        <f aca="false">INDEX(Assumptions!$C$237:$E$237,D$9)</f>
        <v>12000</v>
      </c>
      <c r="E99" s="10" t="n">
        <f aca="false">INDEX(Assumptions!$C$237:$E$237,E$9)</f>
        <v>12000</v>
      </c>
      <c r="F99" s="10" t="n">
        <f aca="false">INDEX(Assumptions!$C$237:$E$237,F$9)</f>
        <v>12000</v>
      </c>
      <c r="G99" s="10" t="n">
        <f aca="false">INDEX(Assumptions!$C$237:$E$237,G$9)</f>
        <v>12000</v>
      </c>
      <c r="H99" s="10" t="n">
        <f aca="false">INDEX(Assumptions!$C$237:$E$237,H$9)</f>
        <v>12000</v>
      </c>
      <c r="I99" s="10" t="n">
        <f aca="false">INDEX(Assumptions!$C$237:$E$237,I$9)</f>
        <v>12000</v>
      </c>
      <c r="J99" s="10" t="n">
        <f aca="false">INDEX(Assumptions!$C$237:$E$237,J$9)</f>
        <v>12000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144000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100000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158333</v>
      </c>
      <c r="D102" s="40" t="n">
        <f aca="false">D92+SUM(D94:D101)</f>
        <v>113333</v>
      </c>
      <c r="E102" s="40" t="n">
        <f aca="false">E92+SUM(E94:E101)</f>
        <v>228333</v>
      </c>
      <c r="F102" s="40" t="n">
        <f aca="false">F92+SUM(F94:F101)</f>
        <v>183333</v>
      </c>
      <c r="G102" s="40" t="n">
        <f aca="false">G92+SUM(G94:G101)</f>
        <v>188333</v>
      </c>
      <c r="H102" s="40" t="n">
        <f aca="false">H92+SUM(H94:H101)</f>
        <v>188333</v>
      </c>
      <c r="I102" s="40" t="n">
        <f aca="false">I92+SUM(I94:I101)</f>
        <v>188333</v>
      </c>
      <c r="J102" s="40" t="n">
        <f aca="false">J92+SUM(J94:J101)</f>
        <v>188333</v>
      </c>
      <c r="K102" s="40" t="n">
        <f aca="false">K92+SUM(K94:K101)</f>
        <v>188333</v>
      </c>
      <c r="L102" s="40" t="n">
        <f aca="false">L92+SUM(L94:L101)</f>
        <v>188333</v>
      </c>
      <c r="M102" s="40" t="n">
        <f aca="false">M92+SUM(M94:M101)</f>
        <v>188333</v>
      </c>
      <c r="N102" s="40" t="n">
        <f aca="false">N92+SUM(N94:N101)</f>
        <v>188333</v>
      </c>
      <c r="O102" s="11" t="n">
        <f aca="false">SUM(C102:N102)</f>
        <v>2189996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-79650.2551976765</v>
      </c>
      <c r="D103" s="40" t="n">
        <f aca="false">D78-D102</f>
        <v>-10032.1546530937</v>
      </c>
      <c r="E103" s="40" t="n">
        <f aca="false">E78-E102</f>
        <v>-88689.548117589</v>
      </c>
      <c r="F103" s="40" t="n">
        <f aca="false">F78-F102</f>
        <v>-1238.43699302748</v>
      </c>
      <c r="G103" s="40" t="n">
        <f aca="false">G78-G102</f>
        <v>22039.4079833587</v>
      </c>
      <c r="H103" s="40" t="n">
        <f aca="false">H78-H102</f>
        <v>46878.9565865374</v>
      </c>
      <c r="I103" s="40" t="n">
        <f aca="false">I78-I102</f>
        <v>218868.378851453</v>
      </c>
      <c r="J103" s="40" t="n">
        <f aca="false">J78-J102</f>
        <v>218731.612223157</v>
      </c>
      <c r="K103" s="40" t="n">
        <f aca="false">K78-K102</f>
        <v>178859.586937483</v>
      </c>
      <c r="L103" s="40" t="n">
        <f aca="false">L78-L102</f>
        <v>190700.930729318</v>
      </c>
      <c r="M103" s="40" t="n">
        <f aca="false">M78-M102</f>
        <v>190673.991966669</v>
      </c>
      <c r="N103" s="40" t="n">
        <f aca="false">N78-N102</f>
        <v>189575.603237441</v>
      </c>
      <c r="O103" s="11" t="n">
        <f aca="false">SUM(C103:N103)</f>
        <v>1076718.07355403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-0.729017958231006</v>
      </c>
      <c r="D104" s="8" t="n">
        <f aca="false">IFERROR(D103/D66,0)</f>
        <v>-0.0708318367250096</v>
      </c>
      <c r="E104" s="8" t="n">
        <f aca="false">IFERROR(E103/E66,0)</f>
        <v>-0.476380453419073</v>
      </c>
      <c r="F104" s="8" t="n">
        <f aca="false">IFERROR(F103/F66,0)</f>
        <v>-0.00509029242037027</v>
      </c>
      <c r="G104" s="8" t="n">
        <f aca="false">IFERROR(G103/G66,0)</f>
        <v>0.0770724062977285</v>
      </c>
      <c r="H104" s="8" t="n">
        <f aca="false">IFERROR(H103/H66,0)</f>
        <v>0.1465159580742</v>
      </c>
      <c r="I104" s="8" t="n">
        <f aca="false">IFERROR(I103/I66,0)</f>
        <v>0.463092038056141</v>
      </c>
      <c r="J104" s="8" t="n">
        <f aca="false">IFERROR(J103/J66,0)</f>
        <v>0.462134912893755</v>
      </c>
      <c r="K104" s="8" t="n">
        <f aca="false">IFERROR(K103/K66,0)</f>
        <v>0.418750844544557</v>
      </c>
      <c r="L104" s="8" t="n">
        <f aca="false">IFERROR(L103/L66,0)</f>
        <v>0.432919990929369</v>
      </c>
      <c r="M104" s="8" t="n">
        <f aca="false">IFERROR(M103/M66,0)</f>
        <v>0.433066916613354</v>
      </c>
      <c r="N104" s="8" t="n">
        <f aca="false">IFERROR(N103/N66,0)</f>
        <v>0.432129539942303</v>
      </c>
      <c r="O104" s="8" t="n">
        <f aca="false">IFERROR(O103/O66,0)</f>
        <v>0.270612535195343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-154650.255197677</v>
      </c>
      <c r="D105" s="10" t="n">
        <f aca="false">D103-INDEX(Assumptions!$C$204:$E$204,$B$3)</f>
        <v>-85032.1546530937</v>
      </c>
      <c r="E105" s="10" t="n">
        <f aca="false">E103-INDEX(Assumptions!$C$204:$E$204,$B$3)</f>
        <v>-163689.548117589</v>
      </c>
      <c r="F105" s="10" t="n">
        <f aca="false">F103-INDEX(Assumptions!$C$204:$E$204,$B$3)</f>
        <v>-76238.4369930275</v>
      </c>
      <c r="G105" s="10" t="n">
        <f aca="false">G103-INDEX(Assumptions!$C$204:$E$204,$B$3)</f>
        <v>-52960.5920166413</v>
      </c>
      <c r="H105" s="10" t="n">
        <f aca="false">H103-INDEX(Assumptions!$C$204:$E$204,$B$3)</f>
        <v>-28121.0434134626</v>
      </c>
      <c r="I105" s="10" t="n">
        <f aca="false">I103-INDEX(Assumptions!$C$204:$E$204,$B$3)</f>
        <v>143868.378851453</v>
      </c>
      <c r="J105" s="10" t="n">
        <f aca="false">J103-INDEX(Assumptions!$C$204:$E$204,$B$3)</f>
        <v>143731.612223157</v>
      </c>
      <c r="K105" s="10" t="n">
        <f aca="false">K103-INDEX(Assumptions!$C$204:$E$204,$B$3)</f>
        <v>103859.586937483</v>
      </c>
      <c r="L105" s="10" t="n">
        <f aca="false">L103-INDEX(Assumptions!$C$204:$E$204,$B$3)</f>
        <v>115700.930729318</v>
      </c>
      <c r="M105" s="10" t="n">
        <f aca="false">M103-INDEX(Assumptions!$C$204:$E$204,$B$3)</f>
        <v>115673.991966669</v>
      </c>
      <c r="N105" s="10" t="n">
        <f aca="false">N103-INDEX(Assumptions!$C$204:$E$204,$B$3)</f>
        <v>114575.603237441</v>
      </c>
      <c r="O105" s="40" t="n">
        <f aca="false">SUM(C105:N105)</f>
        <v>176718.073554029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50000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-9015.18432203391</v>
      </c>
      <c r="E113" s="10" t="n">
        <f aca="false">((E67+IF(INDEX(Assumptions!$C$87:$E$87,$B$3)&gt;=2,D67,0)+IF(INDEX(Assumptions!$C$87:$E$87,$B$3)&gt;=3,C67,0))/INDEX(Assumptions!$C$87:$E$87,$B$3))-E67</f>
        <v>-5998.28665254237</v>
      </c>
      <c r="F113" s="10" t="n">
        <f aca="false">((F67+IF(INDEX(Assumptions!$C$87:$E$87,$B$3)&gt;=2,E67,0)+IF(INDEX(Assumptions!$C$87:$E$87,$B$3)&gt;=3,D67,0))/INDEX(Assumptions!$C$87:$E$87,$B$3))-F67</f>
        <v>-18441.3478389831</v>
      </c>
      <c r="G113" s="10" t="n">
        <f aca="false">((G67+IF(INDEX(Assumptions!$C$87:$E$87,$B$3)&gt;=2,F67,0)+IF(INDEX(Assumptions!$C$87:$E$87,$B$3)&gt;=3,E67,0))/INDEX(Assumptions!$C$87:$E$87,$B$3))-G67</f>
        <v>-21759.9269491526</v>
      </c>
      <c r="H113" s="10" t="n">
        <f aca="false">((H67+IF(INDEX(Assumptions!$C$87:$E$87,$B$3)&gt;=2,G67,0)+IF(INDEX(Assumptions!$C$87:$E$87,$B$3)&gt;=3,F67,0))/INDEX(Assumptions!$C$87:$E$87,$B$3))-H67</f>
        <v>-11245.5084745763</v>
      </c>
      <c r="I113" s="10" t="n">
        <f aca="false">((I67+IF(INDEX(Assumptions!$C$87:$E$87,$B$3)&gt;=2,H67,0)+IF(INDEX(Assumptions!$C$87:$E$87,$B$3)&gt;=3,G67,0))/INDEX(Assumptions!$C$87:$E$87,$B$3))-I67</f>
        <v>-68441.5254237289</v>
      </c>
      <c r="J113" s="10" t="n">
        <f aca="false">((J67+IF(INDEX(Assumptions!$C$87:$E$87,$B$3)&gt;=2,I67,0)+IF(INDEX(Assumptions!$C$87:$E$87,$B$3)&gt;=3,H67,0))/INDEX(Assumptions!$C$87:$E$87,$B$3))-J67</f>
        <v>5256.87183469517</v>
      </c>
      <c r="K113" s="10" t="n">
        <f aca="false">((K67+IF(INDEX(Assumptions!$C$87:$E$87,$B$3)&gt;=2,J67,0)+IF(INDEX(Assumptions!$C$87:$E$87,$B$3)&gt;=3,I67,0))/INDEX(Assumptions!$C$87:$E$87,$B$3))-K67</f>
        <v>22691.5774890745</v>
      </c>
      <c r="L113" s="10" t="n">
        <f aca="false">((L67+IF(INDEX(Assumptions!$C$87:$E$87,$B$3)&gt;=2,K67,0)+IF(INDEX(Assumptions!$C$87:$E$87,$B$3)&gt;=3,J67,0))/INDEX(Assumptions!$C$87:$E$87,$B$3))-L67</f>
        <v>-2677.36729671626</v>
      </c>
      <c r="M113" s="10" t="n">
        <f aca="false">((M67+IF(INDEX(Assumptions!$C$87:$E$87,$B$3)&gt;=2,L67,0)+IF(INDEX(Assumptions!$C$87:$E$87,$B$3)&gt;=3,K67,0))/INDEX(Assumptions!$C$87:$E$87,$B$3))-M67</f>
        <v>6306.22305769235</v>
      </c>
      <c r="N113" s="10" t="n">
        <f aca="false">((N67+IF(INDEX(Assumptions!$C$87:$E$87,$B$3)&gt;=2,M67,0)+IF(INDEX(Assumptions!$C$87:$E$87,$B$3)&gt;=3,L67,0))/INDEX(Assumptions!$C$87:$E$87,$B$3))-N67</f>
        <v>6993.76271186443</v>
      </c>
      <c r="O113" s="40" t="n">
        <f aca="false">SUM(C113:N113)</f>
        <v>-140364.610169492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-173684.153502761</v>
      </c>
      <c r="D114" s="40" t="n">
        <f aca="false">D103+D113-D112</f>
        <v>-19047.3389751276</v>
      </c>
      <c r="E114" s="40" t="n">
        <f aca="false">E103+E113-E112</f>
        <v>-94687.8347701314</v>
      </c>
      <c r="F114" s="40" t="n">
        <f aca="false">F103+F113-F112</f>
        <v>-19679.7848320105</v>
      </c>
      <c r="G114" s="40" t="n">
        <f aca="false">G103+G113-G112</f>
        <v>279.481034206139</v>
      </c>
      <c r="H114" s="40" t="n">
        <f aca="false">H103+H113-H112</f>
        <v>35633.4481119611</v>
      </c>
      <c r="I114" s="40" t="n">
        <f aca="false">I103+I113-I112</f>
        <v>150426.853427724</v>
      </c>
      <c r="J114" s="40" t="n">
        <f aca="false">J103+J113-J112</f>
        <v>223988.484057852</v>
      </c>
      <c r="K114" s="40" t="n">
        <f aca="false">K103+K113-K112</f>
        <v>201551.164426557</v>
      </c>
      <c r="L114" s="40" t="n">
        <f aca="false">L103+L113-L112</f>
        <v>188023.563432602</v>
      </c>
      <c r="M114" s="40" t="n">
        <f aca="false">M103+M113-M112</f>
        <v>196980.215024361</v>
      </c>
      <c r="N114" s="40" t="n">
        <f aca="false">N103+N113-N112</f>
        <v>196569.365949305</v>
      </c>
      <c r="O114" s="11" t="n">
        <f aca="false">SUM(C114:N114)</f>
        <v>886353.463384538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-173684.153502761</v>
      </c>
      <c r="D115" s="40" t="n">
        <f aca="false">C115+D114</f>
        <v>-192731.492477889</v>
      </c>
      <c r="E115" s="40" t="n">
        <f aca="false">D115+E114</f>
        <v>-287419.32724802</v>
      </c>
      <c r="F115" s="40" t="n">
        <f aca="false">E115+F114</f>
        <v>-307099.112080031</v>
      </c>
      <c r="G115" s="40" t="n">
        <f aca="false">F115+G114</f>
        <v>-306819.631045825</v>
      </c>
      <c r="H115" s="40" t="n">
        <f aca="false">G115+H114</f>
        <v>-271186.182933864</v>
      </c>
      <c r="I115" s="40" t="n">
        <f aca="false">H115+I114</f>
        <v>-120759.32950614</v>
      </c>
      <c r="J115" s="40" t="n">
        <f aca="false">I115+J114</f>
        <v>103229.154551712</v>
      </c>
      <c r="K115" s="40" t="n">
        <f aca="false">J115+K114</f>
        <v>304780.31897827</v>
      </c>
      <c r="L115" s="40" t="n">
        <f aca="false">K115+L114</f>
        <v>492803.882410871</v>
      </c>
      <c r="M115" s="40" t="n">
        <f aca="false">L115+M114</f>
        <v>689784.097435232</v>
      </c>
      <c r="N115" s="40" t="n">
        <f aca="false">M115+N114</f>
        <v>886353.463384538</v>
      </c>
      <c r="O115" s="11" t="n">
        <f aca="false">N115</f>
        <v>886353.463384538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173684.153502761</v>
      </c>
      <c r="D116" s="40" t="n">
        <f aca="false">-MIN(0,MIN($C$115:D115))</f>
        <v>192731.492477889</v>
      </c>
      <c r="E116" s="40" t="n">
        <f aca="false">-MIN(0,MIN($C$115:E115))</f>
        <v>287419.32724802</v>
      </c>
      <c r="F116" s="40" t="n">
        <f aca="false">-MIN(0,MIN($C$115:F115))</f>
        <v>307099.112080031</v>
      </c>
      <c r="G116" s="40" t="n">
        <f aca="false">-MIN(0,MIN($C$115:G115))</f>
        <v>307099.112080031</v>
      </c>
      <c r="H116" s="40" t="n">
        <f aca="false">-MIN(0,MIN($C$115:H115))</f>
        <v>307099.112080031</v>
      </c>
      <c r="I116" s="40" t="n">
        <f aca="false">-MIN(0,MIN($C$115:I115))</f>
        <v>307099.112080031</v>
      </c>
      <c r="J116" s="40" t="n">
        <f aca="false">-MIN(0,MIN($C$115:J115))</f>
        <v>307099.112080031</v>
      </c>
      <c r="K116" s="40" t="n">
        <f aca="false">-MIN(0,MIN($C$115:K115))</f>
        <v>307099.112080031</v>
      </c>
      <c r="L116" s="40" t="n">
        <f aca="false">-MIN(0,MIN($C$115:L115))</f>
        <v>307099.112080031</v>
      </c>
      <c r="M116" s="40" t="n">
        <f aca="false">-MIN(0,MIN($C$115:M115))</f>
        <v>307099.112080031</v>
      </c>
      <c r="N116" s="40" t="n">
        <f aca="false">-MIN(0,MIN($C$115:N115))</f>
        <v>307099.112080031</v>
      </c>
      <c r="O116" s="11" t="n">
        <f aca="false">MAX(C116:N116)</f>
        <v>307099.112080031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0</v>
      </c>
      <c r="L118" s="10" t="n">
        <f aca="false">IF(L116&gt;=INDEX(Assumptions!$C$172:$E$172,L$9),1,0)</f>
        <v>0</v>
      </c>
      <c r="M118" s="10" t="n">
        <f aca="false">IF(M116&gt;=INDEX(Assumptions!$C$172:$E$172,M$9),1,0)</f>
        <v>0</v>
      </c>
      <c r="N118" s="10" t="n">
        <f aca="false">IF(N116&gt;=INDEX(Assumptions!$C$172:$E$172,N$9),1,0)</f>
        <v>0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0</v>
      </c>
      <c r="J119" s="10" t="n">
        <f aca="false">IF(J116&gt;=1000000,1,0)</f>
        <v>0</v>
      </c>
      <c r="K119" s="10" t="n">
        <f aca="false">IF(K116&gt;=1000000,1,0)</f>
        <v>0</v>
      </c>
      <c r="L119" s="10" t="n">
        <f aca="false">IF(L116&gt;=1000000,1,0)</f>
        <v>0</v>
      </c>
      <c r="M119" s="10" t="n">
        <f aca="false">IF(M116&gt;=1000000,1,0)</f>
        <v>0</v>
      </c>
      <c r="N119" s="10" t="n">
        <f aca="false">IF(N116&gt;=1000000,1,0)</f>
        <v>0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3.0122365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3.9892775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4.28044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5.34784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5.88430095473167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5.06346741332921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5.15287888619451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3.0122365</v>
      </c>
      <c r="D129" s="8" t="n">
        <f aca="false">C129/INDEX(Assumptions!$C$179:$E$179,$B$3)</f>
        <v>0.251019708333333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3.9892775</v>
      </c>
      <c r="D130" s="8" t="n">
        <f aca="false">C130/INDEX(Assumptions!$C$179:$E$179,$B$3)</f>
        <v>0.332439791666667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4.28044</v>
      </c>
      <c r="D131" s="8" t="n">
        <f aca="false">C131/INDEX(Assumptions!$C$179:$E$179,$B$3)</f>
        <v>0.356703333333333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5.34784</v>
      </c>
      <c r="D132" s="8" t="n">
        <f aca="false">C132/INDEX(Assumptions!$C$179:$E$179,$B$3)</f>
        <v>0.445653333333333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5.88430095473167</v>
      </c>
      <c r="D133" s="8" t="n">
        <f aca="false">C133/INDEX(Assumptions!$C$179:$E$179,$B$3)</f>
        <v>0.490358412894305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0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5.06346741332921</v>
      </c>
      <c r="D134" s="8" t="n">
        <f aca="false">C134/INDEX(Assumptions!$C$179:$E$179,$B$3)</f>
        <v>0.421955617777434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5.15287888619451</v>
      </c>
      <c r="D135" s="8" t="n">
        <f aca="false">C135/INDEX(Assumptions!$C$179:$E$179,$B$3)</f>
        <v>0.429406573849543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3.0122365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3.9892775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5.84996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7.76682653386454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6.95926183419633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6.77835088619451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3.0122365</v>
      </c>
      <c r="D143" s="8" t="n">
        <f aca="false">C143/INDEX(Assumptions!$C$179:$E$179,$B$3)</f>
        <v>0.251019708333333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3.9892775</v>
      </c>
      <c r="D144" s="8" t="n">
        <f aca="false">C144/INDEX(Assumptions!$C$179:$E$179,$B$3)</f>
        <v>0.332439791666667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5.84996</v>
      </c>
      <c r="D145" s="8" t="n">
        <f aca="false">C145/INDEX(Assumptions!$C$179:$E$179,$B$3)</f>
        <v>0.487496666666667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0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7.76682653386454</v>
      </c>
      <c r="D146" s="8" t="n">
        <f aca="false">C146/INDEX(Assumptions!$C$179:$E$179,$B$3)</f>
        <v>0.647235544488712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0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6.95926183419633</v>
      </c>
      <c r="D147" s="8" t="n">
        <f aca="false">C147/INDEX(Assumptions!$C$179:$E$179,$B$3)</f>
        <v>0.579938486183028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6.77835088619451</v>
      </c>
      <c r="D148" s="8" t="n">
        <f aca="false">C148/INDEX(Assumptions!$C$179:$E$179,$B$3)</f>
        <v>0.564862573849543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3978818.17550246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1076718.07355403</v>
      </c>
    </row>
    <row r="154" customFormat="false" ht="15" hidden="false" customHeight="false" outlineLevel="0" collapsed="false">
      <c r="A154" s="3" t="s">
        <v>45</v>
      </c>
      <c r="B154" s="9" t="n">
        <f aca="false">O104</f>
        <v>0.270612535195343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176718.073554029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50000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307099.112080031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1000000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692900.887919969</v>
      </c>
    </row>
    <row r="160" customFormat="false" ht="15" hidden="false" customHeight="false" outlineLevel="0" collapsed="false">
      <c r="A160" s="3" t="s">
        <v>51</v>
      </c>
      <c r="B160" s="7" t="n">
        <f aca="false">O38</f>
        <v>51.9759590046751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5.41971677855696</v>
      </c>
    </row>
    <row r="162" customFormat="false" ht="15" hidden="false" customHeight="false" outlineLevel="0" collapsed="false">
      <c r="A162" s="3" t="s">
        <v>53</v>
      </c>
      <c r="B162" s="11" t="n">
        <f aca="false">O46</f>
        <v>76.5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0.803271019975302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50420.5817372881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188333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135889.810898458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1.04011471693827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12.4813766032592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10332.6432520539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0.152406487967795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0.2787472607242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5.66843735781582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570950.525933428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5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886353.463384538</v>
      </c>
    </row>
    <row r="179" customFormat="false" ht="15" hidden="false" customHeight="false" outlineLevel="0" collapsed="false">
      <c r="A179" s="3" t="s">
        <v>70</v>
      </c>
      <c r="B179" s="12" t="str">
        <f aca="false">IFERROR(MATCH(1,C118:N118,0),"not in Y1")</f>
        <v>not in Y1</v>
      </c>
    </row>
    <row r="180" customFormat="false" ht="15" hidden="false" customHeight="false" outlineLevel="0" collapsed="false">
      <c r="A180" s="3" t="s">
        <v>71</v>
      </c>
      <c r="B180" s="12" t="str">
        <f aca="false">IFERROR(MATCH(1,C119:N119,0),"not in Y1")</f>
        <v>not in Y1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307099.112080031</v>
      </c>
    </row>
    <row r="182" customFormat="false" ht="15" hidden="false" customHeight="false" outlineLevel="0" collapsed="false">
      <c r="A182" s="3" t="s">
        <v>73</v>
      </c>
      <c r="B182" s="11" t="n">
        <f aca="false">O86</f>
        <v>516000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76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971181.575402805</v>
      </c>
    </row>
    <row r="187" customFormat="false" ht="15" hidden="false" customHeight="false" outlineLevel="0" collapsed="false">
      <c r="A187" s="3" t="s">
        <v>78</v>
      </c>
      <c r="B187" s="11" t="n">
        <f aca="false">O97</f>
        <v>410000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4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0.251019708333333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0.332439791666667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0.389648110169707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5.15287888619451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10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0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3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0.571556899112802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16.2591503356709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0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1135949.52593343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1567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3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0</v>
      </c>
      <c r="R3" s="2" t="s">
        <v>1393</v>
      </c>
      <c r="S3" s="37" t="n">
        <v>1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1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3</v>
      </c>
      <c r="D9" s="10" t="n">
        <f aca="false">IF(2&gt;=$U$4,1,$D$3)</f>
        <v>3</v>
      </c>
      <c r="E9" s="10" t="n">
        <f aca="false">IF(3&gt;=$U$4,1,$D$3)</f>
        <v>3</v>
      </c>
      <c r="F9" s="10" t="n">
        <f aca="false">IF(4&gt;=$U$4,1,$D$3)</f>
        <v>3</v>
      </c>
      <c r="G9" s="10" t="n">
        <f aca="false">IF(5&gt;=$U$4,1,$D$3)</f>
        <v>3</v>
      </c>
      <c r="H9" s="10" t="n">
        <f aca="false">IF(6&gt;=$U$4,1,$D$3)</f>
        <v>3</v>
      </c>
      <c r="I9" s="10" t="n">
        <f aca="false">IF(7&gt;=$U$4,1,$D$3)</f>
        <v>3</v>
      </c>
      <c r="J9" s="10" t="n">
        <f aca="false">IF(8&gt;=$U$4,1,$D$3)</f>
        <v>3</v>
      </c>
      <c r="K9" s="10" t="n">
        <f aca="false">IF(9&gt;=$U$4,1,$D$3)</f>
        <v>3</v>
      </c>
      <c r="L9" s="10" t="n">
        <f aca="false">IF(10&gt;=$U$4,1,$D$3)</f>
        <v>3</v>
      </c>
      <c r="M9" s="10" t="n">
        <f aca="false">IF(11&gt;=$U$4,1,$D$3)</f>
        <v>3</v>
      </c>
      <c r="N9" s="10" t="n">
        <f aca="false">IF(12&gt;=$U$4,1,$D$3)</f>
        <v>3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0.908333333333333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0.816666666666667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0.725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0.541666666666667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0.45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0.416666666666667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0.383333333333333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0.35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0.316666666666667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0.283333333333333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0.25</v>
      </c>
      <c r="O12" s="39" t="n">
        <f aca="false">N12</f>
        <v>0.25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3.08333333333333</v>
      </c>
      <c r="E15" s="16" t="n">
        <f aca="false">E14+(INDEX(Assumptions!$C$25:$E$25,E$9)*(1-(INDEX(Assumptions!$C$27:$E$27,$B$3)+INDEX(Assumptions!$C$28:$E$28,$B$3)+INDEX(Assumptions!$C$31:$E$31,$B$3)))-E14)*MIN(1,(3-1)/6)*$N$4</f>
        <v>3.66666666666667</v>
      </c>
      <c r="F15" s="16" t="n">
        <f aca="false">F14+(INDEX(Assumptions!$C$25:$E$25,F$9)*(1-(INDEX(Assumptions!$C$27:$E$27,$B$3)+INDEX(Assumptions!$C$28:$E$28,$B$3)+INDEX(Assumptions!$C$31:$E$31,$B$3)))-F14)*MIN(1,(4-1)/6)*$N$4</f>
        <v>4.25</v>
      </c>
      <c r="G15" s="16" t="n">
        <f aca="false">G14+(INDEX(Assumptions!$C$25:$E$25,G$9)*(1-(INDEX(Assumptions!$C$27:$E$27,$B$3)+INDEX(Assumptions!$C$28:$E$28,$B$3)+INDEX(Assumptions!$C$31:$E$31,$B$3)))-G14)*MIN(1,(5-1)/6)*$N$4</f>
        <v>4.83333333333333</v>
      </c>
      <c r="H15" s="16" t="n">
        <f aca="false">H14+(INDEX(Assumptions!$C$25:$E$25,H$9)*(1-(INDEX(Assumptions!$C$27:$E$27,$B$3)+INDEX(Assumptions!$C$28:$E$28,$B$3)+INDEX(Assumptions!$C$31:$E$31,$B$3)))-H14)*MIN(1,(6-1)/6)*$N$4</f>
        <v>5.41666666666667</v>
      </c>
      <c r="I15" s="16" t="n">
        <f aca="false">I14+(INDEX(Assumptions!$C$25:$E$25,I$9)*(1-(INDEX(Assumptions!$C$27:$E$27,$B$3)+INDEX(Assumptions!$C$28:$E$28,$B$3)+INDEX(Assumptions!$C$31:$E$31,$B$3)))-I14)*MIN(1,(7-1)/6)*$N$4</f>
        <v>6</v>
      </c>
      <c r="J15" s="16" t="n">
        <f aca="false">J14+(INDEX(Assumptions!$C$25:$E$25,J$9)*(1-(INDEX(Assumptions!$C$27:$E$27,$B$3)+INDEX(Assumptions!$C$28:$E$28,$B$3)+INDEX(Assumptions!$C$31:$E$31,$B$3)))-J14)*MIN(1,(8-1)/6)*$N$4</f>
        <v>6</v>
      </c>
      <c r="K15" s="16" t="n">
        <f aca="false">K14+(INDEX(Assumptions!$C$25:$E$25,K$9)*(1-(INDEX(Assumptions!$C$27:$E$27,$B$3)+INDEX(Assumptions!$C$28:$E$28,$B$3)+INDEX(Assumptions!$C$31:$E$31,$B$3)))-K14)*MIN(1,(9-1)/6)*$N$4</f>
        <v>6</v>
      </c>
      <c r="L15" s="16" t="n">
        <f aca="false">L14+(INDEX(Assumptions!$C$25:$E$25,L$9)*(1-(INDEX(Assumptions!$C$27:$E$27,$B$3)+INDEX(Assumptions!$C$28:$E$28,$B$3)+INDEX(Assumptions!$C$31:$E$31,$B$3)))-L14)*MIN(1,(10-1)/6)*$N$4</f>
        <v>6</v>
      </c>
      <c r="M15" s="16" t="n">
        <f aca="false">M14+(INDEX(Assumptions!$C$25:$E$25,M$9)*(1-(INDEX(Assumptions!$C$27:$E$27,$B$3)+INDEX(Assumptions!$C$28:$E$28,$B$3)+INDEX(Assumptions!$C$31:$E$31,$B$3)))-M14)*MIN(1,(11-1)/6)*$N$4</f>
        <v>6</v>
      </c>
      <c r="N15" s="16" t="n">
        <f aca="false">N14+(INDEX(Assumptions!$C$25:$E$25,N$9)*(1-(INDEX(Assumptions!$C$27:$E$27,$B$3)+INDEX(Assumptions!$C$28:$E$28,$B$3)+INDEX(Assumptions!$C$31:$E$31,$B$3)))-N14)*MIN(1,(12-1)/6)*$N$4</f>
        <v>6</v>
      </c>
      <c r="O15" s="38" t="n">
        <f aca="false">SUM(C15:N15)</f>
        <v>59.75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1.5</v>
      </c>
      <c r="E16" s="16" t="n">
        <f aca="false">INDEX(Assumptions!$C$25:$E$25,E$9)*(INDEX(Assumptions!$C$27:$E$27,$B$3)+INDEX(Assumptions!$C$28:$E$28,$B$3)+INDEX(Assumptions!$C$31:$E$31,$B$3))*MIN(1,(3-1)/6)</f>
        <v>3</v>
      </c>
      <c r="F16" s="16" t="n">
        <f aca="false">INDEX(Assumptions!$C$25:$E$25,F$9)*(INDEX(Assumptions!$C$27:$E$27,$B$3)+INDEX(Assumptions!$C$28:$E$28,$B$3)+INDEX(Assumptions!$C$31:$E$31,$B$3))*MIN(1,(4-1)/6)</f>
        <v>4.5</v>
      </c>
      <c r="G16" s="16" t="n">
        <f aca="false">INDEX(Assumptions!$C$25:$E$25,G$9)*(INDEX(Assumptions!$C$27:$E$27,$B$3)+INDEX(Assumptions!$C$28:$E$28,$B$3)+INDEX(Assumptions!$C$31:$E$31,$B$3))*MIN(1,(5-1)/6)</f>
        <v>6</v>
      </c>
      <c r="H16" s="16" t="n">
        <f aca="false">INDEX(Assumptions!$C$25:$E$25,H$9)*(INDEX(Assumptions!$C$27:$E$27,$B$3)+INDEX(Assumptions!$C$28:$E$28,$B$3)+INDEX(Assumptions!$C$31:$E$31,$B$3))*MIN(1,(6-1)/6)</f>
        <v>7.5</v>
      </c>
      <c r="I16" s="16" t="n">
        <f aca="false">INDEX(Assumptions!$C$25:$E$25,I$9)*(INDEX(Assumptions!$C$27:$E$27,$B$3)+INDEX(Assumptions!$C$28:$E$28,$B$3)+INDEX(Assumptions!$C$31:$E$31,$B$3))*MIN(1,(7-1)/6)</f>
        <v>9</v>
      </c>
      <c r="J16" s="16" t="n">
        <f aca="false">INDEX(Assumptions!$C$25:$E$25,J$9)*(INDEX(Assumptions!$C$27:$E$27,$B$3)+INDEX(Assumptions!$C$28:$E$28,$B$3)+INDEX(Assumptions!$C$31:$E$31,$B$3))*MIN(1,(8-1)/6)</f>
        <v>9</v>
      </c>
      <c r="K16" s="16" t="n">
        <f aca="false">INDEX(Assumptions!$C$25:$E$25,K$9)*(INDEX(Assumptions!$C$27:$E$27,$B$3)+INDEX(Assumptions!$C$28:$E$28,$B$3)+INDEX(Assumptions!$C$31:$E$31,$B$3))*MIN(1,(9-1)/6)</f>
        <v>9</v>
      </c>
      <c r="L16" s="16" t="n">
        <f aca="false">INDEX(Assumptions!$C$25:$E$25,L$9)*(INDEX(Assumptions!$C$27:$E$27,$B$3)+INDEX(Assumptions!$C$28:$E$28,$B$3)+INDEX(Assumptions!$C$31:$E$31,$B$3))*MIN(1,(10-1)/6)</f>
        <v>9</v>
      </c>
      <c r="M16" s="16" t="n">
        <f aca="false">INDEX(Assumptions!$C$25:$E$25,M$9)*(INDEX(Assumptions!$C$27:$E$27,$B$3)+INDEX(Assumptions!$C$28:$E$28,$B$3)+INDEX(Assumptions!$C$31:$E$31,$B$3))*MIN(1,(11-1)/6)</f>
        <v>9</v>
      </c>
      <c r="N16" s="16" t="n">
        <f aca="false">INDEX(Assumptions!$C$25:$E$25,N$9)*(INDEX(Assumptions!$C$27:$E$27,$B$3)+INDEX(Assumptions!$C$28:$E$28,$B$3)+INDEX(Assumptions!$C$31:$E$31,$B$3))*MIN(1,(12-1)/6)</f>
        <v>9</v>
      </c>
      <c r="O16" s="38" t="n">
        <f aca="false">SUM(C16:N16)</f>
        <v>76.5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4.58333333333333</v>
      </c>
      <c r="E17" s="16" t="n">
        <f aca="false">E15+E16</f>
        <v>6.66666666666667</v>
      </c>
      <c r="F17" s="16" t="n">
        <f aca="false">F15+F16</f>
        <v>8.75</v>
      </c>
      <c r="G17" s="16" t="n">
        <f aca="false">G15+G16</f>
        <v>10.8333333333333</v>
      </c>
      <c r="H17" s="16" t="n">
        <f aca="false">H15+H16</f>
        <v>12.9166666666667</v>
      </c>
      <c r="I17" s="16" t="n">
        <f aca="false">I15+I16</f>
        <v>15</v>
      </c>
      <c r="J17" s="16" t="n">
        <f aca="false">J15+J16</f>
        <v>15</v>
      </c>
      <c r="K17" s="16" t="n">
        <f aca="false">K15+K16</f>
        <v>15</v>
      </c>
      <c r="L17" s="16" t="n">
        <f aca="false">L15+L16</f>
        <v>15</v>
      </c>
      <c r="M17" s="16" t="n">
        <f aca="false">M15+M16</f>
        <v>15</v>
      </c>
      <c r="N17" s="16" t="n">
        <f aca="false">N15+N16</f>
        <v>15</v>
      </c>
      <c r="O17" s="38" t="n">
        <f aca="false">SUM(C17:N17)</f>
        <v>136.25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50000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60000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120000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170000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200000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200000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200000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200000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200000</v>
      </c>
      <c r="O18" s="40" t="n">
        <f aca="false">SUM(C18:N18)</f>
        <v>1490000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1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0.9725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3</v>
      </c>
      <c r="F21" s="16" t="n">
        <f aca="false">F18*INDEX(Assumptions!$C$119:$E$119,$B$3)/F19</f>
        <v>3.6</v>
      </c>
      <c r="G21" s="16" t="n">
        <f aca="false">G18*INDEX(Assumptions!$C$119:$E$119,$B$3)/G19</f>
        <v>3.6</v>
      </c>
      <c r="H21" s="16" t="n">
        <f aca="false">H18*INDEX(Assumptions!$C$119:$E$119,$B$3)/H19</f>
        <v>7.2</v>
      </c>
      <c r="I21" s="16" t="n">
        <f aca="false">I18*INDEX(Assumptions!$C$119:$E$119,$B$3)/I19</f>
        <v>10.2</v>
      </c>
      <c r="J21" s="16" t="n">
        <f aca="false">J18*INDEX(Assumptions!$C$119:$E$119,$B$3)/J19</f>
        <v>12</v>
      </c>
      <c r="K21" s="16" t="n">
        <f aca="false">K18*INDEX(Assumptions!$C$119:$E$119,$B$3)/K19</f>
        <v>12</v>
      </c>
      <c r="L21" s="16" t="n">
        <f aca="false">L18*INDEX(Assumptions!$C$119:$E$119,$B$3)/L19</f>
        <v>12</v>
      </c>
      <c r="M21" s="16" t="n">
        <f aca="false">M18*INDEX(Assumptions!$C$119:$E$119,$B$3)/M19</f>
        <v>12</v>
      </c>
      <c r="N21" s="16" t="n">
        <f aca="false">N18*INDEX(Assumptions!$C$119:$E$119,$B$3)/N19</f>
        <v>12</v>
      </c>
      <c r="O21" s="38" t="n">
        <f aca="false">SUM(C21:N21)</f>
        <v>89.4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2.9875</v>
      </c>
      <c r="E24" s="38" t="n">
        <f aca="false">E10*(E14*$F$3+(E15-E14)*$F$3*E20+MIN(E16,E21*E20))*E22*E23</f>
        <v>4.66666666666667</v>
      </c>
      <c r="F24" s="38" t="n">
        <f aca="false">F10*(F14*$F$3+(F15-F14)*$F$3*F20+MIN(F16,F21*F20))*F22*F23</f>
        <v>6.28</v>
      </c>
      <c r="G24" s="38" t="n">
        <f aca="false">G10*(G14*$F$3+(G15-G14)*$F$3*G20+MIN(G16,G21*G20))*G22*G23</f>
        <v>7.59</v>
      </c>
      <c r="H24" s="38" t="n">
        <f aca="false">H10*(H14*$F$3+(H15-H14)*$F$3*H20+MIN(H16,H21*H20))*H22*H23</f>
        <v>12.6166666666667</v>
      </c>
      <c r="I24" s="38" t="n">
        <f aca="false">I10*(I14*$F$3+(I15-I14)*$F$3*I20+MIN(I16,I21*I20))*I22*I23</f>
        <v>19.5</v>
      </c>
      <c r="J24" s="38" t="n">
        <f aca="false">J10*(J14*$F$3+(J15-J14)*$F$3*J20+MIN(J16,J21*J20))*J22*J23</f>
        <v>20.25</v>
      </c>
      <c r="K24" s="38" t="n">
        <f aca="false">K10*(K14*$F$3+(K15-K14)*$F$3*K20+MIN(K16,K21*K20))*K22*K23</f>
        <v>18.75</v>
      </c>
      <c r="L24" s="38" t="n">
        <f aca="false">L10*(L14*$F$3+(L15-L14)*$F$3*L20+MIN(L16,L21*L20))*L22*L23</f>
        <v>16.5</v>
      </c>
      <c r="M24" s="38" t="n">
        <f aca="false">M10*(M14*$F$3+(M15-M14)*$F$3*M20+MIN(M16,M21*M20))*M22*M23</f>
        <v>15.75</v>
      </c>
      <c r="N24" s="38" t="n">
        <f aca="false">N10*(N14*$F$3+(N15-N14)*$F$3*N20+MIN(N16,N21*N20))*N22*N23</f>
        <v>15</v>
      </c>
      <c r="O24" s="17" t="n">
        <f aca="false">SUM(C24:N24)</f>
        <v>141.890833333333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16</v>
      </c>
      <c r="G25" s="10" t="n">
        <f aca="false">IF(AND(5&gt;=IF($Q$3=1,$Q$4+1,INDEX(Assumptions!$C$215:$E$215,$D$3)),5&lt;$U$4),INDEX(Assumptions!$C$218:$E$218,G$9),INDEX(Assumptions!$C$213:$E$213,$B$3))</f>
        <v>16</v>
      </c>
      <c r="H25" s="10" t="n">
        <f aca="false">IF(AND(6&gt;=IF($Q$3=1,$Q$4+1,INDEX(Assumptions!$C$215:$E$215,$D$3)),6&lt;$U$4),INDEX(Assumptions!$C$218:$E$218,H$9),INDEX(Assumptions!$C$213:$E$213,$B$3))</f>
        <v>16</v>
      </c>
      <c r="I25" s="10" t="n">
        <f aca="false">IF(AND(7&gt;=IF($Q$3=1,$Q$4+1,INDEX(Assumptions!$C$215:$E$215,$D$3)),7&lt;$U$4),INDEX(Assumptions!$C$218:$E$218,I$9),INDEX(Assumptions!$C$213:$E$213,$B$3))</f>
        <v>16</v>
      </c>
      <c r="J25" s="10" t="n">
        <f aca="false">IF(AND(8&gt;=IF($Q$3=1,$Q$4+1,INDEX(Assumptions!$C$215:$E$215,$D$3)),8&lt;$U$4),INDEX(Assumptions!$C$218:$E$218,J$9),INDEX(Assumptions!$C$213:$E$213,$B$3))</f>
        <v>16</v>
      </c>
      <c r="K25" s="10" t="n">
        <f aca="false">IF(AND(9&gt;=IF($Q$3=1,$Q$4+1,INDEX(Assumptions!$C$215:$E$215,$D$3)),9&lt;$U$4),INDEX(Assumptions!$C$218:$E$218,K$9),INDEX(Assumptions!$C$213:$E$213,$B$3))</f>
        <v>16</v>
      </c>
      <c r="L25" s="10" t="n">
        <f aca="false">IF(AND(10&gt;=IF($Q$3=1,$Q$4+1,INDEX(Assumptions!$C$215:$E$215,$D$3)),10&lt;$U$4),INDEX(Assumptions!$C$218:$E$218,L$9),INDEX(Assumptions!$C$213:$E$213,$B$3))</f>
        <v>16</v>
      </c>
      <c r="M25" s="10" t="n">
        <f aca="false">IF(AND(11&gt;=IF($Q$3=1,$Q$4+1,INDEX(Assumptions!$C$215:$E$215,$D$3)),11&lt;$U$4),INDEX(Assumptions!$C$218:$E$218,M$9),INDEX(Assumptions!$C$213:$E$213,$B$3))</f>
        <v>16</v>
      </c>
      <c r="N25" s="10" t="n">
        <f aca="false">IF(AND(12&gt;=IF($Q$3=1,$Q$4+1,INDEX(Assumptions!$C$215:$E$215,$D$3)),12&lt;$U$4),INDEX(Assumptions!$C$218:$E$218,N$9),INDEX(Assumptions!$C$213:$E$213,$B$3))</f>
        <v>16</v>
      </c>
      <c r="O25" s="40" t="n">
        <f aca="false">N25</f>
        <v>16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2.5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36</v>
      </c>
      <c r="G27" s="6" t="n">
        <f aca="false">G25*G26*INDEX(Assumptions!$C$220:$E$220,$B$3)</f>
        <v>36</v>
      </c>
      <c r="H27" s="6" t="n">
        <f aca="false">H25*H26*INDEX(Assumptions!$C$220:$E$220,$B$3)</f>
        <v>36</v>
      </c>
      <c r="I27" s="6" t="n">
        <f aca="false">I25*I26*INDEX(Assumptions!$C$220:$E$220,$B$3)</f>
        <v>36</v>
      </c>
      <c r="J27" s="6" t="n">
        <f aca="false">J25*J26*INDEX(Assumptions!$C$220:$E$220,$B$3)</f>
        <v>36</v>
      </c>
      <c r="K27" s="6" t="n">
        <f aca="false">K25*K26*INDEX(Assumptions!$C$220:$E$220,$B$3)</f>
        <v>36</v>
      </c>
      <c r="L27" s="6" t="n">
        <f aca="false">L25*L26*INDEX(Assumptions!$C$220:$E$220,$B$3)</f>
        <v>36</v>
      </c>
      <c r="M27" s="6" t="n">
        <f aca="false">M25*M26*INDEX(Assumptions!$C$220:$E$220,$B$3)</f>
        <v>36</v>
      </c>
      <c r="N27" s="6" t="n">
        <f aca="false">N25*N26*INDEX(Assumptions!$C$220:$E$220,$B$3)</f>
        <v>36</v>
      </c>
      <c r="O27" s="41" t="n">
        <f aca="false">N27</f>
        <v>36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0.25</v>
      </c>
      <c r="K28" s="8" t="n">
        <f aca="false">IF(9&gt;=IF($Q$3=1,MAX(INDEX(Assumptions!$C$231:$E$231,K$9),$Q$4+1),INDEX(Assumptions!$C$231:$E$231,K$9)),INDEX(Assumptions!$C$74:$E$74,$B$3),0)</f>
        <v>0.25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3.0375</v>
      </c>
      <c r="K30" s="16" t="n">
        <f aca="false">MAX(K24*INDEX(Assumptions!$C$26:$E$26,$B$3)*K28,K29)</f>
        <v>2.8125</v>
      </c>
      <c r="L30" s="16" t="n">
        <f aca="false">MAX(L24*INDEX(Assumptions!$C$26:$E$26,$B$3)*L28,L29)</f>
        <v>2.475</v>
      </c>
      <c r="M30" s="16" t="n">
        <f aca="false">MAX(M24*INDEX(Assumptions!$C$26:$E$26,$B$3)*M28,M29)</f>
        <v>2.3625</v>
      </c>
      <c r="N30" s="16" t="n">
        <f aca="false">MAX(N24*INDEX(Assumptions!$C$26:$E$26,$B$3)*N28,N29)</f>
        <v>2.25</v>
      </c>
      <c r="O30" s="38" t="n">
        <f aca="false">SUM(C30:N30)</f>
        <v>12.9375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3.2325</v>
      </c>
      <c r="F31" s="6" t="n">
        <f aca="false">E34+D34+E37+D37+1.25*E35</f>
        <v>5.191</v>
      </c>
      <c r="G31" s="6" t="n">
        <f aca="false">F34+E34+F37+E37+1.25*F35</f>
        <v>7.4865</v>
      </c>
      <c r="H31" s="6" t="n">
        <f aca="false">G34+F34+G37+F37+1.25*G35</f>
        <v>9.6356</v>
      </c>
      <c r="I31" s="6" t="n">
        <f aca="false">H34+G34+H37+G37+1.25*H35</f>
        <v>13.7884</v>
      </c>
      <c r="J31" s="6" t="n">
        <f aca="false">I34+H34+I37+H37+1.25*I35</f>
        <v>21.6948</v>
      </c>
      <c r="K31" s="6" t="n">
        <f aca="false">J34+I34+J37+I37+1.25*J35</f>
        <v>22.5566637436762</v>
      </c>
      <c r="L31" s="6" t="n">
        <f aca="false">K34+J34+K37+J37+1.25*K35</f>
        <v>15.645296213899</v>
      </c>
      <c r="M31" s="6" t="n">
        <f aca="false">L34+K34+L37+K37+1.25*L35</f>
        <v>18.3351219483081</v>
      </c>
      <c r="N31" s="6" t="n">
        <f aca="false">M34+L34+M37+L37+1.25*M35</f>
        <v>20.4597273321583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3.2275</v>
      </c>
      <c r="E32" s="6" t="n">
        <f aca="false">E24*(INDEX(Assumptions!$C$26:$E$26,$B$3)*(1-E28)+(1-INDEX(Assumptions!$C$26:$E$26,$B$3)))+1.25*E30+D36*INDEX(Assumptions!$C$89:$E$89,$B$3)</f>
        <v>5.02516666666667</v>
      </c>
      <c r="F32" s="6" t="n">
        <f aca="false">F24*(INDEX(Assumptions!$C$26:$E$26,$B$3)*(1-F28)+(1-INDEX(Assumptions!$C$26:$E$26,$B$3)))+1.25*F30+E36*INDEX(Assumptions!$C$89:$E$89,$B$3)</f>
        <v>6.84</v>
      </c>
      <c r="G32" s="6" t="n">
        <f aca="false">G24*(INDEX(Assumptions!$C$26:$E$26,$B$3)*(1-G28)+(1-INDEX(Assumptions!$C$26:$E$26,$B$3)))+1.25*G30+F36*INDEX(Assumptions!$C$89:$E$89,$B$3)</f>
        <v>8.3436</v>
      </c>
      <c r="H32" s="6" t="n">
        <f aca="false">H24*(INDEX(Assumptions!$C$26:$E$26,$B$3)*(1-H28)+(1-INDEX(Assumptions!$C$26:$E$26,$B$3)))+1.25*H30+G36*INDEX(Assumptions!$C$89:$E$89,$B$3)</f>
        <v>13.5274666666667</v>
      </c>
      <c r="I32" s="6" t="n">
        <f aca="false">I24*(INDEX(Assumptions!$C$26:$E$26,$B$3)*(1-I28)+(1-INDEX(Assumptions!$C$26:$E$26,$B$3)))+1.25*I30+H36*INDEX(Assumptions!$C$89:$E$89,$B$3)</f>
        <v>21.014</v>
      </c>
      <c r="J32" s="6" t="n">
        <f aca="false">J24*(INDEX(Assumptions!$C$26:$E$26,$B$3)*(1-J28)+(1-INDEX(Assumptions!$C$26:$E$26,$B$3)))+1.25*J30+I36*INDEX(Assumptions!$C$89:$E$89,$B$3)</f>
        <v>23.349375</v>
      </c>
      <c r="K32" s="6" t="n">
        <f aca="false">K24*(INDEX(Assumptions!$C$26:$E$26,$B$3)*(1-K28)+(1-INDEX(Assumptions!$C$26:$E$26,$B$3)))+1.25*K30+J36*INDEX(Assumptions!$C$89:$E$89,$B$3)</f>
        <v>20.9418858768971</v>
      </c>
      <c r="L32" s="6" t="n">
        <f aca="false">L24*(INDEX(Assumptions!$C$26:$E$26,$B$3)*(1-L28)+(1-INDEX(Assumptions!$C$26:$E$26,$B$3)))+1.25*L30+K36*INDEX(Assumptions!$C$89:$E$89,$B$3)</f>
        <v>18.5631044747848</v>
      </c>
      <c r="M32" s="6" t="n">
        <f aca="false">M24*(INDEX(Assumptions!$C$26:$E$26,$B$3)*(1-M28)+(1-INDEX(Assumptions!$C$26:$E$26,$B$3)))+1.25*M30+L36*INDEX(Assumptions!$C$89:$E$89,$B$3)</f>
        <v>18.320625</v>
      </c>
      <c r="N32" s="6" t="n">
        <f aca="false">N24*(INDEX(Assumptions!$C$26:$E$26,$B$3)*(1-N28)+(1-INDEX(Assumptions!$C$26:$E$26,$B$3)))+1.25*N30+M36*INDEX(Assumptions!$C$89:$E$89,$B$3)</f>
        <v>17.3848515582955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0.61265879707701</v>
      </c>
      <c r="K33" s="8" t="n">
        <f aca="false">IF(K32&lt;=0,1,MAX(0,MIN(1,(K27-K31)/K32)))</f>
        <v>0.641935322126568</v>
      </c>
      <c r="L33" s="8" t="n">
        <f aca="false">IF(L32&lt;=0,1,MAX(0,MIN(1,(L27-L31)/L32)))</f>
        <v>1</v>
      </c>
      <c r="M33" s="8" t="n">
        <f aca="false">IF(M32&lt;=0,1,MAX(0,MIN(1,(M27-M31)/M32)))</f>
        <v>0.964207173701329</v>
      </c>
      <c r="N33" s="8" t="n">
        <f aca="false">IF(N32&lt;=0,1,MAX(0,MIN(1,(N27-N31)/N32)))</f>
        <v>0.893897345958433</v>
      </c>
      <c r="O33" s="8" t="n">
        <f aca="false">MIN(C33:N33)</f>
        <v>0.61265879707701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1.7925</v>
      </c>
      <c r="E34" s="38" t="n">
        <f aca="false">E24*INDEX(Assumptions!$C$26:$E$26,$B$3)*(1-E28)*E33</f>
        <v>2.8</v>
      </c>
      <c r="F34" s="38" t="n">
        <f aca="false">F24*INDEX(Assumptions!$C$26:$E$26,$B$3)*(1-F28)*F33</f>
        <v>3.768</v>
      </c>
      <c r="G34" s="38" t="n">
        <f aca="false">G24*INDEX(Assumptions!$C$26:$E$26,$B$3)*(1-G28)*G33</f>
        <v>4.554</v>
      </c>
      <c r="H34" s="38" t="n">
        <f aca="false">H24*INDEX(Assumptions!$C$26:$E$26,$B$3)*(1-H28)*H33</f>
        <v>7.57</v>
      </c>
      <c r="I34" s="38" t="n">
        <f aca="false">I24*INDEX(Assumptions!$C$26:$E$26,$B$3)*(1-I28)*I33</f>
        <v>11.7</v>
      </c>
      <c r="J34" s="38" t="n">
        <f aca="false">J24*INDEX(Assumptions!$C$26:$E$26,$B$3)*(1-J28)*J33</f>
        <v>5.58285328836425</v>
      </c>
      <c r="K34" s="38" t="n">
        <f aca="false">K24*INDEX(Assumptions!$C$26:$E$26,$B$3)*(1-K28)*K33</f>
        <v>5.41632928044291</v>
      </c>
      <c r="L34" s="38" t="n">
        <f aca="false">L24*INDEX(Assumptions!$C$26:$E$26,$B$3)*(1-L28)*L33</f>
        <v>7.425</v>
      </c>
      <c r="M34" s="38" t="n">
        <f aca="false">M24*INDEX(Assumptions!$C$26:$E$26,$B$3)*(1-M28)*M33</f>
        <v>6.83381834360817</v>
      </c>
      <c r="N34" s="38" t="n">
        <f aca="false">N24*INDEX(Assumptions!$C$26:$E$26,$B$3)*(1-N28)*N33</f>
        <v>6.03380708521942</v>
      </c>
      <c r="O34" s="17" t="n">
        <f aca="false">SUM(C34:N34)</f>
        <v>64.6763079976348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1.86095109612142</v>
      </c>
      <c r="K35" s="16" t="n">
        <f aca="false">K30*K33</f>
        <v>1.80544309348097</v>
      </c>
      <c r="L35" s="16" t="n">
        <f aca="false">L30*L33</f>
        <v>2.475</v>
      </c>
      <c r="M35" s="16" t="n">
        <f aca="false">M30*M33</f>
        <v>2.27793944786939</v>
      </c>
      <c r="N35" s="16" t="n">
        <f aca="false">N30*N33</f>
        <v>2.01126902840647</v>
      </c>
      <c r="O35" s="38" t="n">
        <f aca="false">SUM(C35:N35)</f>
        <v>10.4306026658783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1.195</v>
      </c>
      <c r="E36" s="16" t="n">
        <f aca="false">E24*(1-INDEX(Assumptions!$C$26:$E$26,$B$3))*E33</f>
        <v>1.86666666666667</v>
      </c>
      <c r="F36" s="16" t="n">
        <f aca="false">F24*(1-INDEX(Assumptions!$C$26:$E$26,$B$3))*F33</f>
        <v>2.512</v>
      </c>
      <c r="G36" s="16" t="n">
        <f aca="false">G24*(1-INDEX(Assumptions!$C$26:$E$26,$B$3))*G33</f>
        <v>3.036</v>
      </c>
      <c r="H36" s="16" t="n">
        <f aca="false">H24*(1-INDEX(Assumptions!$C$26:$E$26,$B$3))*H33</f>
        <v>5.04666666666667</v>
      </c>
      <c r="I36" s="16" t="n">
        <f aca="false">I24*(1-INDEX(Assumptions!$C$26:$E$26,$B$3))*I33</f>
        <v>7.8</v>
      </c>
      <c r="J36" s="16" t="n">
        <f aca="false">J24*(1-INDEX(Assumptions!$C$26:$E$26,$B$3))*J33</f>
        <v>4.96253625632378</v>
      </c>
      <c r="K36" s="16" t="n">
        <f aca="false">K24*(1-INDEX(Assumptions!$C$26:$E$26,$B$3))*K33</f>
        <v>4.81451491594926</v>
      </c>
      <c r="L36" s="16" t="n">
        <f aca="false">L24*(1-INDEX(Assumptions!$C$26:$E$26,$B$3))*L33</f>
        <v>6.6</v>
      </c>
      <c r="M36" s="16" t="n">
        <f aca="false">M24*(1-INDEX(Assumptions!$C$26:$E$26,$B$3))*M33</f>
        <v>6.07450519431838</v>
      </c>
      <c r="N36" s="16" t="n">
        <f aca="false">N24*(1-INDEX(Assumptions!$C$26:$E$26,$B$3))*N33</f>
        <v>5.3633840757506</v>
      </c>
      <c r="O36" s="38" t="n">
        <f aca="false">SUM(C36:N36)</f>
        <v>50.0712737756753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0.3585</v>
      </c>
      <c r="F37" s="16" t="n">
        <f aca="false">E36*INDEX(Assumptions!$C$89:$E$89,$B$3)*F33</f>
        <v>0.56</v>
      </c>
      <c r="G37" s="16" t="n">
        <f aca="false">F36*INDEX(Assumptions!$C$89:$E$89,$B$3)*G33</f>
        <v>0.7536</v>
      </c>
      <c r="H37" s="16" t="n">
        <f aca="false">G36*INDEX(Assumptions!$C$89:$E$89,$B$3)*H33</f>
        <v>0.9108</v>
      </c>
      <c r="I37" s="16" t="n">
        <f aca="false">H36*INDEX(Assumptions!$C$89:$E$89,$B$3)*I33</f>
        <v>1.514</v>
      </c>
      <c r="J37" s="16" t="n">
        <f aca="false">I36*INDEX(Assumptions!$C$89:$E$89,$B$3)*J33</f>
        <v>1.4336215851602</v>
      </c>
      <c r="K37" s="16" t="n">
        <f aca="false">J36*INDEX(Assumptions!$C$89:$E$89,$B$3)*K33</f>
        <v>0.955688193080392</v>
      </c>
      <c r="L37" s="16" t="n">
        <f aca="false">K36*INDEX(Assumptions!$C$89:$E$89,$B$3)*L33</f>
        <v>1.44435447478478</v>
      </c>
      <c r="M37" s="16" t="n">
        <f aca="false">L36*INDEX(Assumptions!$C$89:$E$89,$B$3)*M33</f>
        <v>1.90913020392863</v>
      </c>
      <c r="N37" s="16" t="n">
        <f aca="false">M36*INDEX(Assumptions!$C$89:$E$89,$B$3)*N33</f>
        <v>1.62899522136357</v>
      </c>
      <c r="O37" s="38" t="n">
        <f aca="false">SUM(C37:N37)</f>
        <v>11.7086896783176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2.9875</v>
      </c>
      <c r="E38" s="38" t="n">
        <f aca="false">E34+E35+E36</f>
        <v>4.66666666666667</v>
      </c>
      <c r="F38" s="38" t="n">
        <f aca="false">F34+F35+F36</f>
        <v>6.28</v>
      </c>
      <c r="G38" s="38" t="n">
        <f aca="false">G34+G35+G36</f>
        <v>7.59</v>
      </c>
      <c r="H38" s="38" t="n">
        <f aca="false">H34+H35+H36</f>
        <v>12.6166666666667</v>
      </c>
      <c r="I38" s="38" t="n">
        <f aca="false">I34+I35+I36</f>
        <v>19.5</v>
      </c>
      <c r="J38" s="38" t="n">
        <f aca="false">J34+J35+J36</f>
        <v>12.4063406408094</v>
      </c>
      <c r="K38" s="38" t="n">
        <f aca="false">K34+K35+K36</f>
        <v>12.0362872898731</v>
      </c>
      <c r="L38" s="38" t="n">
        <f aca="false">L34+L35+L36</f>
        <v>16.5</v>
      </c>
      <c r="M38" s="38" t="n">
        <f aca="false">M34+M35+M36</f>
        <v>15.1862629857959</v>
      </c>
      <c r="N38" s="38" t="n">
        <f aca="false">N34+N35+N36</f>
        <v>13.4084601893765</v>
      </c>
      <c r="O38" s="17" t="n">
        <f aca="false">SUM(C38:N38)</f>
        <v>125.178184439188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2.9875</v>
      </c>
      <c r="E39" s="16" t="n">
        <f aca="false">IF(3&lt;IF($Q$3=1,$Q$4+1,INDEX(Assumptions!$C$215:$E$215,$D$3)),E24,E38)</f>
        <v>4.66666666666667</v>
      </c>
      <c r="F39" s="16" t="n">
        <f aca="false">IF(4&lt;IF($Q$3=1,$Q$4+1,INDEX(Assumptions!$C$215:$E$215,$D$3)),F24,F38)</f>
        <v>6.28</v>
      </c>
      <c r="G39" s="16" t="n">
        <f aca="false">IF(5&lt;IF($Q$3=1,$Q$4+1,INDEX(Assumptions!$C$215:$E$215,$D$3)),G24,G38)</f>
        <v>7.59</v>
      </c>
      <c r="H39" s="16" t="n">
        <f aca="false">IF(6&lt;IF($Q$3=1,$Q$4+1,INDEX(Assumptions!$C$215:$E$215,$D$3)),H24,H38)</f>
        <v>12.6166666666667</v>
      </c>
      <c r="I39" s="16" t="n">
        <f aca="false">IF(7&lt;IF($Q$3=1,$Q$4+1,INDEX(Assumptions!$C$215:$E$215,$D$3)),I24,I38)</f>
        <v>19.5</v>
      </c>
      <c r="J39" s="16" t="n">
        <f aca="false">IF(8&lt;IF($Q$3=1,$Q$4+1,INDEX(Assumptions!$C$215:$E$215,$D$3)),J24,J38)</f>
        <v>12.4063406408094</v>
      </c>
      <c r="K39" s="16" t="n">
        <f aca="false">IF(9&lt;IF($Q$3=1,$Q$4+1,INDEX(Assumptions!$C$215:$E$215,$D$3)),K24,K38)</f>
        <v>12.0362872898731</v>
      </c>
      <c r="L39" s="16" t="n">
        <f aca="false">IF(10&lt;IF($Q$3=1,$Q$4+1,INDEX(Assumptions!$C$215:$E$215,$D$3)),L24,L38)</f>
        <v>16.5</v>
      </c>
      <c r="M39" s="16" t="n">
        <f aca="false">IF(11&lt;IF($Q$3=1,$Q$4+1,INDEX(Assumptions!$C$215:$E$215,$D$3)),M24,M38)</f>
        <v>15.1862629857959</v>
      </c>
      <c r="N39" s="16" t="n">
        <f aca="false">IF(12&lt;IF($Q$3=1,$Q$4+1,INDEX(Assumptions!$C$215:$E$215,$D$3)),N24,N38)</f>
        <v>13.4084601893765</v>
      </c>
      <c r="O39" s="38" t="n">
        <f aca="false">SUM(C39:N39)</f>
        <v>125.178184439188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0.746875</v>
      </c>
      <c r="E40" s="16" t="n">
        <f aca="false">E38*INDEX(Assumptions!$C$74:$E$74,$B$3)</f>
        <v>1.16666666666667</v>
      </c>
      <c r="F40" s="16" t="n">
        <f aca="false">F38*INDEX(Assumptions!$C$74:$E$74,$B$3)</f>
        <v>1.57</v>
      </c>
      <c r="G40" s="16" t="n">
        <f aca="false">G38*INDEX(Assumptions!$C$74:$E$74,$B$3)</f>
        <v>1.8975</v>
      </c>
      <c r="H40" s="16" t="n">
        <f aca="false">H38*INDEX(Assumptions!$C$74:$E$74,$B$3)</f>
        <v>3.15416666666667</v>
      </c>
      <c r="I40" s="16" t="n">
        <f aca="false">I38*INDEX(Assumptions!$C$74:$E$74,$B$3)</f>
        <v>4.875</v>
      </c>
      <c r="J40" s="16" t="n">
        <f aca="false">J38*INDEX(Assumptions!$C$74:$E$74,$B$3)</f>
        <v>3.10158516020236</v>
      </c>
      <c r="K40" s="16" t="n">
        <f aca="false">K38*INDEX(Assumptions!$C$74:$E$74,$B$3)</f>
        <v>3.00907182246829</v>
      </c>
      <c r="L40" s="16" t="n">
        <f aca="false">L38*INDEX(Assumptions!$C$74:$E$74,$B$3)</f>
        <v>4.125</v>
      </c>
      <c r="M40" s="16" t="n">
        <f aca="false">M38*INDEX(Assumptions!$C$74:$E$74,$B$3)</f>
        <v>3.79656574644898</v>
      </c>
      <c r="N40" s="16" t="n">
        <f aca="false">N38*INDEX(Assumptions!$C$74:$E$74,$B$3)</f>
        <v>3.35211504734412</v>
      </c>
      <c r="O40" s="38" t="n">
        <f aca="false">SUM(C40:N40)</f>
        <v>31.2945461097971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0.675</v>
      </c>
      <c r="E41" s="16" t="n">
        <f aca="false">E10*MIN(E16,E21*E20)*E22*E23*E33</f>
        <v>2.1</v>
      </c>
      <c r="F41" s="16" t="n">
        <f aca="false">F10*MIN(F16,F21*F20)*F22*F23*F33</f>
        <v>2.88</v>
      </c>
      <c r="G41" s="16" t="n">
        <f aca="false">G10*MIN(G16,G21*G20)*G22*G23*G33</f>
        <v>3.24</v>
      </c>
      <c r="H41" s="16" t="n">
        <f aca="false">H10*MIN(H16,H21*H20)*H22*H23*H33</f>
        <v>7.2</v>
      </c>
      <c r="I41" s="16" t="n">
        <f aca="false">I10*MIN(I16,I21*I20)*I22*I23*I33</f>
        <v>11.7</v>
      </c>
      <c r="J41" s="16" t="n">
        <f aca="false">J10*MIN(J16,J21*J20)*J22*J23*J33</f>
        <v>7.44380438448567</v>
      </c>
      <c r="K41" s="16" t="n">
        <f aca="false">K10*MIN(K16,K21*K20)*K22*K23*K33</f>
        <v>7.22177237392389</v>
      </c>
      <c r="L41" s="16" t="n">
        <f aca="false">L10*MIN(L16,L21*L20)*L22*L23*L33</f>
        <v>9.9</v>
      </c>
      <c r="M41" s="16" t="n">
        <f aca="false">M10*MIN(M16,M21*M20)*M22*M23*M33</f>
        <v>9.11175779147756</v>
      </c>
      <c r="N41" s="16" t="n">
        <f aca="false">N10*MIN(N16,N21*N20)*N22*N23*N33</f>
        <v>8.0450761136259</v>
      </c>
      <c r="O41" s="38" t="n">
        <f aca="false">SUM(C41:N41)</f>
        <v>69.517410663513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4.4275</v>
      </c>
      <c r="E42" s="6" t="n">
        <f aca="false">E31+E34+E37+E36+1.25*E35</f>
        <v>8.25766666666667</v>
      </c>
      <c r="F42" s="6" t="n">
        <f aca="false">F31+F34+F37+F36+1.25*F35</f>
        <v>12.031</v>
      </c>
      <c r="G42" s="6" t="n">
        <f aca="false">G31+G34+G37+G36+1.25*G35</f>
        <v>15.8301</v>
      </c>
      <c r="H42" s="6" t="n">
        <f aca="false">H31+H34+H37+H36+1.25*H35</f>
        <v>23.1630666666667</v>
      </c>
      <c r="I42" s="6" t="n">
        <f aca="false">I31+I34+I37+I36+1.25*I35</f>
        <v>34.8024</v>
      </c>
      <c r="J42" s="6" t="n">
        <f aca="false">J31+J34+J37+J36+1.25*J35</f>
        <v>36</v>
      </c>
      <c r="K42" s="6" t="n">
        <f aca="false">K31+K34+K37+K36+1.25*K35</f>
        <v>36</v>
      </c>
      <c r="L42" s="6" t="n">
        <f aca="false">L31+L34+L37+L36+1.25*L35</f>
        <v>34.2084006886838</v>
      </c>
      <c r="M42" s="6" t="n">
        <f aca="false">M31+M34+M37+M36+1.25*M35</f>
        <v>36</v>
      </c>
      <c r="N42" s="6" t="n">
        <f aca="false">N31+N34+N37+N36+1.25*N35</f>
        <v>36</v>
      </c>
      <c r="O42" s="41" t="n">
        <f aca="false">AVERAGE(C42:N42)</f>
        <v>23.2266778351681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0.27671875</v>
      </c>
      <c r="E43" s="39" t="n">
        <f aca="false">E42/(E25*E26)</f>
        <v>0.516104166666667</v>
      </c>
      <c r="F43" s="39" t="n">
        <f aca="false">F42/(F25*F26)</f>
        <v>0.300775</v>
      </c>
      <c r="G43" s="39" t="n">
        <f aca="false">G42/(G25*G26)</f>
        <v>0.3957525</v>
      </c>
      <c r="H43" s="39" t="n">
        <f aca="false">H42/(H25*H26)</f>
        <v>0.579076666666667</v>
      </c>
      <c r="I43" s="39" t="n">
        <f aca="false">I42/(I25*I26)</f>
        <v>0.87006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0.855210017217094</v>
      </c>
      <c r="M43" s="39" t="n">
        <f aca="false">M42/(M25*M26)</f>
        <v>0.9</v>
      </c>
      <c r="N43" s="39" t="n">
        <f aca="false">N42/(N25*N26)</f>
        <v>0.9</v>
      </c>
      <c r="O43" s="9" t="n">
        <f aca="false">N43</f>
        <v>0.9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1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4.25</v>
      </c>
      <c r="F46" s="6" t="n">
        <f aca="false">IF(4&gt;=3,INDEX(Assumptions!$C$234:$E$234,F$9)*INDEX(Assumptions!$C$235:$E$235,$B$3)*MIN(1,(4-2)/6),0)*$F$3*F22*$W$3</f>
        <v>8.5</v>
      </c>
      <c r="G46" s="6" t="n">
        <f aca="false">IF(5&gt;=3,INDEX(Assumptions!$C$234:$E$234,G$9)*INDEX(Assumptions!$C$235:$E$235,$B$3)*MIN(1,(5-2)/6),0)*$F$3*G22*$W$3</f>
        <v>12.75</v>
      </c>
      <c r="H46" s="6" t="n">
        <f aca="false">IF(6&gt;=3,INDEX(Assumptions!$C$234:$E$234,H$9)*INDEX(Assumptions!$C$235:$E$235,$B$3)*MIN(1,(6-2)/6),0)*$F$3*H22*$W$3</f>
        <v>17</v>
      </c>
      <c r="I46" s="6" t="n">
        <f aca="false">IF(7&gt;=3,INDEX(Assumptions!$C$234:$E$234,I$9)*INDEX(Assumptions!$C$235:$E$235,$B$3)*MIN(1,(7-2)/6),0)*$F$3*I22*$W$3</f>
        <v>21.25</v>
      </c>
      <c r="J46" s="6" t="n">
        <f aca="false">IF(8&gt;=3,INDEX(Assumptions!$C$234:$E$234,J$9)*INDEX(Assumptions!$C$235:$E$235,$B$3)*MIN(1,(8-2)/6),0)*$F$3*J22*$W$3</f>
        <v>25.5</v>
      </c>
      <c r="K46" s="6" t="n">
        <f aca="false">IF(9&gt;=3,INDEX(Assumptions!$C$234:$E$234,K$9)*INDEX(Assumptions!$C$235:$E$235,$B$3)*MIN(1,(9-2)/6),0)*$F$3*K22*$W$3</f>
        <v>25.5</v>
      </c>
      <c r="L46" s="6" t="n">
        <f aca="false">IF(10&gt;=3,INDEX(Assumptions!$C$234:$E$234,L$9)*INDEX(Assumptions!$C$235:$E$235,$B$3)*MIN(1,(10-2)/6),0)*$F$3*L22*$W$3</f>
        <v>25.5</v>
      </c>
      <c r="M46" s="6" t="n">
        <f aca="false">IF(11&gt;=3,INDEX(Assumptions!$C$234:$E$234,M$9)*INDEX(Assumptions!$C$235:$E$235,$B$3)*MIN(1,(11-2)/6),0)*$F$3*M22*$W$3</f>
        <v>25.5</v>
      </c>
      <c r="N46" s="6" t="n">
        <f aca="false">IF(12&gt;=3,INDEX(Assumptions!$C$234:$E$234,N$9)*INDEX(Assumptions!$C$235:$E$235,$B$3)*MIN(1,(12-2)/6),0)*$F$3*N22*$W$3</f>
        <v>25.5</v>
      </c>
      <c r="O46" s="41" t="n">
        <f aca="false">SUM(C46:N46)</f>
        <v>191.25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10.2666666666667</v>
      </c>
      <c r="D47" s="6" t="n">
        <f aca="false">INDEX(Assumptions!$C$236:$E$236,D$9)*D11*MIN(1,2/3)*$F$3*D22</f>
        <v>17.6</v>
      </c>
      <c r="E47" s="6" t="n">
        <f aca="false">INDEX(Assumptions!$C$236:$E$236,E$9)*E11*MIN(1,3/3)*$F$3*E22</f>
        <v>26.4</v>
      </c>
      <c r="F47" s="6" t="n">
        <f aca="false">INDEX(Assumptions!$C$236:$E$236,F$9)*F11*MIN(1,4/3)*$F$3*F22</f>
        <v>28.6</v>
      </c>
      <c r="G47" s="6" t="n">
        <f aca="false">INDEX(Assumptions!$C$236:$E$236,G$9)*G11*MIN(1,5/3)*$F$3*G22</f>
        <v>19.8</v>
      </c>
      <c r="H47" s="6" t="n">
        <f aca="false">INDEX(Assumptions!$C$236:$E$236,H$9)*H11*MIN(1,6/3)*$F$3*H22</f>
        <v>17.6</v>
      </c>
      <c r="I47" s="6" t="n">
        <f aca="false">INDEX(Assumptions!$C$236:$E$236,I$9)*I11*MIN(1,7/3)*$F$3*I22</f>
        <v>15.4</v>
      </c>
      <c r="J47" s="6" t="n">
        <f aca="false">INDEX(Assumptions!$C$236:$E$236,J$9)*J11*MIN(1,8/3)*$F$3*J22</f>
        <v>13.2</v>
      </c>
      <c r="K47" s="6" t="n">
        <f aca="false">INDEX(Assumptions!$C$236:$E$236,K$9)*K11*MIN(1,9/3)*$F$3*K22</f>
        <v>13.2</v>
      </c>
      <c r="L47" s="6" t="n">
        <f aca="false">INDEX(Assumptions!$C$236:$E$236,L$9)*L11*MIN(1,10/3)*$F$3*L22</f>
        <v>17.6</v>
      </c>
      <c r="M47" s="6" t="n">
        <f aca="false">INDEX(Assumptions!$C$236:$E$236,M$9)*M11*MIN(1,11/3)*$F$3*M22</f>
        <v>24.2</v>
      </c>
      <c r="N47" s="6" t="n">
        <f aca="false">INDEX(Assumptions!$C$236:$E$236,N$9)*N11*MIN(1,12/3)*$F$3*N22</f>
        <v>30.8</v>
      </c>
      <c r="O47" s="41" t="n">
        <f aca="false">SUM(C47:N47)</f>
        <v>234.666666666667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2.80253283302064</v>
      </c>
      <c r="E48" s="6" t="n">
        <f aca="false">E24*INDEX(Assumptions!$C$31:$E$31,$B$3)/(INDEX(Assumptions!$C$56:$E$56,$B$3)*INDEX(Assumptions!$C$57:$E$57,$B$3)*INDEX(Assumptions!$C$58:$E$58,$B$3))</f>
        <v>4.37773608505316</v>
      </c>
      <c r="F48" s="6" t="n">
        <f aca="false">F24*INDEX(Assumptions!$C$31:$E$31,$B$3)/(INDEX(Assumptions!$C$56:$E$56,$B$3)*INDEX(Assumptions!$C$57:$E$57,$B$3)*INDEX(Assumptions!$C$58:$E$58,$B$3))</f>
        <v>5.89118198874296</v>
      </c>
      <c r="G48" s="6" t="n">
        <f aca="false">G24*INDEX(Assumptions!$C$31:$E$31,$B$3)/(INDEX(Assumptions!$C$56:$E$56,$B$3)*INDEX(Assumptions!$C$57:$E$57,$B$3)*INDEX(Assumptions!$C$58:$E$58,$B$3))</f>
        <v>7.12007504690432</v>
      </c>
      <c r="H48" s="6" t="n">
        <f aca="false">H24*INDEX(Assumptions!$C$31:$E$31,$B$3)/(INDEX(Assumptions!$C$56:$E$56,$B$3)*INDEX(Assumptions!$C$57:$E$57,$B$3)*INDEX(Assumptions!$C$58:$E$58,$B$3))</f>
        <v>11.8355222013759</v>
      </c>
      <c r="I48" s="6" t="n">
        <f aca="false">I24*INDEX(Assumptions!$C$31:$E$31,$B$3)/(INDEX(Assumptions!$C$56:$E$56,$B$3)*INDEX(Assumptions!$C$57:$E$57,$B$3)*INDEX(Assumptions!$C$58:$E$58,$B$3))</f>
        <v>18.2926829268293</v>
      </c>
      <c r="J48" s="6" t="n">
        <f aca="false">J24*INDEX(Assumptions!$C$31:$E$31,$B$3)/(INDEX(Assumptions!$C$56:$E$56,$B$3)*INDEX(Assumptions!$C$57:$E$57,$B$3)*INDEX(Assumptions!$C$58:$E$58,$B$3))</f>
        <v>18.9962476547842</v>
      </c>
      <c r="K48" s="6" t="n">
        <f aca="false">K24*INDEX(Assumptions!$C$31:$E$31,$B$3)/(INDEX(Assumptions!$C$56:$E$56,$B$3)*INDEX(Assumptions!$C$57:$E$57,$B$3)*INDEX(Assumptions!$C$58:$E$58,$B$3))</f>
        <v>17.5891181988743</v>
      </c>
      <c r="L48" s="6" t="n">
        <f aca="false">L24*INDEX(Assumptions!$C$31:$E$31,$B$3)/(INDEX(Assumptions!$C$56:$E$56,$B$3)*INDEX(Assumptions!$C$57:$E$57,$B$3)*INDEX(Assumptions!$C$58:$E$58,$B$3))</f>
        <v>15.4784240150094</v>
      </c>
      <c r="M48" s="6" t="n">
        <f aca="false">M24*INDEX(Assumptions!$C$31:$E$31,$B$3)/(INDEX(Assumptions!$C$56:$E$56,$B$3)*INDEX(Assumptions!$C$57:$E$57,$B$3)*INDEX(Assumptions!$C$58:$E$58,$B$3))</f>
        <v>14.7748592870544</v>
      </c>
      <c r="N48" s="6" t="n">
        <f aca="false">N24*INDEX(Assumptions!$C$31:$E$31,$B$3)/(INDEX(Assumptions!$C$56:$E$56,$B$3)*INDEX(Assumptions!$C$57:$E$57,$B$3)*INDEX(Assumptions!$C$58:$E$58,$B$3))</f>
        <v>14.0712945590994</v>
      </c>
      <c r="O48" s="41" t="n">
        <f aca="false">SUM(C48:N48)</f>
        <v>133.105847404628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1</v>
      </c>
      <c r="I49" s="16" t="n">
        <f aca="false">IF(7&gt;=IF($Q$3=1,MAX(INDEX(Assumptions!$C$233:$E$233,I$9),$Q$4+1),INDEX(Assumptions!$C$233:$E$233,I$9)),MAX(INDEX(Assumptions!$C$86:$E$86,I$9),0.5),0)</f>
        <v>1</v>
      </c>
      <c r="J49" s="16" t="n">
        <f aca="false">IF(8&gt;=IF($Q$3=1,MAX(INDEX(Assumptions!$C$233:$E$233,J$9),$Q$4+1),INDEX(Assumptions!$C$233:$E$233,J$9)),MAX(INDEX(Assumptions!$C$86:$E$86,J$9),0.5),0)</f>
        <v>1</v>
      </c>
      <c r="K49" s="16" t="n">
        <f aca="false">IF(9&gt;=IF($Q$3=1,MAX(INDEX(Assumptions!$C$233:$E$233,K$9),$Q$4+1),INDEX(Assumptions!$C$233:$E$233,K$9)),MAX(INDEX(Assumptions!$C$86:$E$86,K$9),0.5),0)</f>
        <v>1</v>
      </c>
      <c r="L49" s="16" t="n">
        <f aca="false">IF(10&gt;=IF($Q$3=1,MAX(INDEX(Assumptions!$C$233:$E$233,L$9),$Q$4+1),INDEX(Assumptions!$C$233:$E$233,L$9)),MAX(INDEX(Assumptions!$C$86:$E$86,L$9),0.5),0)</f>
        <v>1</v>
      </c>
      <c r="M49" s="16" t="n">
        <f aca="false">IF(11&gt;=IF($Q$3=1,MAX(INDEX(Assumptions!$C$233:$E$233,M$9),$Q$4+1),INDEX(Assumptions!$C$233:$E$233,M$9)),MAX(INDEX(Assumptions!$C$86:$E$86,M$9),0.5),0)</f>
        <v>1</v>
      </c>
      <c r="N49" s="16" t="n">
        <f aca="false">IF(12&gt;=IF($Q$3=1,MAX(INDEX(Assumptions!$C$233:$E$233,N$9),$Q$4+1),INDEX(Assumptions!$C$233:$E$233,N$9)),MAX(INDEX(Assumptions!$C$86:$E$86,N$9),0.5),0)</f>
        <v>1</v>
      </c>
      <c r="O49" s="38" t="n">
        <f aca="false">SUM(C49:N49)</f>
        <v>7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32</v>
      </c>
      <c r="I50" s="6" t="n">
        <f aca="false">I49*INDEX(Assumptions!$C$82:$E$82,$B$3)*$F$3*I22</f>
        <v>32</v>
      </c>
      <c r="J50" s="6" t="n">
        <f aca="false">J49*INDEX(Assumptions!$C$82:$E$82,$B$3)*$F$3*J22</f>
        <v>32</v>
      </c>
      <c r="K50" s="6" t="n">
        <f aca="false">K49*INDEX(Assumptions!$C$82:$E$82,$B$3)*$F$3*K22</f>
        <v>32</v>
      </c>
      <c r="L50" s="6" t="n">
        <f aca="false">L49*INDEX(Assumptions!$C$82:$E$82,$B$3)*$F$3*L22</f>
        <v>32</v>
      </c>
      <c r="M50" s="6" t="n">
        <f aca="false">M49*INDEX(Assumptions!$C$82:$E$82,$B$3)*$F$3*M22</f>
        <v>32</v>
      </c>
      <c r="N50" s="6" t="n">
        <f aca="false">N49*INDEX(Assumptions!$C$82:$E$82,$B$3)*$F$3*N22</f>
        <v>32</v>
      </c>
      <c r="O50" s="41" t="n">
        <f aca="false">SUM(C50:N50)</f>
        <v>224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0.2975</v>
      </c>
      <c r="F51" s="16" t="n">
        <f aca="false">F46*0.7*INDEX(Assumptions!$C$73:$E$73,$B$3)</f>
        <v>0.595</v>
      </c>
      <c r="G51" s="16" t="n">
        <f aca="false">G46*0.7*INDEX(Assumptions!$C$73:$E$73,$B$3)</f>
        <v>0.8925</v>
      </c>
      <c r="H51" s="16" t="n">
        <f aca="false">H46*0.7*INDEX(Assumptions!$C$73:$E$73,$B$3)</f>
        <v>1.19</v>
      </c>
      <c r="I51" s="16" t="n">
        <f aca="false">I46*0.7*INDEX(Assumptions!$C$73:$E$73,$B$3)</f>
        <v>1.4875</v>
      </c>
      <c r="J51" s="16" t="n">
        <f aca="false">J46*0.7*INDEX(Assumptions!$C$73:$E$73,$B$3)</f>
        <v>1.785</v>
      </c>
      <c r="K51" s="16" t="n">
        <f aca="false">K46*0.7*INDEX(Assumptions!$C$73:$E$73,$B$3)</f>
        <v>1.785</v>
      </c>
      <c r="L51" s="16" t="n">
        <f aca="false">L46*0.7*INDEX(Assumptions!$C$73:$E$73,$B$3)</f>
        <v>1.785</v>
      </c>
      <c r="M51" s="16" t="n">
        <f aca="false">M46*0.7*INDEX(Assumptions!$C$73:$E$73,$B$3)</f>
        <v>1.785</v>
      </c>
      <c r="N51" s="16" t="n">
        <f aca="false">N46*0.7*INDEX(Assumptions!$C$73:$E$73,$B$3)</f>
        <v>1.785</v>
      </c>
      <c r="O51" s="38" t="n">
        <f aca="false">SUM(C51:N51)</f>
        <v>13.3875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91144.0677966102</v>
      </c>
      <c r="E56" s="10" t="n">
        <f aca="false">E34*E53/(1+INDEX(Assumptions!$C$15:$E$15,$B$3)*$H$4)</f>
        <v>142372.881355932</v>
      </c>
      <c r="F56" s="10" t="n">
        <f aca="false">F34*F53/(1+INDEX(Assumptions!$C$15:$E$15,$B$3)*$H$4)</f>
        <v>191593.220338983</v>
      </c>
      <c r="G56" s="10" t="n">
        <f aca="false">G34*G53/(1+INDEX(Assumptions!$C$15:$E$15,$B$3)*$H$4)</f>
        <v>231559.322033898</v>
      </c>
      <c r="H56" s="10" t="n">
        <f aca="false">H34*H53/(1+INDEX(Assumptions!$C$15:$E$15,$B$3)*$H$4)</f>
        <v>384915.254237288</v>
      </c>
      <c r="I56" s="10" t="n">
        <f aca="false">I34*I53/(1+INDEX(Assumptions!$C$15:$E$15,$B$3)*$H$4)</f>
        <v>793220.338983051</v>
      </c>
      <c r="J56" s="10" t="n">
        <f aca="false">J34*J53/(1+INDEX(Assumptions!$C$15:$E$15,$B$3)*$H$4)</f>
        <v>378498.528024695</v>
      </c>
      <c r="K56" s="10" t="n">
        <f aca="false">K34*K53/(1+INDEX(Assumptions!$C$15:$E$15,$B$3)*$H$4)</f>
        <v>367208.764775791</v>
      </c>
      <c r="L56" s="10" t="n">
        <f aca="false">L34*L53/(1+INDEX(Assumptions!$C$15:$E$15,$B$3)*$H$4)</f>
        <v>503389.830508475</v>
      </c>
      <c r="M56" s="10" t="n">
        <f aca="false">M34*M53/(1+INDEX(Assumptions!$C$15:$E$15,$B$3)*$H$4)</f>
        <v>463309.718210723</v>
      </c>
      <c r="N56" s="10" t="n">
        <f aca="false">N34*N53/(1+INDEX(Assumptions!$C$15:$E$15,$B$3)*$H$4)</f>
        <v>409071.666794537</v>
      </c>
      <c r="O56" s="40" t="n">
        <f aca="false">SUM(C56:N56)</f>
        <v>4017300.54221253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126166.176008232</v>
      </c>
      <c r="K57" s="10" t="n">
        <f aca="false">K35*K53/(1+INDEX(Assumptions!$C$15:$E$15,$B$3)*$H$4)</f>
        <v>122402.92159193</v>
      </c>
      <c r="L57" s="10" t="n">
        <f aca="false">L35*L53/(1+INDEX(Assumptions!$C$15:$E$15,$B$3)*$H$4)</f>
        <v>167796.610169492</v>
      </c>
      <c r="M57" s="10" t="n">
        <f aca="false">M35*M53/(1+INDEX(Assumptions!$C$15:$E$15,$B$3)*$H$4)</f>
        <v>154436.572736908</v>
      </c>
      <c r="N57" s="10" t="n">
        <f aca="false">N35*N53/(1+INDEX(Assumptions!$C$15:$E$15,$B$3)*$H$4)</f>
        <v>136357.222264846</v>
      </c>
      <c r="O57" s="40" t="n">
        <f aca="false">SUM(C57:N57)</f>
        <v>707159.502771407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6106.65254237288</v>
      </c>
      <c r="F58" s="10" t="n">
        <f aca="false">F37*MAX(0,F53-INDEX(Assumptions!$C$18:$E$18,$B$3)*$H$3)/(1+INDEX(Assumptions!$C$15:$E$15,$B$3)*$H$4)</f>
        <v>9538.98305084746</v>
      </c>
      <c r="G58" s="10" t="n">
        <f aca="false">G37*MAX(0,G53-INDEX(Assumptions!$C$18:$E$18,$B$3)*$H$3)/(1+INDEX(Assumptions!$C$15:$E$15,$B$3)*$H$4)</f>
        <v>12836.7457627119</v>
      </c>
      <c r="H58" s="10" t="n">
        <f aca="false">H37*MAX(0,H53-INDEX(Assumptions!$C$18:$E$18,$B$3)*$H$3)/(1+INDEX(Assumptions!$C$15:$E$15,$B$3)*$H$4)</f>
        <v>15514.4745762712</v>
      </c>
      <c r="I58" s="10" t="n">
        <f aca="false">I37*MAX(0,I53-INDEX(Assumptions!$C$18:$E$18,$B$3)*$H$3)/(1+INDEX(Assumptions!$C$15:$E$15,$B$3)*$H$4)</f>
        <v>51450.3389830509</v>
      </c>
      <c r="J58" s="10" t="n">
        <f aca="false">J37*MAX(0,J53-INDEX(Assumptions!$C$18:$E$18,$B$3)*$H$3)/(1+INDEX(Assumptions!$C$15:$E$15,$B$3)*$H$4)</f>
        <v>48718.835224512</v>
      </c>
      <c r="K58" s="10" t="n">
        <f aca="false">K37*MAX(0,K53-INDEX(Assumptions!$C$18:$E$18,$B$3)*$H$3)/(1+INDEX(Assumptions!$C$15:$E$15,$B$3)*$H$4)</f>
        <v>32477.2004597659</v>
      </c>
      <c r="L58" s="10" t="n">
        <f aca="false">L37*MAX(0,L53-INDEX(Assumptions!$C$18:$E$18,$B$3)*$H$3)/(1+INDEX(Assumptions!$C$15:$E$15,$B$3)*$H$4)</f>
        <v>49083.571558364</v>
      </c>
      <c r="M58" s="10" t="n">
        <f aca="false">M37*MAX(0,M53-INDEX(Assumptions!$C$18:$E$18,$B$3)*$H$3)/(1+INDEX(Assumptions!$C$15:$E$15,$B$3)*$H$4)</f>
        <v>64878.0687945238</v>
      </c>
      <c r="N58" s="10" t="n">
        <f aca="false">N37*MAX(0,N53-INDEX(Assumptions!$C$18:$E$18,$B$3)*$H$3)/(1+INDEX(Assumptions!$C$15:$E$15,$B$3)*$H$4)</f>
        <v>55358.2274378638</v>
      </c>
      <c r="O58" s="40" t="n">
        <f aca="false">SUM(C58:N58)</f>
        <v>350051.233983504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40407.2033898305</v>
      </c>
      <c r="E59" s="10" t="n">
        <f aca="false">E36*INDEX(Assumptions!$C$18:$E$18,$B$3)*$H$3/(1+INDEX(Assumptions!$C$15:$E$15,$B$3)*$H$4)</f>
        <v>63118.6440677966</v>
      </c>
      <c r="F59" s="10" t="n">
        <f aca="false">F36*INDEX(Assumptions!$C$18:$E$18,$B$3)*$H$3/(1+INDEX(Assumptions!$C$15:$E$15,$B$3)*$H$4)</f>
        <v>84939.6610169492</v>
      </c>
      <c r="G59" s="10" t="n">
        <f aca="false">G36*INDEX(Assumptions!$C$18:$E$18,$B$3)*$H$3/(1+INDEX(Assumptions!$C$15:$E$15,$B$3)*$H$4)</f>
        <v>102657.966101695</v>
      </c>
      <c r="H59" s="10" t="n">
        <f aca="false">H36*INDEX(Assumptions!$C$18:$E$18,$B$3)*$H$3/(1+INDEX(Assumptions!$C$15:$E$15,$B$3)*$H$4)</f>
        <v>170645.762711864</v>
      </c>
      <c r="I59" s="10" t="n">
        <f aca="false">I36*INDEX(Assumptions!$C$18:$E$18,$B$3)*$H$3/(1+INDEX(Assumptions!$C$15:$E$15,$B$3)*$H$4)</f>
        <v>263745.762711864</v>
      </c>
      <c r="J59" s="10" t="n">
        <f aca="false">J36*INDEX(Assumptions!$C$18:$E$18,$B$3)*$H$3/(1+INDEX(Assumptions!$C$15:$E$15,$B$3)*$H$4)</f>
        <v>167801.014090948</v>
      </c>
      <c r="K59" s="10" t="n">
        <f aca="false">K36*INDEX(Assumptions!$C$18:$E$18,$B$3)*$H$3/(1+INDEX(Assumptions!$C$15:$E$15,$B$3)*$H$4)</f>
        <v>162795.885717267</v>
      </c>
      <c r="L59" s="10" t="n">
        <f aca="false">L36*INDEX(Assumptions!$C$18:$E$18,$B$3)*$H$3/(1+INDEX(Assumptions!$C$15:$E$15,$B$3)*$H$4)</f>
        <v>223169.491525424</v>
      </c>
      <c r="M59" s="10" t="n">
        <f aca="false">M36*INDEX(Assumptions!$C$18:$E$18,$B$3)*$H$3/(1+INDEX(Assumptions!$C$15:$E$15,$B$3)*$H$4)</f>
        <v>205400.641740087</v>
      </c>
      <c r="N59" s="10" t="n">
        <f aca="false">N36*INDEX(Assumptions!$C$18:$E$18,$B$3)*$H$3/(1+INDEX(Assumptions!$C$15:$E$15,$B$3)*$H$4)</f>
        <v>181355.105612245</v>
      </c>
      <c r="O59" s="40" t="n">
        <f aca="false">SUM(C59:N59)</f>
        <v>1693087.9861436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2119.72800863357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3311.15114319331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4455.86339555443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5385.35082360798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8951.93362641905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13835.8815626292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14368.0308534995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13303.7322717588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11707.2843991478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11175.1351082774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10642.9858174071</v>
      </c>
      <c r="O60" s="40" t="n">
        <f aca="false">SUM(C60:N60)</f>
        <v>100676.141785782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36016.9491525424</v>
      </c>
      <c r="F61" s="10" t="n">
        <f aca="false">F46*INDEX(Assumptions!$C$21:$E$21,$B$3)*$H$3/(1+INDEX(Assumptions!$C$15:$E$15,$B$3)*$H$4)</f>
        <v>72033.8983050848</v>
      </c>
      <c r="G61" s="10" t="n">
        <f aca="false">G46*INDEX(Assumptions!$C$21:$E$21,$B$3)*$H$3/(1+INDEX(Assumptions!$C$15:$E$15,$B$3)*$H$4)</f>
        <v>108050.847457627</v>
      </c>
      <c r="H61" s="10" t="n">
        <f aca="false">H46*INDEX(Assumptions!$C$21:$E$21,$B$3)*$H$3/(1+INDEX(Assumptions!$C$15:$E$15,$B$3)*$H$4)</f>
        <v>144067.79661017</v>
      </c>
      <c r="I61" s="10" t="n">
        <f aca="false">I46*INDEX(Assumptions!$C$21:$E$21,$B$3)*$H$3/(1+INDEX(Assumptions!$C$15:$E$15,$B$3)*$H$4)</f>
        <v>180084.745762712</v>
      </c>
      <c r="J61" s="10" t="n">
        <f aca="false">J46*INDEX(Assumptions!$C$21:$E$21,$B$3)*$H$3/(1+INDEX(Assumptions!$C$15:$E$15,$B$3)*$H$4)</f>
        <v>216101.694915254</v>
      </c>
      <c r="K61" s="10" t="n">
        <f aca="false">K46*INDEX(Assumptions!$C$21:$E$21,$B$3)*$H$3/(1+INDEX(Assumptions!$C$15:$E$15,$B$3)*$H$4)</f>
        <v>216101.694915254</v>
      </c>
      <c r="L61" s="10" t="n">
        <f aca="false">L46*INDEX(Assumptions!$C$21:$E$21,$B$3)*$H$3/(1+INDEX(Assumptions!$C$15:$E$15,$B$3)*$H$4)</f>
        <v>216101.694915254</v>
      </c>
      <c r="M61" s="10" t="n">
        <f aca="false">M46*INDEX(Assumptions!$C$21:$E$21,$B$3)*$H$3/(1+INDEX(Assumptions!$C$15:$E$15,$B$3)*$H$4)</f>
        <v>216101.694915254</v>
      </c>
      <c r="N61" s="10" t="n">
        <f aca="false">N46*INDEX(Assumptions!$C$21:$E$21,$B$3)*$H$3/(1+INDEX(Assumptions!$C$15:$E$15,$B$3)*$H$4)</f>
        <v>216101.694915254</v>
      </c>
      <c r="O61" s="40" t="n">
        <f aca="false">SUM(C61:N61)</f>
        <v>1620762.71186441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43494.1242937853</v>
      </c>
      <c r="D62" s="10" t="n">
        <f aca="false">D47*INDEX(Assumptions!$C$22:$E$22,$B$3)*$H$3/(1+INDEX(Assumptions!$C$15:$E$15,$B$3)*$H$4)</f>
        <v>74561.3559322034</v>
      </c>
      <c r="E62" s="10" t="n">
        <f aca="false">E47*INDEX(Assumptions!$C$22:$E$22,$B$3)*$H$3/(1+INDEX(Assumptions!$C$15:$E$15,$B$3)*$H$4)</f>
        <v>111842.033898305</v>
      </c>
      <c r="F62" s="10" t="n">
        <f aca="false">F47*INDEX(Assumptions!$C$22:$E$22,$B$3)*$H$3/(1+INDEX(Assumptions!$C$15:$E$15,$B$3)*$H$4)</f>
        <v>121162.203389831</v>
      </c>
      <c r="G62" s="10" t="n">
        <f aca="false">G47*INDEX(Assumptions!$C$22:$E$22,$B$3)*$H$3/(1+INDEX(Assumptions!$C$15:$E$15,$B$3)*$H$4)</f>
        <v>83881.5254237288</v>
      </c>
      <c r="H62" s="10" t="n">
        <f aca="false">H47*INDEX(Assumptions!$C$22:$E$22,$B$3)*$H$3/(1+INDEX(Assumptions!$C$15:$E$15,$B$3)*$H$4)</f>
        <v>74561.3559322034</v>
      </c>
      <c r="I62" s="10" t="n">
        <f aca="false">I47*INDEX(Assumptions!$C$22:$E$22,$B$3)*$H$3/(1+INDEX(Assumptions!$C$15:$E$15,$B$3)*$H$4)</f>
        <v>65241.186440678</v>
      </c>
      <c r="J62" s="10" t="n">
        <f aca="false">J47*INDEX(Assumptions!$C$22:$E$22,$B$3)*$H$3/(1+INDEX(Assumptions!$C$15:$E$15,$B$3)*$H$4)</f>
        <v>55921.0169491525</v>
      </c>
      <c r="K62" s="10" t="n">
        <f aca="false">K47*INDEX(Assumptions!$C$22:$E$22,$B$3)*$H$3/(1+INDEX(Assumptions!$C$15:$E$15,$B$3)*$H$4)</f>
        <v>55921.0169491525</v>
      </c>
      <c r="L62" s="10" t="n">
        <f aca="false">L47*INDEX(Assumptions!$C$22:$E$22,$B$3)*$H$3/(1+INDEX(Assumptions!$C$15:$E$15,$B$3)*$H$4)</f>
        <v>74561.3559322034</v>
      </c>
      <c r="M62" s="10" t="n">
        <f aca="false">M47*INDEX(Assumptions!$C$22:$E$22,$B$3)*$H$3/(1+INDEX(Assumptions!$C$15:$E$15,$B$3)*$H$4)</f>
        <v>102521.86440678</v>
      </c>
      <c r="N62" s="10" t="n">
        <f aca="false">N47*INDEX(Assumptions!$C$22:$E$22,$B$3)*$H$3/(1+INDEX(Assumptions!$C$15:$E$15,$B$3)*$H$4)</f>
        <v>130482.372881356</v>
      </c>
      <c r="O62" s="40" t="n">
        <f aca="false">SUM(C62:N62)</f>
        <v>994151.412429379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40650.8474576271</v>
      </c>
      <c r="I63" s="10" t="n">
        <f aca="false">I50*INDEX(Assumptions!$C$83:$E$83,$B$3)/(1+INDEX(Assumptions!$C$15:$E$15,$B$3)*$H$4)</f>
        <v>40650.8474576271</v>
      </c>
      <c r="J63" s="10" t="n">
        <f aca="false">J50*INDEX(Assumptions!$C$83:$E$83,$B$3)/(1+INDEX(Assumptions!$C$15:$E$15,$B$3)*$H$4)</f>
        <v>40650.8474576271</v>
      </c>
      <c r="K63" s="10" t="n">
        <f aca="false">K50*INDEX(Assumptions!$C$83:$E$83,$B$3)/(1+INDEX(Assumptions!$C$15:$E$15,$B$3)*$H$4)</f>
        <v>40650.8474576271</v>
      </c>
      <c r="L63" s="10" t="n">
        <f aca="false">L50*INDEX(Assumptions!$C$83:$E$83,$B$3)/(1+INDEX(Assumptions!$C$15:$E$15,$B$3)*$H$4)</f>
        <v>40650.8474576271</v>
      </c>
      <c r="M63" s="10" t="n">
        <f aca="false">M50*INDEX(Assumptions!$C$83:$E$83,$B$3)/(1+INDEX(Assumptions!$C$15:$E$15,$B$3)*$H$4)</f>
        <v>40650.8474576271</v>
      </c>
      <c r="N63" s="10" t="n">
        <f aca="false">N50*INDEX(Assumptions!$C$83:$E$83,$B$3)/(1+INDEX(Assumptions!$C$15:$E$15,$B$3)*$H$4)</f>
        <v>40650.8474576271</v>
      </c>
      <c r="O63" s="40" t="n">
        <f aca="false">SUM(C63:N63)</f>
        <v>284555.93220339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2520.9343220339</v>
      </c>
      <c r="F64" s="10" t="n">
        <f aca="false">F51*INDEX(Assumptions!$C$23:$E$23,$B$3)/(1+INDEX(Assumptions!$C$15:$E$15,$B$3)*$H$4)</f>
        <v>5041.8686440678</v>
      </c>
      <c r="G64" s="10" t="n">
        <f aca="false">G51*INDEX(Assumptions!$C$23:$E$23,$B$3)/(1+INDEX(Assumptions!$C$15:$E$15,$B$3)*$H$4)</f>
        <v>7562.8029661017</v>
      </c>
      <c r="H64" s="10" t="n">
        <f aca="false">H51*INDEX(Assumptions!$C$23:$E$23,$B$3)/(1+INDEX(Assumptions!$C$15:$E$15,$B$3)*$H$4)</f>
        <v>10083.7372881356</v>
      </c>
      <c r="I64" s="10" t="n">
        <f aca="false">I51*INDEX(Assumptions!$C$23:$E$23,$B$3)/(1+INDEX(Assumptions!$C$15:$E$15,$B$3)*$H$4)</f>
        <v>12604.6716101695</v>
      </c>
      <c r="J64" s="10" t="n">
        <f aca="false">J51*INDEX(Assumptions!$C$23:$E$23,$B$3)/(1+INDEX(Assumptions!$C$15:$E$15,$B$3)*$H$4)</f>
        <v>15125.6059322034</v>
      </c>
      <c r="K64" s="10" t="n">
        <f aca="false">K51*INDEX(Assumptions!$C$23:$E$23,$B$3)/(1+INDEX(Assumptions!$C$15:$E$15,$B$3)*$H$4)</f>
        <v>15125.6059322034</v>
      </c>
      <c r="L64" s="10" t="n">
        <f aca="false">L51*INDEX(Assumptions!$C$23:$E$23,$B$3)/(1+INDEX(Assumptions!$C$15:$E$15,$B$3)*$H$4)</f>
        <v>15125.6059322034</v>
      </c>
      <c r="M64" s="10" t="n">
        <f aca="false">M51*INDEX(Assumptions!$C$23:$E$23,$B$3)/(1+INDEX(Assumptions!$C$15:$E$15,$B$3)*$H$4)</f>
        <v>15125.6059322034</v>
      </c>
      <c r="N64" s="10" t="n">
        <f aca="false">N51*INDEX(Assumptions!$C$23:$E$23,$B$3)/(1+INDEX(Assumptions!$C$15:$E$15,$B$3)*$H$4)</f>
        <v>15125.6059322034</v>
      </c>
      <c r="O64" s="40" t="n">
        <f aca="false">SUM(C64:N64)</f>
        <v>113442.044491525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11232</v>
      </c>
      <c r="J65" s="10" t="n">
        <f aca="false">(J34+J35)*(1-J54)*INDEX(Assumptions!$C$90:$E$90,$B$3)</f>
        <v>7146.05220910624</v>
      </c>
      <c r="K65" s="10" t="n">
        <f aca="false">(K34+K35)*(1-K54)*INDEX(Assumptions!$C$90:$E$90,$B$3)</f>
        <v>6932.90147896693</v>
      </c>
      <c r="L65" s="10" t="n">
        <f aca="false">(L34+L35)*(1-L54)*INDEX(Assumptions!$C$90:$E$90,$B$3)</f>
        <v>9504</v>
      </c>
      <c r="M65" s="10" t="n">
        <f aca="false">(M34+M35)*(1-M54)*INDEX(Assumptions!$C$90:$E$90,$B$3)</f>
        <v>8747.28747981846</v>
      </c>
      <c r="N65" s="10" t="n">
        <f aca="false">(N34+N35)*(1-N54)*INDEX(Assumptions!$C$90:$E$90,$B$3)</f>
        <v>7723.27306908086</v>
      </c>
      <c r="O65" s="40" t="n">
        <f aca="false">SUM(C65:N65)</f>
        <v>51285.5142369725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132980.985679609</v>
      </c>
      <c r="D66" s="40" t="n">
        <f aca="false">SUM(D56:D65)</f>
        <v>212320.490720498</v>
      </c>
      <c r="E66" s="40" t="n">
        <f aca="false">SUM(E56:E65)</f>
        <v>365289.246482176</v>
      </c>
      <c r="F66" s="40" t="n">
        <f aca="false">SUM(F56:F65)</f>
        <v>488765.698141317</v>
      </c>
      <c r="G66" s="40" t="n">
        <f aca="false">SUM(G56:G65)</f>
        <v>551934.560569371</v>
      </c>
      <c r="H66" s="40" t="n">
        <f aca="false">SUM(H56:H65)</f>
        <v>849391.162439978</v>
      </c>
      <c r="I66" s="40" t="n">
        <f aca="false">SUM(I56:I65)</f>
        <v>1432065.77351178</v>
      </c>
      <c r="J66" s="40" t="n">
        <f aca="false">SUM(J56:J65)</f>
        <v>1070497.80166523</v>
      </c>
      <c r="K66" s="40" t="n">
        <f aca="false">SUM(K56:K65)</f>
        <v>1032920.57154972</v>
      </c>
      <c r="L66" s="40" t="n">
        <f aca="false">SUM(L56:L65)</f>
        <v>1311090.29239819</v>
      </c>
      <c r="M66" s="40" t="n">
        <f aca="false">SUM(M56:M65)</f>
        <v>1282347.4367822</v>
      </c>
      <c r="N66" s="40" t="n">
        <f aca="false">SUM(N56:N65)</f>
        <v>1202869.00218242</v>
      </c>
      <c r="O66" s="11" t="n">
        <f aca="false">SUM(C66:N66)</f>
        <v>9932473.02212249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135639.406779661</v>
      </c>
      <c r="E67" s="10" t="n">
        <f aca="false">E56+E57+E58+E59</f>
        <v>211598.177966102</v>
      </c>
      <c r="F67" s="10" t="n">
        <f aca="false">F56+F57+F58+F59</f>
        <v>286071.86440678</v>
      </c>
      <c r="G67" s="10" t="n">
        <f aca="false">G56+G57+G58+G59</f>
        <v>347054.033898305</v>
      </c>
      <c r="H67" s="10" t="n">
        <f aca="false">H56+H57+H58+H59</f>
        <v>571075.491525424</v>
      </c>
      <c r="I67" s="10" t="n">
        <f aca="false">I56+I57+I58+I59</f>
        <v>1108416.44067797</v>
      </c>
      <c r="J67" s="10" t="n">
        <f aca="false">J56+J57+J58+J59</f>
        <v>721184.553348387</v>
      </c>
      <c r="K67" s="10" t="n">
        <f aca="false">K56+K57+K58+K59</f>
        <v>684884.772544754</v>
      </c>
      <c r="L67" s="10" t="n">
        <f aca="false">L56+L57+L58+L59</f>
        <v>943439.503761754</v>
      </c>
      <c r="M67" s="10" t="n">
        <f aca="false">M56+M57+M58+M59</f>
        <v>888025.001482243</v>
      </c>
      <c r="N67" s="10" t="n">
        <f aca="false">N56+N57+N58+N59</f>
        <v>782142.222109492</v>
      </c>
      <c r="O67" s="40" t="n">
        <f aca="false">SUM(C67:N67)</f>
        <v>6767599.26511104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12195</v>
      </c>
      <c r="E69" s="10" t="n">
        <f aca="false">((E34+E37)*INDEX(Assumptions!$C$91:$E$91,$B$3)+E35*(INDEX(Assumptions!$C$93:$E$93,$B$3)+IF($Q$3=1,INDEX(Assumptions!$C$282:$E$282,$B$3),0)))*$N$3</f>
        <v>18951</v>
      </c>
      <c r="F69" s="10" t="n">
        <f aca="false">((F34+F37)*INDEX(Assumptions!$C$91:$E$91,$B$3)+F35*(INDEX(Assumptions!$C$93:$E$93,$B$3)+IF($Q$3=1,INDEX(Assumptions!$C$282:$E$282,$B$3),0)))*$N$3</f>
        <v>25968</v>
      </c>
      <c r="G69" s="10" t="n">
        <f aca="false">((G34+G37)*INDEX(Assumptions!$C$91:$E$91,$B$3)+G35*(INDEX(Assumptions!$C$93:$E$93,$B$3)+IF($Q$3=1,INDEX(Assumptions!$C$282:$E$282,$B$3),0)))*$N$3</f>
        <v>31845.6</v>
      </c>
      <c r="H69" s="10" t="n">
        <f aca="false">((H34+H37)*INDEX(Assumptions!$C$91:$E$91,$B$3)+H35*(INDEX(Assumptions!$C$93:$E$93,$B$3)+IF($Q$3=1,INDEX(Assumptions!$C$282:$E$282,$B$3),0)))*$N$3</f>
        <v>50884.8</v>
      </c>
      <c r="I69" s="10" t="n">
        <f aca="false">((I34+I37)*INDEX(Assumptions!$C$91:$E$91,$B$3)+I35*(INDEX(Assumptions!$C$93:$E$93,$B$3)+IF($Q$3=1,INDEX(Assumptions!$C$282:$E$282,$B$3),0)))*$N$3</f>
        <v>79284</v>
      </c>
      <c r="J69" s="10" t="n">
        <f aca="false">((J34+J37)*INDEX(Assumptions!$C$91:$E$91,$B$3)+J35*(INDEX(Assumptions!$C$93:$E$93,$B$3)+IF($Q$3=1,INDEX(Assumptions!$C$282:$E$282,$B$3),0)))*$N$3</f>
        <v>56055.9824620573</v>
      </c>
      <c r="K69" s="10" t="n">
        <f aca="false">((K34+K37)*INDEX(Assumptions!$C$91:$E$91,$B$3)+K35*(INDEX(Assumptions!$C$93:$E$93,$B$3)+IF($Q$3=1,INDEX(Assumptions!$C$282:$E$282,$B$3),0)))*$N$3</f>
        <v>51772.9280422471</v>
      </c>
      <c r="L69" s="10" t="n">
        <f aca="false">((L34+L37)*INDEX(Assumptions!$C$91:$E$91,$B$3)+L35*(INDEX(Assumptions!$C$93:$E$93,$B$3)+IF($Q$3=1,INDEX(Assumptions!$C$282:$E$282,$B$3),0)))*$N$3</f>
        <v>71778.6268487087</v>
      </c>
      <c r="M69" s="10" t="n">
        <f aca="false">((M34+M37)*INDEX(Assumptions!$C$91:$E$91,$B$3)+M35*(INDEX(Assumptions!$C$93:$E$93,$B$3)+IF($Q$3=1,INDEX(Assumptions!$C$282:$E$282,$B$3),0)))*$N$3</f>
        <v>69542.2371442412</v>
      </c>
      <c r="N69" s="10" t="n">
        <f aca="false">((N34+N37)*INDEX(Assumptions!$C$91:$E$91,$B$3)+N35*(INDEX(Assumptions!$C$93:$E$93,$B$3)+IF($Q$3=1,INDEX(Assumptions!$C$282:$E$282,$B$3),0)))*$N$3</f>
        <v>61061.3315525465</v>
      </c>
      <c r="O69" s="40" t="n">
        <f aca="false">SUM(C69:N69)</f>
        <v>536539.506049801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21510</v>
      </c>
      <c r="E70" s="10" t="n">
        <f aca="false">(E34+E35)*E54*INDEX(Assumptions!$C$14:$E$14,$B$3)*$N$3</f>
        <v>33600</v>
      </c>
      <c r="F70" s="10" t="n">
        <f aca="false">(F34+F35)*F54*INDEX(Assumptions!$C$14:$E$14,$B$3)*$N$3</f>
        <v>45216</v>
      </c>
      <c r="G70" s="10" t="n">
        <f aca="false">(G34+G35)*G54*INDEX(Assumptions!$C$14:$E$14,$B$3)*$N$3</f>
        <v>54648</v>
      </c>
      <c r="H70" s="10" t="n">
        <f aca="false">(H34+H35)*H54*INDEX(Assumptions!$C$14:$E$14,$B$3)*$N$3</f>
        <v>90840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260214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2390</v>
      </c>
      <c r="E71" s="10" t="n">
        <f aca="false">E36*INDEX(Assumptions!$C$92:$E$92,$B$3)*$N$3</f>
        <v>3733.33333333333</v>
      </c>
      <c r="F71" s="10" t="n">
        <f aca="false">F36*INDEX(Assumptions!$C$92:$E$92,$B$3)*$N$3</f>
        <v>5024</v>
      </c>
      <c r="G71" s="10" t="n">
        <f aca="false">G36*INDEX(Assumptions!$C$92:$E$92,$B$3)*$N$3</f>
        <v>6072</v>
      </c>
      <c r="H71" s="10" t="n">
        <f aca="false">H36*INDEX(Assumptions!$C$92:$E$92,$B$3)*$N$3</f>
        <v>10093.3333333333</v>
      </c>
      <c r="I71" s="10" t="n">
        <f aca="false">I36*INDEX(Assumptions!$C$92:$E$92,$B$3)*$N$3</f>
        <v>15600</v>
      </c>
      <c r="J71" s="10" t="n">
        <f aca="false">J36*INDEX(Assumptions!$C$92:$E$92,$B$3)*$N$3</f>
        <v>9925.07251264756</v>
      </c>
      <c r="K71" s="10" t="n">
        <f aca="false">K36*INDEX(Assumptions!$C$92:$E$92,$B$3)*$N$3</f>
        <v>9629.02983189851</v>
      </c>
      <c r="L71" s="10" t="n">
        <f aca="false">L36*INDEX(Assumptions!$C$92:$E$92,$B$3)*$N$3</f>
        <v>13200</v>
      </c>
      <c r="M71" s="10" t="n">
        <f aca="false">M36*INDEX(Assumptions!$C$92:$E$92,$B$3)*$N$3</f>
        <v>12149.0103886368</v>
      </c>
      <c r="N71" s="10" t="n">
        <f aca="false">N36*INDEX(Assumptions!$C$92:$E$92,$B$3)*$N$3</f>
        <v>10726.7681515012</v>
      </c>
      <c r="O71" s="40" t="n">
        <f aca="false">SUM(C71:N71)</f>
        <v>100142.547551351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4575.70981863665</v>
      </c>
      <c r="D72" s="10" t="n">
        <f aca="false">(D46*INDEX(Assumptions!$C$94:$E$94,$B$3)+D47*INDEX(Assumptions!$C$95:$E$95,$B$3)+D48*INDEX(Assumptions!$C$96:$E$96,$B$3))*$N$3</f>
        <v>7740.63320825516</v>
      </c>
      <c r="E72" s="10" t="n">
        <f aca="false">(E46*INDEX(Assumptions!$C$94:$E$94,$B$3)+E47*INDEX(Assumptions!$C$95:$E$95,$B$3)+E48*INDEX(Assumptions!$C$96:$E$96,$B$3))*$N$3</f>
        <v>15904.4340212633</v>
      </c>
      <c r="F72" s="10" t="n">
        <f aca="false">(F46*INDEX(Assumptions!$C$94:$E$94,$B$3)+F47*INDEX(Assumptions!$C$95:$E$95,$B$3)+F48*INDEX(Assumptions!$C$96:$E$96,$B$3))*$N$3</f>
        <v>21412.7954971857</v>
      </c>
      <c r="G72" s="10" t="n">
        <f aca="false">(G46*INDEX(Assumptions!$C$94:$E$94,$B$3)+G47*INDEX(Assumptions!$C$95:$E$95,$B$3)+G48*INDEX(Assumptions!$C$96:$E$96,$B$3))*$N$3</f>
        <v>22450.0187617261</v>
      </c>
      <c r="H72" s="10" t="n">
        <f aca="false">(H46*INDEX(Assumptions!$C$94:$E$94,$B$3)+H47*INDEX(Assumptions!$C$95:$E$95,$B$3)+H48*INDEX(Assumptions!$C$96:$E$96,$B$3))*$N$3</f>
        <v>26998.880550344</v>
      </c>
      <c r="I72" s="10" t="n">
        <f aca="false">(I46*INDEX(Assumptions!$C$94:$E$94,$B$3)+I47*INDEX(Assumptions!$C$95:$E$95,$B$3)+I48*INDEX(Assumptions!$C$96:$E$96,$B$3))*$N$3</f>
        <v>31983.1707317073</v>
      </c>
      <c r="J72" s="10" t="n">
        <f aca="false">(J46*INDEX(Assumptions!$C$94:$E$94,$B$3)+J47*INDEX(Assumptions!$C$95:$E$95,$B$3)+J48*INDEX(Assumptions!$C$96:$E$96,$B$3))*$N$3</f>
        <v>35529.0619136961</v>
      </c>
      <c r="K72" s="10" t="n">
        <f aca="false">(K46*INDEX(Assumptions!$C$94:$E$94,$B$3)+K47*INDEX(Assumptions!$C$95:$E$95,$B$3)+K48*INDEX(Assumptions!$C$96:$E$96,$B$3))*$N$3</f>
        <v>35177.2795497186</v>
      </c>
      <c r="L72" s="10" t="n">
        <f aca="false">(L46*INDEX(Assumptions!$C$94:$E$94,$B$3)+L47*INDEX(Assumptions!$C$95:$E$95,$B$3)+L48*INDEX(Assumptions!$C$96:$E$96,$B$3))*$N$3</f>
        <v>36409.6060037523</v>
      </c>
      <c r="M72" s="10" t="n">
        <f aca="false">(M46*INDEX(Assumptions!$C$94:$E$94,$B$3)+M47*INDEX(Assumptions!$C$95:$E$95,$B$3)+M48*INDEX(Assumptions!$C$96:$E$96,$B$3))*$N$3</f>
        <v>38873.7148217636</v>
      </c>
      <c r="N72" s="10" t="n">
        <f aca="false">(N46*INDEX(Assumptions!$C$94:$E$94,$B$3)+N47*INDEX(Assumptions!$C$95:$E$95,$B$3)+N48*INDEX(Assumptions!$C$96:$E$96,$B$3))*$N$3</f>
        <v>41337.8236397749</v>
      </c>
      <c r="O72" s="40" t="n">
        <f aca="false">SUM(C72:N72)</f>
        <v>318393.128517824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52000</v>
      </c>
      <c r="I73" s="10" t="n">
        <f aca="false">I49*INDEX(Assumptions!$C$84:$E$84,$B$3)</f>
        <v>52000</v>
      </c>
      <c r="J73" s="10" t="n">
        <f aca="false">J49*INDEX(Assumptions!$C$84:$E$84,$B$3)</f>
        <v>52000</v>
      </c>
      <c r="K73" s="10" t="n">
        <f aca="false">K49*INDEX(Assumptions!$C$84:$E$84,$B$3)</f>
        <v>52000</v>
      </c>
      <c r="L73" s="10" t="n">
        <f aca="false">L49*INDEX(Assumptions!$C$84:$E$84,$B$3)</f>
        <v>52000</v>
      </c>
      <c r="M73" s="10" t="n">
        <f aca="false">M49*INDEX(Assumptions!$C$84:$E$84,$B$3)</f>
        <v>52000</v>
      </c>
      <c r="N73" s="10" t="n">
        <f aca="false">N49*INDEX(Assumptions!$C$84:$E$84,$B$3)</f>
        <v>52000</v>
      </c>
      <c r="O73" s="40" t="n">
        <f aca="false">SUM(C73:N73)</f>
        <v>364000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595</v>
      </c>
      <c r="F74" s="10" t="n">
        <f aca="false">F51*INDEX(Assumptions!$C$97:$E$97,$B$3)</f>
        <v>1190</v>
      </c>
      <c r="G74" s="10" t="n">
        <f aca="false">G51*INDEX(Assumptions!$C$97:$E$97,$B$3)</f>
        <v>1785</v>
      </c>
      <c r="H74" s="10" t="n">
        <f aca="false">H51*INDEX(Assumptions!$C$97:$E$97,$B$3)</f>
        <v>2380</v>
      </c>
      <c r="I74" s="10" t="n">
        <f aca="false">I51*INDEX(Assumptions!$C$97:$E$97,$B$3)</f>
        <v>2975</v>
      </c>
      <c r="J74" s="10" t="n">
        <f aca="false">J51*INDEX(Assumptions!$C$97:$E$97,$B$3)</f>
        <v>3570</v>
      </c>
      <c r="K74" s="10" t="n">
        <f aca="false">K51*INDEX(Assumptions!$C$97:$E$97,$B$3)</f>
        <v>3570</v>
      </c>
      <c r="L74" s="10" t="n">
        <f aca="false">L51*INDEX(Assumptions!$C$97:$E$97,$B$3)</f>
        <v>3570</v>
      </c>
      <c r="M74" s="10" t="n">
        <f aca="false">M51*INDEX(Assumptions!$C$97:$E$97,$B$3)</f>
        <v>3570</v>
      </c>
      <c r="N74" s="10" t="n">
        <f aca="false">N51*INDEX(Assumptions!$C$97:$E$97,$B$3)</f>
        <v>3570</v>
      </c>
      <c r="O74" s="40" t="n">
        <f aca="false">SUM(C74:N74)</f>
        <v>26775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4398.35126203877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6977.30858100375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11686.9285919794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15688.2504761351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18072.4344294371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28314.5053335835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51239.201754878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36691.1182049655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35158.0610015609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45815.3066532775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44359.5925367355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40793.9624071733</v>
      </c>
      <c r="O75" s="40" t="n">
        <f aca="false">SUM(C75:N75)</f>
        <v>339195.021232768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1792.5</v>
      </c>
      <c r="E76" s="10" t="n">
        <f aca="false">E38*INDEX(Assumptions!$C$240:$E$240,$B$3)*INDEX(Assumptions!$C$69:$E$69,$B$3)</f>
        <v>2800</v>
      </c>
      <c r="F76" s="10" t="n">
        <f aca="false">F38*INDEX(Assumptions!$C$240:$E$240,$B$3)*INDEX(Assumptions!$C$69:$E$69,$B$3)</f>
        <v>3768</v>
      </c>
      <c r="G76" s="10" t="n">
        <f aca="false">G38*INDEX(Assumptions!$C$240:$E$240,$B$3)*INDEX(Assumptions!$C$69:$E$69,$B$3)</f>
        <v>4554</v>
      </c>
      <c r="H76" s="10" t="n">
        <f aca="false">H38*INDEX(Assumptions!$C$240:$E$240,$B$3)*INDEX(Assumptions!$C$69:$E$69,$B$3)</f>
        <v>7570</v>
      </c>
      <c r="I76" s="10" t="n">
        <f aca="false">I38*INDEX(Assumptions!$C$240:$E$240,$B$3)*INDEX(Assumptions!$C$69:$E$69,$B$3)</f>
        <v>11700</v>
      </c>
      <c r="J76" s="10" t="n">
        <f aca="false">J38*INDEX(Assumptions!$C$240:$E$240,$B$3)*INDEX(Assumptions!$C$69:$E$69,$B$3)</f>
        <v>7443.80438448567</v>
      </c>
      <c r="K76" s="10" t="n">
        <f aca="false">K38*INDEX(Assumptions!$C$240:$E$240,$B$3)*INDEX(Assumptions!$C$69:$E$69,$B$3)</f>
        <v>7221.77237392389</v>
      </c>
      <c r="L76" s="10" t="n">
        <f aca="false">L38*INDEX(Assumptions!$C$240:$E$240,$B$3)*INDEX(Assumptions!$C$69:$E$69,$B$3)</f>
        <v>9900</v>
      </c>
      <c r="M76" s="10" t="n">
        <f aca="false">M38*INDEX(Assumptions!$C$240:$E$240,$B$3)*INDEX(Assumptions!$C$69:$E$69,$B$3)</f>
        <v>9111.75779147756</v>
      </c>
      <c r="N76" s="10" t="n">
        <f aca="false">N38*INDEX(Assumptions!$C$240:$E$240,$B$3)*INDEX(Assumptions!$C$69:$E$69,$B$3)</f>
        <v>8045.0761136259</v>
      </c>
      <c r="O76" s="40" t="n">
        <f aca="false">SUM(C76:N76)</f>
        <v>75106.910663513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33374.0610806754</v>
      </c>
      <c r="D77" s="40" t="n">
        <f aca="false">SUM(D69:D76)</f>
        <v>52605.4417892589</v>
      </c>
      <c r="E77" s="40" t="n">
        <f aca="false">SUM(E69:E76)</f>
        <v>87270.695946576</v>
      </c>
      <c r="F77" s="40" t="n">
        <f aca="false">SUM(F69:F76)</f>
        <v>118267.045973321</v>
      </c>
      <c r="G77" s="40" t="n">
        <f aca="false">SUM(G69:G76)</f>
        <v>139427.053191163</v>
      </c>
      <c r="H77" s="40" t="n">
        <f aca="false">SUM(H69:H76)</f>
        <v>269081.519217261</v>
      </c>
      <c r="I77" s="40" t="n">
        <f aca="false">SUM(I69:I76)</f>
        <v>244781.372486585</v>
      </c>
      <c r="J77" s="40" t="n">
        <f aca="false">SUM(J69:J76)</f>
        <v>201215.039477852</v>
      </c>
      <c r="K77" s="40" t="n">
        <f aca="false">SUM(K69:K76)</f>
        <v>194529.070799349</v>
      </c>
      <c r="L77" s="40" t="n">
        <f aca="false">SUM(L69:L76)</f>
        <v>232673.539505739</v>
      </c>
      <c r="M77" s="40" t="n">
        <f aca="false">SUM(M69:M76)</f>
        <v>229606.312682855</v>
      </c>
      <c r="N77" s="40" t="n">
        <f aca="false">SUM(N69:N76)</f>
        <v>217534.961864622</v>
      </c>
      <c r="O77" s="11" t="n">
        <f aca="false">SUM(C77:N77)</f>
        <v>2020366.11401526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99606.9245989336</v>
      </c>
      <c r="D78" s="40" t="n">
        <f aca="false">D66-D77</f>
        <v>159715.048931239</v>
      </c>
      <c r="E78" s="40" t="n">
        <f aca="false">E66-E77</f>
        <v>278018.5505356</v>
      </c>
      <c r="F78" s="40" t="n">
        <f aca="false">F66-F77</f>
        <v>370498.652167996</v>
      </c>
      <c r="G78" s="40" t="n">
        <f aca="false">G66-G77</f>
        <v>412507.507378208</v>
      </c>
      <c r="H78" s="40" t="n">
        <f aca="false">H66-H77</f>
        <v>580309.643222718</v>
      </c>
      <c r="I78" s="40" t="n">
        <f aca="false">I66-I77</f>
        <v>1187284.4010252</v>
      </c>
      <c r="J78" s="40" t="n">
        <f aca="false">J66-J77</f>
        <v>869282.762187378</v>
      </c>
      <c r="K78" s="40" t="n">
        <f aca="false">K66-K77</f>
        <v>838391.500750368</v>
      </c>
      <c r="L78" s="40" t="n">
        <f aca="false">L66-L77</f>
        <v>1078416.75289245</v>
      </c>
      <c r="M78" s="40" t="n">
        <f aca="false">M66-M77</f>
        <v>1052741.12409935</v>
      </c>
      <c r="N78" s="40" t="n">
        <f aca="false">N66-N77</f>
        <v>985334.040317798</v>
      </c>
      <c r="O78" s="11" t="n">
        <f aca="false">SUM(C78:N78)</f>
        <v>7912106.90810723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0.749031330230297</v>
      </c>
      <c r="D79" s="8" t="n">
        <f aca="false">IFERROR(D78/D66,0)</f>
        <v>0.752235681018138</v>
      </c>
      <c r="E79" s="8" t="n">
        <f aca="false">IFERROR(E78/E66,0)</f>
        <v>0.761091527366289</v>
      </c>
      <c r="F79" s="8" t="n">
        <f aca="false">IFERROR(F78/F66,0)</f>
        <v>0.758029161164403</v>
      </c>
      <c r="G79" s="8" t="n">
        <f aca="false">IFERROR(G78/G66,0)</f>
        <v>0.747384811258546</v>
      </c>
      <c r="H79" s="8" t="n">
        <f aca="false">IFERROR(H78/H66,0)</f>
        <v>0.683206594186486</v>
      </c>
      <c r="I79" s="8" t="n">
        <f aca="false">IFERROR(I78/I66,0)</f>
        <v>0.829071138341418</v>
      </c>
      <c r="J79" s="8" t="n">
        <f aca="false">IFERROR(J78/J66,0)</f>
        <v>0.812036008700953</v>
      </c>
      <c r="K79" s="8" t="n">
        <f aca="false">IFERROR(K78/K66,0)</f>
        <v>0.811670833017207</v>
      </c>
      <c r="L79" s="8" t="n">
        <f aca="false">IFERROR(L78/L66,0)</f>
        <v>0.822534312964714</v>
      </c>
      <c r="M79" s="8" t="n">
        <f aca="false">IFERROR(M78/M66,0)</f>
        <v>0.82094843714196</v>
      </c>
      <c r="N79" s="8" t="n">
        <f aca="false">IFERROR(N78/N66,0)</f>
        <v>0.819153239903981</v>
      </c>
      <c r="O79" s="13" t="n">
        <f aca="false">IFERROR(O78/O66,0)</f>
        <v>0.796589821133637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2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3</v>
      </c>
      <c r="I81" s="10" t="n">
        <f aca="false">ROUNDUP(I42/(INDEX(Assumptions!$C$102:$E$102,$B$3)*$J$3),0)</f>
        <v>4</v>
      </c>
      <c r="J81" s="10" t="n">
        <f aca="false">ROUNDUP(J42/(INDEX(Assumptions!$C$102:$E$102,$B$3)*$J$3),0)</f>
        <v>4</v>
      </c>
      <c r="K81" s="10" t="n">
        <f aca="false">ROUNDUP(K42/(INDEX(Assumptions!$C$102:$E$102,$B$3)*$J$3),0)</f>
        <v>4</v>
      </c>
      <c r="L81" s="10" t="n">
        <f aca="false">ROUNDUP(L42/(INDEX(Assumptions!$C$102:$E$102,$B$3)*$J$3),0)</f>
        <v>4</v>
      </c>
      <c r="M81" s="10" t="n">
        <f aca="false">ROUNDUP(M42/(INDEX(Assumptions!$C$102:$E$102,$B$3)*$J$3),0)</f>
        <v>4</v>
      </c>
      <c r="N81" s="10" t="n">
        <f aca="false">ROUNDUP(N42/(INDEX(Assumptions!$C$102:$E$102,$B$3)*$J$3),0)</f>
        <v>4</v>
      </c>
      <c r="O81" s="40" t="n">
        <f aca="false">MAX(C81:N81)</f>
        <v>4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0.0916666666666667</v>
      </c>
      <c r="D82" s="6" t="n">
        <f aca="false">D81*(1-D12)</f>
        <v>0.183333333333333</v>
      </c>
      <c r="E82" s="6" t="n">
        <f aca="false">E81*(1-E12)</f>
        <v>0.275</v>
      </c>
      <c r="F82" s="6" t="n">
        <f aca="false">F81*(1-F12)</f>
        <v>0.733333333333333</v>
      </c>
      <c r="G82" s="6" t="n">
        <f aca="false">G81*(1-G12)</f>
        <v>0.916666666666667</v>
      </c>
      <c r="H82" s="6" t="n">
        <f aca="false">H81*(1-H12)</f>
        <v>1.65</v>
      </c>
      <c r="I82" s="6" t="n">
        <f aca="false">I81*(1-I12)</f>
        <v>2.33333333333333</v>
      </c>
      <c r="J82" s="6" t="n">
        <f aca="false">J81*(1-J12)</f>
        <v>2.46666666666667</v>
      </c>
      <c r="K82" s="6" t="n">
        <f aca="false">K81*(1-K12)</f>
        <v>2.6</v>
      </c>
      <c r="L82" s="6" t="n">
        <f aca="false">L81*(1-L12)</f>
        <v>2.73333333333333</v>
      </c>
      <c r="M82" s="6" t="n">
        <f aca="false">M81*(1-M12)</f>
        <v>2.86666666666667</v>
      </c>
      <c r="N82" s="6" t="n">
        <f aca="false">N81*(1-N12)</f>
        <v>3</v>
      </c>
      <c r="O82" s="41" t="n">
        <f aca="false">MAX(C82:N82)</f>
        <v>3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1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1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1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1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2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78000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96000</v>
      </c>
      <c r="I86" s="10" t="n">
        <f aca="false">I83*INDEX(Assumptions!$C$98:$E$98,$B$3)*$W$4+I84*INDEX(Assumptions!$C$99:$E$99,$B$3)+I85*INDEX(Assumptions!$C$100:$E$100,$B$3)</f>
        <v>134000</v>
      </c>
      <c r="J86" s="10" t="n">
        <f aca="false">J83*INDEX(Assumptions!$C$98:$E$98,$B$3)*$W$4+J84*INDEX(Assumptions!$C$99:$E$99,$B$3)+J85*INDEX(Assumptions!$C$100:$E$100,$B$3)</f>
        <v>134000</v>
      </c>
      <c r="K86" s="10" t="n">
        <f aca="false">K83*INDEX(Assumptions!$C$98:$E$98,$B$3)*$W$4+K84*INDEX(Assumptions!$C$99:$E$99,$B$3)+K85*INDEX(Assumptions!$C$100:$E$100,$B$3)</f>
        <v>134000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1290000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50000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50000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50000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50000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50000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50000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50000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50000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50000</v>
      </c>
      <c r="O87" s="40" t="n">
        <f aca="false">SUM(C87:N87)</f>
        <v>525000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25000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135000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160000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160000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160000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160000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160000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160000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160000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160000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160000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160000</v>
      </c>
      <c r="O88" s="40" t="n">
        <f aca="false">SUM(C88:N88)</f>
        <v>1760000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18000</v>
      </c>
      <c r="G89" s="10" t="n">
        <f aca="false">IF(AND(5&gt;=IF($Q$3=1,$Q$4+1,INDEX(Assumptions!$C$215:$E$215,$D$3)),5&lt;$U$4),INDEX(Assumptions!$C$227:$E$227,G$9),0)</f>
        <v>18000</v>
      </c>
      <c r="H89" s="10" t="n">
        <f aca="false">IF(AND(6&gt;=IF($Q$3=1,$Q$4+1,INDEX(Assumptions!$C$215:$E$215,$D$3)),6&lt;$U$4),INDEX(Assumptions!$C$227:$E$227,H$9),0)</f>
        <v>18000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162000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65000</v>
      </c>
      <c r="M90" s="10" t="n">
        <f aca="false">IF(11&gt;=INDEX(Assumptions!$C$229:$E$229,M$9),INDEX(Assumptions!$C$228:$E$228,$B$3),0)</f>
        <v>65000</v>
      </c>
      <c r="N90" s="10" t="n">
        <f aca="false">IF(12&gt;=INDEX(Assumptions!$C$229:$E$229,N$9),INDEX(Assumptions!$C$228:$E$228,$B$3),0)</f>
        <v>65000</v>
      </c>
      <c r="O90" s="40" t="n">
        <f aca="false">SUM(C90:N90)</f>
        <v>195000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128000</v>
      </c>
      <c r="D92" s="40" t="n">
        <f aca="false">SUM(D86:D91)</f>
        <v>238000</v>
      </c>
      <c r="E92" s="40" t="n">
        <f aca="false">SUM(E86:E91)</f>
        <v>263000</v>
      </c>
      <c r="F92" s="40" t="n">
        <f aca="false">SUM(F86:F91)</f>
        <v>306000</v>
      </c>
      <c r="G92" s="40" t="n">
        <f aca="false">SUM(G86:G91)</f>
        <v>306000</v>
      </c>
      <c r="H92" s="40" t="n">
        <f aca="false">SUM(H86:H91)</f>
        <v>324000</v>
      </c>
      <c r="I92" s="40" t="n">
        <f aca="false">SUM(I86:I91)</f>
        <v>362000</v>
      </c>
      <c r="J92" s="40" t="n">
        <f aca="false">SUM(J86:J91)</f>
        <v>362000</v>
      </c>
      <c r="K92" s="40" t="n">
        <f aca="false">SUM(K86:K91)</f>
        <v>362000</v>
      </c>
      <c r="L92" s="40" t="n">
        <f aca="false">SUM(L86:L91)</f>
        <v>427000</v>
      </c>
      <c r="M92" s="40" t="n">
        <f aca="false">SUM(M86:M91)</f>
        <v>427000</v>
      </c>
      <c r="N92" s="40" t="n">
        <f aca="false">SUM(N86:N91)</f>
        <v>427000</v>
      </c>
      <c r="O92" s="11" t="n">
        <f aca="false">SUM(C92:N92)</f>
        <v>3932000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128000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128000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128000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128000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128000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128000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128000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128000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128000</v>
      </c>
      <c r="O94" s="40" t="n">
        <f aca="false">SUM(C94:N94)</f>
        <v>1257000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19200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19200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19200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19200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19200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19200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19200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19200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19200</v>
      </c>
      <c r="O95" s="40" t="n">
        <f aca="false">SUM(C95:N95)</f>
        <v>202800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30000</v>
      </c>
      <c r="D96" s="10" t="n">
        <f aca="false">INDEX(Assumptions!$C$107:$E$107,D$9)+IF(2&gt;=IF($Q$3=1,MAX(INDEX(Assumptions!$C$231:$E$231,D$9),$Q$4+1),INDEX(Assumptions!$C$231:$E$231,D$9))-1,INDEX(Assumptions!$C$230:$E$230,D$9),0)</f>
        <v>30000</v>
      </c>
      <c r="E96" s="10" t="n">
        <f aca="false">INDEX(Assumptions!$C$107:$E$107,E$9)+IF(3&gt;=IF($Q$3=1,MAX(INDEX(Assumptions!$C$231:$E$231,E$9),$Q$4+1),INDEX(Assumptions!$C$231:$E$231,E$9))-1,INDEX(Assumptions!$C$230:$E$230,E$9),0)</f>
        <v>30000</v>
      </c>
      <c r="F96" s="10" t="n">
        <f aca="false">INDEX(Assumptions!$C$107:$E$107,F$9)+IF(4&gt;=IF($Q$3=1,MAX(INDEX(Assumptions!$C$231:$E$231,F$9),$Q$4+1),INDEX(Assumptions!$C$231:$E$231,F$9))-1,INDEX(Assumptions!$C$230:$E$230,F$9),0)</f>
        <v>30000</v>
      </c>
      <c r="G96" s="10" t="n">
        <f aca="false">INDEX(Assumptions!$C$107:$E$107,G$9)+IF(5&gt;=IF($Q$3=1,MAX(INDEX(Assumptions!$C$231:$E$231,G$9),$Q$4+1),INDEX(Assumptions!$C$231:$E$231,G$9))-1,INDEX(Assumptions!$C$230:$E$230,G$9),0)</f>
        <v>30000</v>
      </c>
      <c r="H96" s="10" t="n">
        <f aca="false">INDEX(Assumptions!$C$107:$E$107,H$9)+IF(6&gt;=IF($Q$3=1,MAX(INDEX(Assumptions!$C$231:$E$231,H$9),$Q$4+1),INDEX(Assumptions!$C$231:$E$231,H$9))-1,INDEX(Assumptions!$C$230:$E$230,H$9),0)</f>
        <v>30000</v>
      </c>
      <c r="I96" s="10" t="n">
        <f aca="false">INDEX(Assumptions!$C$107:$E$107,I$9)+IF(7&gt;=IF($Q$3=1,MAX(INDEX(Assumptions!$C$231:$E$231,I$9),$Q$4+1),INDEX(Assumptions!$C$231:$E$231,I$9))-1,INDEX(Assumptions!$C$230:$E$230,I$9),0)</f>
        <v>38000</v>
      </c>
      <c r="J96" s="10" t="n">
        <f aca="false">INDEX(Assumptions!$C$107:$E$107,J$9)+IF(8&gt;=IF($Q$3=1,MAX(INDEX(Assumptions!$C$231:$E$231,J$9),$Q$4+1),INDEX(Assumptions!$C$231:$E$231,J$9))-1,INDEX(Assumptions!$C$230:$E$230,J$9),0)</f>
        <v>38000</v>
      </c>
      <c r="K96" s="10" t="n">
        <f aca="false">INDEX(Assumptions!$C$107:$E$107,K$9)+IF(9&gt;=IF($Q$3=1,MAX(INDEX(Assumptions!$C$231:$E$231,K$9),$Q$4+1),INDEX(Assumptions!$C$231:$E$231,K$9))-1,INDEX(Assumptions!$C$230:$E$230,K$9),0)</f>
        <v>38000</v>
      </c>
      <c r="L96" s="10" t="n">
        <f aca="false">INDEX(Assumptions!$C$107:$E$107,L$9)+IF(10&gt;=IF($Q$3=1,MAX(INDEX(Assumptions!$C$231:$E$231,L$9),$Q$4+1),INDEX(Assumptions!$C$231:$E$231,L$9))-1,INDEX(Assumptions!$C$230:$E$230,L$9),0)</f>
        <v>38000</v>
      </c>
      <c r="M96" s="10" t="n">
        <f aca="false">INDEX(Assumptions!$C$107:$E$107,M$9)+IF(11&gt;=IF($Q$3=1,MAX(INDEX(Assumptions!$C$231:$E$231,M$9),$Q$4+1),INDEX(Assumptions!$C$231:$E$231,M$9))-1,INDEX(Assumptions!$C$230:$E$230,M$9),0)</f>
        <v>38000</v>
      </c>
      <c r="N96" s="10" t="n">
        <f aca="false">INDEX(Assumptions!$C$107:$E$107,N$9)+IF(12&gt;=IF($Q$3=1,MAX(INDEX(Assumptions!$C$231:$E$231,N$9),$Q$4+1),INDEX(Assumptions!$C$231:$E$231,N$9))-1,INDEX(Assumptions!$C$230:$E$230,N$9),0)</f>
        <v>38000</v>
      </c>
      <c r="O96" s="40" t="n">
        <f aca="false">SUM(C96:N96)</f>
        <v>408000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50000</v>
      </c>
      <c r="F97" s="10" t="n">
        <f aca="false">F18</f>
        <v>60000</v>
      </c>
      <c r="G97" s="10" t="n">
        <f aca="false">G18</f>
        <v>60000</v>
      </c>
      <c r="H97" s="10" t="n">
        <f aca="false">H18</f>
        <v>120000</v>
      </c>
      <c r="I97" s="10" t="n">
        <f aca="false">I18</f>
        <v>170000</v>
      </c>
      <c r="J97" s="10" t="n">
        <f aca="false">J18</f>
        <v>200000</v>
      </c>
      <c r="K97" s="10" t="n">
        <f aca="false">K18</f>
        <v>200000</v>
      </c>
      <c r="L97" s="10" t="n">
        <f aca="false">L18</f>
        <v>200000</v>
      </c>
      <c r="M97" s="10" t="n">
        <f aca="false">M18</f>
        <v>200000</v>
      </c>
      <c r="N97" s="10" t="n">
        <f aca="false">N18</f>
        <v>200000</v>
      </c>
      <c r="O97" s="40" t="n">
        <f aca="false">SUM(C97:N97)</f>
        <v>1490000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19167</v>
      </c>
      <c r="D98" s="10" t="n">
        <f aca="false">INDEX(Assumptions!$C$212:$E$212,D$9)</f>
        <v>19167</v>
      </c>
      <c r="E98" s="10" t="n">
        <f aca="false">INDEX(Assumptions!$C$212:$E$212,E$9)</f>
        <v>19167</v>
      </c>
      <c r="F98" s="10" t="n">
        <f aca="false">INDEX(Assumptions!$C$212:$E$212,F$9)</f>
        <v>19167</v>
      </c>
      <c r="G98" s="10" t="n">
        <f aca="false">INDEX(Assumptions!$C$212:$E$212,G$9)</f>
        <v>19167</v>
      </c>
      <c r="H98" s="10" t="n">
        <f aca="false">INDEX(Assumptions!$C$212:$E$212,H$9)</f>
        <v>19167</v>
      </c>
      <c r="I98" s="10" t="n">
        <f aca="false">INDEX(Assumptions!$C$212:$E$212,I$9)</f>
        <v>19167</v>
      </c>
      <c r="J98" s="10" t="n">
        <f aca="false">INDEX(Assumptions!$C$212:$E$212,J$9)</f>
        <v>19167</v>
      </c>
      <c r="K98" s="10" t="n">
        <f aca="false">INDEX(Assumptions!$C$212:$E$212,K$9)</f>
        <v>19167</v>
      </c>
      <c r="L98" s="10" t="n">
        <f aca="false">INDEX(Assumptions!$C$212:$E$212,L$9)</f>
        <v>19167</v>
      </c>
      <c r="M98" s="10" t="n">
        <f aca="false">INDEX(Assumptions!$C$212:$E$212,M$9)</f>
        <v>19167</v>
      </c>
      <c r="N98" s="10" t="n">
        <f aca="false">INDEX(Assumptions!$C$212:$E$212,N$9)</f>
        <v>19167</v>
      </c>
      <c r="O98" s="40" t="n">
        <f aca="false">SUM(C98:N98)</f>
        <v>230004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20000</v>
      </c>
      <c r="D99" s="10" t="n">
        <f aca="false">INDEX(Assumptions!$C$237:$E$237,D$9)</f>
        <v>20000</v>
      </c>
      <c r="E99" s="10" t="n">
        <f aca="false">INDEX(Assumptions!$C$237:$E$237,E$9)</f>
        <v>20000</v>
      </c>
      <c r="F99" s="10" t="n">
        <f aca="false">INDEX(Assumptions!$C$237:$E$237,F$9)</f>
        <v>20000</v>
      </c>
      <c r="G99" s="10" t="n">
        <f aca="false">INDEX(Assumptions!$C$237:$E$237,G$9)</f>
        <v>20000</v>
      </c>
      <c r="H99" s="10" t="n">
        <f aca="false">INDEX(Assumptions!$C$237:$E$237,H$9)</f>
        <v>20000</v>
      </c>
      <c r="I99" s="10" t="n">
        <f aca="false">INDEX(Assumptions!$C$237:$E$237,I$9)</f>
        <v>20000</v>
      </c>
      <c r="J99" s="10" t="n">
        <f aca="false">INDEX(Assumptions!$C$237:$E$237,J$9)</f>
        <v>20000</v>
      </c>
      <c r="K99" s="10" t="n">
        <f aca="false">INDEX(Assumptions!$C$237:$E$237,K$9)</f>
        <v>20000</v>
      </c>
      <c r="L99" s="10" t="n">
        <f aca="false">INDEX(Assumptions!$C$237:$E$237,L$9)</f>
        <v>20000</v>
      </c>
      <c r="M99" s="10" t="n">
        <f aca="false">INDEX(Assumptions!$C$237:$E$237,M$9)</f>
        <v>20000</v>
      </c>
      <c r="N99" s="10" t="n">
        <f aca="false">INDEX(Assumptions!$C$237:$E$237,N$9)</f>
        <v>20000</v>
      </c>
      <c r="O99" s="40" t="n">
        <f aca="false">SUM(C99:N99)</f>
        <v>240000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250000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200000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450000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507167</v>
      </c>
      <c r="D102" s="40" t="n">
        <f aca="false">D92+SUM(D94:D101)</f>
        <v>367167</v>
      </c>
      <c r="E102" s="40" t="n">
        <f aca="false">E92+SUM(E94:E101)</f>
        <v>627167</v>
      </c>
      <c r="F102" s="40" t="n">
        <f aca="false">F92+SUM(F94:F101)</f>
        <v>582367</v>
      </c>
      <c r="G102" s="40" t="n">
        <f aca="false">G92+SUM(G94:G101)</f>
        <v>582367</v>
      </c>
      <c r="H102" s="40" t="n">
        <f aca="false">H92+SUM(H94:H101)</f>
        <v>660367</v>
      </c>
      <c r="I102" s="40" t="n">
        <f aca="false">I92+SUM(I94:I101)</f>
        <v>756367</v>
      </c>
      <c r="J102" s="40" t="n">
        <f aca="false">J92+SUM(J94:J101)</f>
        <v>786367</v>
      </c>
      <c r="K102" s="40" t="n">
        <f aca="false">K92+SUM(K94:K101)</f>
        <v>786367</v>
      </c>
      <c r="L102" s="40" t="n">
        <f aca="false">L92+SUM(L94:L101)</f>
        <v>851367</v>
      </c>
      <c r="M102" s="40" t="n">
        <f aca="false">M92+SUM(M94:M101)</f>
        <v>851367</v>
      </c>
      <c r="N102" s="40" t="n">
        <f aca="false">N92+SUM(N94:N101)</f>
        <v>851367</v>
      </c>
      <c r="O102" s="11" t="n">
        <f aca="false">SUM(C102:N102)</f>
        <v>8209804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-407560.075401066</v>
      </c>
      <c r="D103" s="40" t="n">
        <f aca="false">D78-D102</f>
        <v>-207451.951068761</v>
      </c>
      <c r="E103" s="40" t="n">
        <f aca="false">E78-E102</f>
        <v>-349148.4494644</v>
      </c>
      <c r="F103" s="40" t="n">
        <f aca="false">F78-F102</f>
        <v>-211868.347832004</v>
      </c>
      <c r="G103" s="40" t="n">
        <f aca="false">G78-G102</f>
        <v>-169859.492621792</v>
      </c>
      <c r="H103" s="40" t="n">
        <f aca="false">H78-H102</f>
        <v>-80057.3567772824</v>
      </c>
      <c r="I103" s="40" t="n">
        <f aca="false">I78-I102</f>
        <v>430917.401025197</v>
      </c>
      <c r="J103" s="40" t="n">
        <f aca="false">J78-J102</f>
        <v>82915.7621873776</v>
      </c>
      <c r="K103" s="40" t="n">
        <f aca="false">K78-K102</f>
        <v>52024.5007503682</v>
      </c>
      <c r="L103" s="40" t="n">
        <f aca="false">L78-L102</f>
        <v>227049.752892451</v>
      </c>
      <c r="M103" s="40" t="n">
        <f aca="false">M78-M102</f>
        <v>201374.124099348</v>
      </c>
      <c r="N103" s="40" t="n">
        <f aca="false">N78-N102</f>
        <v>133967.040317798</v>
      </c>
      <c r="O103" s="11" t="n">
        <f aca="false">SUM(C103:N103)</f>
        <v>-297697.091892765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-3.06479962769264</v>
      </c>
      <c r="D104" s="8" t="n">
        <f aca="false">IFERROR(D103/D66,0)</f>
        <v>-0.977069854938561</v>
      </c>
      <c r="E104" s="8" t="n">
        <f aca="false">IFERROR(E103/E66,0)</f>
        <v>-0.955813654047535</v>
      </c>
      <c r="F104" s="8" t="n">
        <f aca="false">IFERROR(F103/F66,0)</f>
        <v>-0.433476302935535</v>
      </c>
      <c r="G104" s="8" t="n">
        <f aca="false">IFERROR(G103/G66,0)</f>
        <v>-0.307752956159453</v>
      </c>
      <c r="H104" s="8" t="n">
        <f aca="false">IFERROR(H103/H66,0)</f>
        <v>-0.0942526368502682</v>
      </c>
      <c r="I104" s="8" t="n">
        <f aca="false">IFERROR(I103/I66,0)</f>
        <v>0.300906151795305</v>
      </c>
      <c r="J104" s="8" t="n">
        <f aca="false">IFERROR(J103/J66,0)</f>
        <v>0.0774553315834901</v>
      </c>
      <c r="K104" s="8" t="n">
        <f aca="false">IFERROR(K103/K66,0)</f>
        <v>0.0503664097543478</v>
      </c>
      <c r="L104" s="8" t="n">
        <f aca="false">IFERROR(L103/L66,0)</f>
        <v>0.173176290152482</v>
      </c>
      <c r="M104" s="8" t="n">
        <f aca="false">IFERROR(M103/M66,0)</f>
        <v>0.157035541479037</v>
      </c>
      <c r="N104" s="8" t="n">
        <f aca="false">IFERROR(N103/N66,0)</f>
        <v>0.111372925958468</v>
      </c>
      <c r="O104" s="8" t="n">
        <f aca="false">IFERROR(O103/O66,0)</f>
        <v>-0.0299721017343523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-482560.075401066</v>
      </c>
      <c r="D105" s="10" t="n">
        <f aca="false">D103-INDEX(Assumptions!$C$204:$E$204,$B$3)</f>
        <v>-282451.951068761</v>
      </c>
      <c r="E105" s="10" t="n">
        <f aca="false">E103-INDEX(Assumptions!$C$204:$E$204,$B$3)</f>
        <v>-424148.4494644</v>
      </c>
      <c r="F105" s="10" t="n">
        <f aca="false">F103-INDEX(Assumptions!$C$204:$E$204,$B$3)</f>
        <v>-286868.347832004</v>
      </c>
      <c r="G105" s="10" t="n">
        <f aca="false">G103-INDEX(Assumptions!$C$204:$E$204,$B$3)</f>
        <v>-244859.492621792</v>
      </c>
      <c r="H105" s="10" t="n">
        <f aca="false">H103-INDEX(Assumptions!$C$204:$E$204,$B$3)</f>
        <v>-155057.356777282</v>
      </c>
      <c r="I105" s="10" t="n">
        <f aca="false">I103-INDEX(Assumptions!$C$204:$E$204,$B$3)</f>
        <v>355917.401025197</v>
      </c>
      <c r="J105" s="10" t="n">
        <f aca="false">J103-INDEX(Assumptions!$C$204:$E$204,$B$3)</f>
        <v>7915.76218737755</v>
      </c>
      <c r="K105" s="10" t="n">
        <f aca="false">K103-INDEX(Assumptions!$C$204:$E$204,$B$3)</f>
        <v>-22975.4992496318</v>
      </c>
      <c r="L105" s="10" t="n">
        <f aca="false">L103-INDEX(Assumptions!$C$204:$E$204,$B$3)</f>
        <v>152049.752892451</v>
      </c>
      <c r="M105" s="10" t="n">
        <f aca="false">M103-INDEX(Assumptions!$C$204:$E$204,$B$3)</f>
        <v>126374.124099348</v>
      </c>
      <c r="N105" s="10" t="n">
        <f aca="false">N103-INDEX(Assumptions!$C$204:$E$204,$B$3)</f>
        <v>58967.0403177984</v>
      </c>
      <c r="O105" s="40" t="n">
        <f aca="false">SUM(C105:N105)</f>
        <v>-1197697.09189277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1280000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1280000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240000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240000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384000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384000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250000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250000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550000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550000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250000</v>
      </c>
      <c r="D112" s="40" t="n">
        <f aca="false">SUM(D107:D111)</f>
        <v>0</v>
      </c>
      <c r="E112" s="40" t="n">
        <f aca="false">SUM(E107:E111)</f>
        <v>1904000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550000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2704000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-23785.8050847458</v>
      </c>
      <c r="E113" s="10" t="n">
        <f aca="false">((E67+IF(INDEX(Assumptions!$C$87:$E$87,$B$3)&gt;=2,D67,0)+IF(INDEX(Assumptions!$C$87:$E$87,$B$3)&gt;=3,C67,0))/INDEX(Assumptions!$C$87:$E$87,$B$3))-E67</f>
        <v>-37979.3855932203</v>
      </c>
      <c r="F113" s="10" t="n">
        <f aca="false">((F67+IF(INDEX(Assumptions!$C$87:$E$87,$B$3)&gt;=2,E67,0)+IF(INDEX(Assumptions!$C$87:$E$87,$B$3)&gt;=3,D67,0))/INDEX(Assumptions!$C$87:$E$87,$B$3))-F67</f>
        <v>-37236.843220339</v>
      </c>
      <c r="G113" s="10" t="n">
        <f aca="false">((G67+IF(INDEX(Assumptions!$C$87:$E$87,$B$3)&gt;=2,F67,0)+IF(INDEX(Assumptions!$C$87:$E$87,$B$3)&gt;=3,E67,0))/INDEX(Assumptions!$C$87:$E$87,$B$3))-G67</f>
        <v>-30491.0847457628</v>
      </c>
      <c r="H113" s="10" t="n">
        <f aca="false">((H67+IF(INDEX(Assumptions!$C$87:$E$87,$B$3)&gt;=2,G67,0)+IF(INDEX(Assumptions!$C$87:$E$87,$B$3)&gt;=3,F67,0))/INDEX(Assumptions!$C$87:$E$87,$B$3))-H67</f>
        <v>-112010.728813559</v>
      </c>
      <c r="I113" s="10" t="n">
        <f aca="false">((I67+IF(INDEX(Assumptions!$C$87:$E$87,$B$3)&gt;=2,H67,0)+IF(INDEX(Assumptions!$C$87:$E$87,$B$3)&gt;=3,G67,0))/INDEX(Assumptions!$C$87:$E$87,$B$3))-I67</f>
        <v>-268670.474576271</v>
      </c>
      <c r="J113" s="10" t="n">
        <f aca="false">((J67+IF(INDEX(Assumptions!$C$87:$E$87,$B$3)&gt;=2,I67,0)+IF(INDEX(Assumptions!$C$87:$E$87,$B$3)&gt;=3,H67,0))/INDEX(Assumptions!$C$87:$E$87,$B$3))-J67</f>
        <v>193615.94366479</v>
      </c>
      <c r="K113" s="10" t="n">
        <f aca="false">((K67+IF(INDEX(Assumptions!$C$87:$E$87,$B$3)&gt;=2,J67,0)+IF(INDEX(Assumptions!$C$87:$E$87,$B$3)&gt;=3,I67,0))/INDEX(Assumptions!$C$87:$E$87,$B$3))-K67</f>
        <v>18149.8904018162</v>
      </c>
      <c r="L113" s="10" t="n">
        <f aca="false">((L67+IF(INDEX(Assumptions!$C$87:$E$87,$B$3)&gt;=2,K67,0)+IF(INDEX(Assumptions!$C$87:$E$87,$B$3)&gt;=3,J67,0))/INDEX(Assumptions!$C$87:$E$87,$B$3))-L67</f>
        <v>-129277.3656085</v>
      </c>
      <c r="M113" s="10" t="n">
        <f aca="false">((M67+IF(INDEX(Assumptions!$C$87:$E$87,$B$3)&gt;=2,L67,0)+IF(INDEX(Assumptions!$C$87:$E$87,$B$3)&gt;=3,K67,0))/INDEX(Assumptions!$C$87:$E$87,$B$3))-M67</f>
        <v>27707.2511397557</v>
      </c>
      <c r="N113" s="10" t="n">
        <f aca="false">((N67+IF(INDEX(Assumptions!$C$87:$E$87,$B$3)&gt;=2,M67,0)+IF(INDEX(Assumptions!$C$87:$E$87,$B$3)&gt;=3,L67,0))/INDEX(Assumptions!$C$87:$E$87,$B$3))-N67</f>
        <v>52941.3896863755</v>
      </c>
      <c r="O113" s="40" t="n">
        <f aca="false">SUM(C113:N113)</f>
        <v>-391071.111054746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-701593.973706151</v>
      </c>
      <c r="D114" s="40" t="n">
        <f aca="false">D103+D113-D112</f>
        <v>-231237.756153507</v>
      </c>
      <c r="E114" s="40" t="n">
        <f aca="false">E103+E113-E112</f>
        <v>-2291127.83505762</v>
      </c>
      <c r="F114" s="40" t="n">
        <f aca="false">F103+F113-F112</f>
        <v>-249105.191052343</v>
      </c>
      <c r="G114" s="40" t="n">
        <f aca="false">G103+G113-G112</f>
        <v>-200350.577367555</v>
      </c>
      <c r="H114" s="40" t="n">
        <f aca="false">H103+H113-H112</f>
        <v>-742068.085590842</v>
      </c>
      <c r="I114" s="40" t="n">
        <f aca="false">I103+I113-I112</f>
        <v>162246.926448925</v>
      </c>
      <c r="J114" s="40" t="n">
        <f aca="false">J103+J113-J112</f>
        <v>276531.705852167</v>
      </c>
      <c r="K114" s="40" t="n">
        <f aca="false">K103+K113-K112</f>
        <v>70174.3911521845</v>
      </c>
      <c r="L114" s="40" t="n">
        <f aca="false">L103+L113-L112</f>
        <v>97772.3872839515</v>
      </c>
      <c r="M114" s="40" t="n">
        <f aca="false">M103+M113-M112</f>
        <v>229081.375239104</v>
      </c>
      <c r="N114" s="40" t="n">
        <f aca="false">N103+N113-N112</f>
        <v>186908.430004174</v>
      </c>
      <c r="O114" s="11" t="n">
        <f aca="false">SUM(C114:N114)</f>
        <v>-3392768.20294751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-701593.973706151</v>
      </c>
      <c r="D115" s="40" t="n">
        <f aca="false">C115+D114</f>
        <v>-932831.729859658</v>
      </c>
      <c r="E115" s="40" t="n">
        <f aca="false">D115+E114</f>
        <v>-3223959.56491728</v>
      </c>
      <c r="F115" s="40" t="n">
        <f aca="false">E115+F114</f>
        <v>-3473064.75596962</v>
      </c>
      <c r="G115" s="40" t="n">
        <f aca="false">F115+G114</f>
        <v>-3673415.33333718</v>
      </c>
      <c r="H115" s="40" t="n">
        <f aca="false">G115+H114</f>
        <v>-4415483.41892802</v>
      </c>
      <c r="I115" s="40" t="n">
        <f aca="false">H115+I114</f>
        <v>-4253236.49247909</v>
      </c>
      <c r="J115" s="40" t="n">
        <f aca="false">I115+J114</f>
        <v>-3976704.78662693</v>
      </c>
      <c r="K115" s="40" t="n">
        <f aca="false">J115+K114</f>
        <v>-3906530.39547474</v>
      </c>
      <c r="L115" s="40" t="n">
        <f aca="false">K115+L114</f>
        <v>-3808758.00819079</v>
      </c>
      <c r="M115" s="40" t="n">
        <f aca="false">L115+M114</f>
        <v>-3579676.63295169</v>
      </c>
      <c r="N115" s="40" t="n">
        <f aca="false">M115+N114</f>
        <v>-3392768.20294751</v>
      </c>
      <c r="O115" s="11" t="n">
        <f aca="false">N115</f>
        <v>-3392768.20294751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701593.973706151</v>
      </c>
      <c r="D116" s="40" t="n">
        <f aca="false">-MIN(0,MIN($C$115:D115))</f>
        <v>932831.729859658</v>
      </c>
      <c r="E116" s="40" t="n">
        <f aca="false">-MIN(0,MIN($C$115:E115))</f>
        <v>3223959.56491728</v>
      </c>
      <c r="F116" s="40" t="n">
        <f aca="false">-MIN(0,MIN($C$115:F115))</f>
        <v>3473064.75596962</v>
      </c>
      <c r="G116" s="40" t="n">
        <f aca="false">-MIN(0,MIN($C$115:G115))</f>
        <v>3673415.33333718</v>
      </c>
      <c r="H116" s="40" t="n">
        <f aca="false">-MIN(0,MIN($C$115:H115))</f>
        <v>4415483.41892802</v>
      </c>
      <c r="I116" s="40" t="n">
        <f aca="false">-MIN(0,MIN($C$115:I115))</f>
        <v>4415483.41892802</v>
      </c>
      <c r="J116" s="40" t="n">
        <f aca="false">-MIN(0,MIN($C$115:J115))</f>
        <v>4415483.41892802</v>
      </c>
      <c r="K116" s="40" t="n">
        <f aca="false">-MIN(0,MIN($C$115:K115))</f>
        <v>4415483.41892802</v>
      </c>
      <c r="L116" s="40" t="n">
        <f aca="false">-MIN(0,MIN($C$115:L115))</f>
        <v>4415483.41892802</v>
      </c>
      <c r="M116" s="40" t="n">
        <f aca="false">-MIN(0,MIN($C$115:M115))</f>
        <v>4415483.41892802</v>
      </c>
      <c r="N116" s="40" t="n">
        <f aca="false">-MIN(0,MIN($C$115:N115))</f>
        <v>4415483.41892802</v>
      </c>
      <c r="O116" s="11" t="n">
        <f aca="false">MAX(C116:N116)</f>
        <v>4415483.41892802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1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3.54835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7.17065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8.445496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15.121264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11.2804771450825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9.80094534986197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12.2184295632451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3.54835</v>
      </c>
      <c r="D129" s="8" t="n">
        <f aca="false">C129/INDEX(Assumptions!$C$179:$E$179,$B$3)</f>
        <v>0.295695833333333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7.17065</v>
      </c>
      <c r="D130" s="8" t="n">
        <f aca="false">C130/INDEX(Assumptions!$C$179:$E$179,$B$3)</f>
        <v>0.597554166666667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8.445496</v>
      </c>
      <c r="D131" s="8" t="n">
        <f aca="false">C131/INDEX(Assumptions!$C$179:$E$179,$B$3)</f>
        <v>0.703791333333334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15.121264</v>
      </c>
      <c r="D132" s="8" t="n">
        <f aca="false">C132/INDEX(Assumptions!$C$179:$E$179,$B$3)</f>
        <v>1.26010533333333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11.2804771450825</v>
      </c>
      <c r="D133" s="8" t="n">
        <f aca="false">C133/INDEX(Assumptions!$C$179:$E$179,$B$3)</f>
        <v>0.940039762090207</v>
      </c>
      <c r="E133" s="10" t="n">
        <f aca="false">IF(AND(D133&gt;=INDEX(Assumptions!$C$180:$E$180,$B$3),D132&gt;=INDEX(Assumptions!$C$180:$E$180,$B$3)),1,0)</f>
        <v>1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0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9.80094534986197</v>
      </c>
      <c r="D134" s="8" t="n">
        <f aca="false">C134/INDEX(Assumptions!$C$179:$E$179,$B$3)</f>
        <v>0.816745445821831</v>
      </c>
      <c r="E134" s="10" t="n">
        <f aca="false">IF(AND(D134&gt;=INDEX(Assumptions!$C$180:$E$180,$B$3),D133&gt;=INDEX(Assumptions!$C$180:$E$180,$B$3)),1,0)</f>
        <v>1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12.2184295632451</v>
      </c>
      <c r="D135" s="8" t="n">
        <f aca="false">C135/INDEX(Assumptions!$C$179:$E$179,$B$3)</f>
        <v>1.01820246360376</v>
      </c>
      <c r="E135" s="10" t="n">
        <f aca="false">IF(AND(D135&gt;=INDEX(Assumptions!$C$180:$E$180,$B$3),D134&gt;=INDEX(Assumptions!$C$180:$E$180,$B$3)),1,0)</f>
        <v>1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1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3.54835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7.17065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12.346664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19.3567741652614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12.9447443296831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15.8837376355973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3.54835</v>
      </c>
      <c r="D143" s="8" t="n">
        <f aca="false">C143/INDEX(Assumptions!$C$179:$E$179,$B$3)</f>
        <v>0.295695833333333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7.17065</v>
      </c>
      <c r="D144" s="8" t="n">
        <f aca="false">C144/INDEX(Assumptions!$C$179:$E$179,$B$3)</f>
        <v>0.597554166666667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12.346664</v>
      </c>
      <c r="D145" s="8" t="n">
        <f aca="false">C145/INDEX(Assumptions!$C$179:$E$179,$B$3)</f>
        <v>1.02888866666667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19.3567741652614</v>
      </c>
      <c r="D146" s="8" t="n">
        <f aca="false">C146/INDEX(Assumptions!$C$179:$E$179,$B$3)</f>
        <v>1.61306451377178</v>
      </c>
      <c r="E146" s="10" t="n">
        <f aca="false">IF(AND(D146&gt;=INDEX(Assumptions!$C$180:$E$180,$B$3),D145&gt;=INDEX(Assumptions!$C$180:$E$180,$B$3)),1,0)</f>
        <v>1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12.9447443296831</v>
      </c>
      <c r="D147" s="8" t="n">
        <f aca="false">C147/INDEX(Assumptions!$C$179:$E$179,$B$3)</f>
        <v>1.07872869414026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15.8837376355973</v>
      </c>
      <c r="D148" s="8" t="n">
        <f aca="false">C148/INDEX(Assumptions!$C$179:$E$179,$B$3)</f>
        <v>1.32364480296644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9932473.02212249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-297697.091892765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-0.0299721017343523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-1197697.09189277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2704000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4415483.41892802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5000000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584516.581071982</v>
      </c>
    </row>
    <row r="160" customFormat="false" ht="15" hidden="false" customHeight="false" outlineLevel="0" collapsed="false">
      <c r="A160" s="3" t="s">
        <v>51</v>
      </c>
      <c r="B160" s="7" t="n">
        <f aca="false">O38</f>
        <v>125.178184439188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14.8395585176425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191.25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0.25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50076.1628413045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851367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313889.804423433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10.7331944997439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128.798333996926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15330.6447580317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0.226127010180967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0.543323621579241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31.2723802642365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562390.917309598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-3392768.20294751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3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4415483.41892802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1290000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75</v>
      </c>
      <c r="B184" s="11" t="n">
        <f aca="false">IF(IF($Q$3=1,$Q$4+1,INDEX(Assumptions!$C$215:$E$215,$D$3))&lt;$U$4,IF($Q$3=1,$Q$4+1,INDEX(Assumptions!$C$215:$E$215,$D$3)),99)</f>
        <v>4</v>
      </c>
    </row>
    <row r="185" customFormat="false" ht="15" hidden="false" customHeight="false" outlineLevel="0" collapsed="false">
      <c r="A185" s="3" t="s">
        <v>76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5054110.91066351</v>
      </c>
    </row>
    <row r="187" customFormat="false" ht="15" hidden="false" customHeight="false" outlineLevel="0" collapsed="false">
      <c r="A187" s="3" t="s">
        <v>78</v>
      </c>
      <c r="B187" s="11" t="n">
        <f aca="false">O97</f>
        <v>1490000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74051.487115718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0.295695833333333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0.597554166666667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0.804590619740352</v>
      </c>
    </row>
    <row r="197" customFormat="false" ht="15" hidden="false" customHeight="false" outlineLevel="0" collapsed="false">
      <c r="A197" s="3" t="s">
        <v>88</v>
      </c>
      <c r="B197" s="11" t="n">
        <f aca="false">IFERROR(INDEX(F129:F135,MATCH(1,E129:E135,0)),"not in Y1")</f>
        <v>9</v>
      </c>
    </row>
    <row r="198" customFormat="false" ht="15" hidden="false" customHeight="false" outlineLevel="0" collapsed="false">
      <c r="A198" s="3" t="s">
        <v>89</v>
      </c>
      <c r="B198" s="7" t="n">
        <f aca="false">C135</f>
        <v>12.2184295632451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2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8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1.24022729152624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53.422410663513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10.4306026658783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3116491.9173096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1568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129097.474136762</v>
      </c>
      <c r="M103" s="40" t="n">
        <f aca="false">M78-M102</f>
        <v>127937.220380454</v>
      </c>
      <c r="N103" s="40" t="n">
        <f aca="false">N78-N102</f>
        <v>91307.5888266742</v>
      </c>
      <c r="O103" s="11" t="n">
        <f aca="false">SUM(C103:N103)</f>
        <v>-281881.419978914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0.154337659382792</v>
      </c>
      <c r="M104" s="8" t="n">
        <f aca="false">IFERROR(M103/M66,0)</f>
        <v>0.149108613686711</v>
      </c>
      <c r="N104" s="8" t="n">
        <f aca="false">IFERROR(N103/N66,0)</f>
        <v>0.112972937310856</v>
      </c>
      <c r="O104" s="8" t="n">
        <f aca="false">IFERROR(O103/O66,0)</f>
        <v>-0.0465508727322323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54097.4741367617</v>
      </c>
      <c r="M105" s="10" t="n">
        <f aca="false">M103-INDEX(Assumptions!$C$204:$E$204,$B$3)</f>
        <v>52937.2203804541</v>
      </c>
      <c r="N105" s="10" t="n">
        <f aca="false">N103-INDEX(Assumptions!$C$204:$E$204,$B$3)</f>
        <v>16307.5888266742</v>
      </c>
      <c r="O105" s="40" t="n">
        <f aca="false">SUM(C105:N105)</f>
        <v>-1181881.41997891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12012.6763061825</v>
      </c>
      <c r="M114" s="40" t="n">
        <f aca="false">M103+M113-M112</f>
        <v>126937.772253445</v>
      </c>
      <c r="N114" s="40" t="n">
        <f aca="false">N103+N113-N112</f>
        <v>124951.636916336</v>
      </c>
      <c r="O114" s="11" t="n">
        <f aca="false">SUM(C114:N114)</f>
        <v>-2254430.1605645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-2506319.56973428</v>
      </c>
      <c r="M115" s="40" t="n">
        <f aca="false">L115+M114</f>
        <v>-2379381.79748084</v>
      </c>
      <c r="N115" s="40" t="n">
        <f aca="false">M115+N114</f>
        <v>-2254430.1605645</v>
      </c>
      <c r="O115" s="11" t="n">
        <f aca="false">N115</f>
        <v>-2254430.1605645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2518332.24604047</v>
      </c>
      <c r="M116" s="40" t="n">
        <f aca="false">-MIN(0,MIN($C$115:M115))</f>
        <v>2518332.24604047</v>
      </c>
      <c r="N116" s="40" t="n">
        <f aca="false">-MIN(0,MIN($C$115:N115))</f>
        <v>2518332.24604047</v>
      </c>
      <c r="O116" s="11" t="n">
        <f aca="false">MAX(C116:N116)</f>
        <v>2518332.24604047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-281881.419978914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-0.0465508727322323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-1181881.41997891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2518332.24604047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481667.753959533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7.82270330118366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93.8724396142039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348342.28334389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-2254430.1605645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116114.094447963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1569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6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80000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100000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100000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100000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820000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12.9228</v>
      </c>
      <c r="K31" s="6" t="n">
        <f aca="false">J34+I34+J37+I37+1.25*J35</f>
        <v>16.7120655801194</v>
      </c>
      <c r="L31" s="6" t="n">
        <f aca="false">K34+J34+K37+J37+1.25*K35</f>
        <v>15.5884669975522</v>
      </c>
      <c r="M31" s="6" t="n">
        <f aca="false">L34+K34+L37+K37+1.25*L35</f>
        <v>14.4978817565225</v>
      </c>
      <c r="N31" s="6" t="n">
        <f aca="false">M34+L34+M37+L37+1.25*M35</f>
        <v>13.5411450012968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12.322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14.0333403259642</v>
      </c>
      <c r="L32" s="6" t="n">
        <f aca="false">L24*(INDEX(Assumptions!$C$26:$E$26,$B$3)*(1-L28)+(1-INDEX(Assumptions!$C$26:$E$26,$B$3)))+1.25*L30+K36*INDEX(Assumptions!$C$89:$E$89,$B$3)</f>
        <v>14.1996599007343</v>
      </c>
      <c r="M32" s="6" t="n">
        <f aca="false">M24*(INDEX(Assumptions!$C$26:$E$26,$B$3)*(1-M28)+(1-INDEX(Assumptions!$C$26:$E$26,$B$3)))+1.25*M30+L36*INDEX(Assumptions!$C$89:$E$89,$B$3)</f>
        <v>13.7358157990074</v>
      </c>
      <c r="N32" s="6" t="n">
        <f aca="false">N24*(INDEX(Assumptions!$C$26:$E$26,$B$3)*(1-N28)+(1-INDEX(Assumptions!$C$26:$E$26,$B$3)))+1.25*N30+M36*INDEX(Assumptions!$C$89:$E$89,$B$3)</f>
        <v>11.5218317002271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0.946506374051961</v>
      </c>
      <c r="K33" s="8" t="n">
        <f aca="false">IF(K32&lt;=0,1,MAX(0,MIN(1,(K27-K31)/K32)))</f>
        <v>0.733106600489555</v>
      </c>
      <c r="L33" s="8" t="n">
        <f aca="false">IF(L32&lt;=0,1,MAX(0,MIN(1,(L27-L31)/L32)))</f>
        <v>0.803648332581377</v>
      </c>
      <c r="M33" s="8" t="n">
        <f aca="false">IF(M32&lt;=0,1,MAX(0,MIN(1,(M27-M31)/M32)))</f>
        <v>0.910183889069108</v>
      </c>
      <c r="N33" s="8" t="n">
        <f aca="false">IF(N32&lt;=0,1,MAX(0,MIN(1,(N27-N31)/N32)))</f>
        <v>1</v>
      </c>
      <c r="O33" s="8" t="n">
        <f aca="false">MIN(C33:N33)</f>
        <v>0.733106600489555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6.864</v>
      </c>
      <c r="J34" s="38" t="n">
        <f aca="false">J24*INDEX(Assumptions!$C$26:$E$26,$B$3)*(1-J28)*J33</f>
        <v>7.66670162982088</v>
      </c>
      <c r="K34" s="38" t="n">
        <f aca="false">K24*INDEX(Assumptions!$C$26:$E$26,$B$3)*(1-K28)*K33</f>
        <v>5.49829950367167</v>
      </c>
      <c r="L34" s="38" t="n">
        <f aca="false">L24*INDEX(Assumptions!$C$26:$E$26,$B$3)*(1-L28)*L33</f>
        <v>3.97805924627781</v>
      </c>
      <c r="M34" s="38" t="n">
        <f aca="false">M24*INDEX(Assumptions!$C$26:$E$26,$B$3)*(1-M28)*M33</f>
        <v>4.30061887585154</v>
      </c>
      <c r="N34" s="38" t="n">
        <f aca="false">N24*INDEX(Assumptions!$C$26:$E$26,$B$3)*(1-N28)*N33</f>
        <v>4.5</v>
      </c>
      <c r="O34" s="17" t="n">
        <f aca="false">SUM(C34:N34)</f>
        <v>48.8234042556219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2.41094499774413</v>
      </c>
      <c r="M35" s="16" t="n">
        <f aca="false">M30*M33</f>
        <v>2.73055166720732</v>
      </c>
      <c r="N35" s="16" t="n">
        <f aca="false">N30*N33</f>
        <v>1.5</v>
      </c>
      <c r="O35" s="38" t="n">
        <f aca="false">SUM(C35:N35)</f>
        <v>6.64149666495145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4.576</v>
      </c>
      <c r="J36" s="16" t="n">
        <f aca="false">J24*(1-INDEX(Assumptions!$C$26:$E$26,$B$3))*J33</f>
        <v>5.11113441988059</v>
      </c>
      <c r="K36" s="16" t="n">
        <f aca="false">K24*(1-INDEX(Assumptions!$C$26:$E$26,$B$3))*K33</f>
        <v>3.66553300244778</v>
      </c>
      <c r="L36" s="16" t="n">
        <f aca="false">L24*(1-INDEX(Assumptions!$C$26:$E$26,$B$3))*L33</f>
        <v>3.53605266335806</v>
      </c>
      <c r="M36" s="16" t="n">
        <f aca="false">M24*(1-INDEX(Assumptions!$C$26:$E$26,$B$3))*M33</f>
        <v>3.82277233409025</v>
      </c>
      <c r="N36" s="16" t="n">
        <f aca="false">N24*(1-INDEX(Assumptions!$C$26:$E$26,$B$3))*N33</f>
        <v>4</v>
      </c>
      <c r="O36" s="38" t="n">
        <f aca="false">SUM(C36:N36)</f>
        <v>35.3886424197767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0.882</v>
      </c>
      <c r="J37" s="16" t="n">
        <f aca="false">I36*INDEX(Assumptions!$C$89:$E$89,$B$3)*J33</f>
        <v>1.29936395029853</v>
      </c>
      <c r="K37" s="16" t="n">
        <f aca="false">J36*INDEX(Assumptions!$C$89:$E$89,$B$3)*K33</f>
        <v>1.12410191376114</v>
      </c>
      <c r="L37" s="16" t="n">
        <f aca="false">K36*INDEX(Assumptions!$C$89:$E$89,$B$3)*L33</f>
        <v>0.883739845631749</v>
      </c>
      <c r="M37" s="16" t="n">
        <f aca="false">L36*INDEX(Assumptions!$C$89:$E$89,$B$3)*M33</f>
        <v>0.965537449526524</v>
      </c>
      <c r="N37" s="16" t="n">
        <f aca="false">M36*INDEX(Assumptions!$C$89:$E$89,$B$3)*N33</f>
        <v>1.14683170022708</v>
      </c>
      <c r="O37" s="38" t="n">
        <f aca="false">SUM(C37:N37)</f>
        <v>8.62271985944503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11.44</v>
      </c>
      <c r="J38" s="38" t="n">
        <f aca="false">J34+J35+J36</f>
        <v>12.7778360497015</v>
      </c>
      <c r="K38" s="38" t="n">
        <f aca="false">K34+K35+K36</f>
        <v>9.16383250611944</v>
      </c>
      <c r="L38" s="38" t="n">
        <f aca="false">L34+L35+L36</f>
        <v>9.92505690738</v>
      </c>
      <c r="M38" s="38" t="n">
        <f aca="false">M34+M35+M36</f>
        <v>10.8539428771491</v>
      </c>
      <c r="N38" s="38" t="n">
        <f aca="false">N34+N35+N36</f>
        <v>10</v>
      </c>
      <c r="O38" s="17" t="n">
        <f aca="false">SUM(C38:N38)</f>
        <v>90.85354334035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12.7778360497015</v>
      </c>
      <c r="K39" s="16" t="n">
        <f aca="false">IF(9&lt;IF($Q$3=1,$Q$4+1,INDEX(Assumptions!$C$215:$E$215,$D$3)),K24,K38)</f>
        <v>9.16383250611944</v>
      </c>
      <c r="L39" s="16" t="n">
        <f aca="false">IF(10&lt;IF($Q$3=1,$Q$4+1,INDEX(Assumptions!$C$215:$E$215,$D$3)),L24,L38)</f>
        <v>9.92505690738</v>
      </c>
      <c r="M39" s="16" t="n">
        <f aca="false">IF(11&lt;IF($Q$3=1,$Q$4+1,INDEX(Assumptions!$C$215:$E$215,$D$3)),M24,M38)</f>
        <v>10.8539428771491</v>
      </c>
      <c r="N39" s="16" t="n">
        <f aca="false">IF(12&lt;IF($Q$3=1,$Q$4+1,INDEX(Assumptions!$C$215:$E$215,$D$3)),N24,N38)</f>
        <v>10</v>
      </c>
      <c r="O39" s="38" t="n">
        <f aca="false">SUM(C39:N39)</f>
        <v>90.85354334035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2.86</v>
      </c>
      <c r="J40" s="16" t="n">
        <f aca="false">J38*INDEX(Assumptions!$C$74:$E$74,$B$3)</f>
        <v>3.19445901242537</v>
      </c>
      <c r="K40" s="16" t="n">
        <f aca="false">K38*INDEX(Assumptions!$C$74:$E$74,$B$3)</f>
        <v>2.29095812652986</v>
      </c>
      <c r="L40" s="16" t="n">
        <f aca="false">L38*INDEX(Assumptions!$C$74:$E$74,$B$3)</f>
        <v>2.481264226845</v>
      </c>
      <c r="M40" s="16" t="n">
        <f aca="false">M38*INDEX(Assumptions!$C$74:$E$74,$B$3)</f>
        <v>2.71348571928728</v>
      </c>
      <c r="N40" s="16" t="n">
        <f aca="false">N38*INDEX(Assumptions!$C$74:$E$74,$B$3)</f>
        <v>2.5</v>
      </c>
      <c r="O40" s="38" t="n">
        <f aca="false">SUM(C40:N40)</f>
        <v>22.7133858350875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6.24</v>
      </c>
      <c r="J41" s="16" t="n">
        <f aca="false">J10*MIN(J16,J21*J20)*J22*J23*J33</f>
        <v>7.66670162982088</v>
      </c>
      <c r="K41" s="16" t="n">
        <f aca="false">K10*MIN(K16,K21*K20)*K22*K23*K33</f>
        <v>5.49829950367167</v>
      </c>
      <c r="L41" s="16" t="n">
        <f aca="false">L10*MIN(L16,L21*L20)*L22*L23*L33</f>
        <v>5.30407899503709</v>
      </c>
      <c r="M41" s="16" t="n">
        <f aca="false">M10*MIN(M16,M21*M20)*M22*M23*M33</f>
        <v>5.73415850113538</v>
      </c>
      <c r="N41" s="16" t="n">
        <f aca="false">N10*MIN(N16,N21*N20)*N22*N23*N33</f>
        <v>6</v>
      </c>
      <c r="O41" s="38" t="n">
        <f aca="false">SUM(C41:N41)</f>
        <v>47.535488629665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21.9328</v>
      </c>
      <c r="J42" s="6" t="n">
        <f aca="false">J31+J34+J37+J36+1.25*J35</f>
        <v>27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27</v>
      </c>
      <c r="N42" s="6" t="n">
        <f aca="false">N31+N34+N37+N36+1.25*N35</f>
        <v>25.0629767015239</v>
      </c>
      <c r="O42" s="41" t="n">
        <f aca="false">AVERAGE(C42:N42)</f>
        <v>17.157994725127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0.731093333333334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0.9</v>
      </c>
      <c r="N43" s="39" t="n">
        <f aca="false">N42/(N25*N26)</f>
        <v>0.835432556717462</v>
      </c>
      <c r="O43" s="9" t="n">
        <f aca="false">N43</f>
        <v>0.835432556717462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63333.3333333333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387796.610169492</v>
      </c>
      <c r="J56" s="10" t="n">
        <f aca="false">J34*J53/(1+INDEX(Assumptions!$C$15:$E$15,$B$3)*$H$4)</f>
        <v>433146.984735643</v>
      </c>
      <c r="K56" s="10" t="n">
        <f aca="false">K34*K53/(1+INDEX(Assumptions!$C$15:$E$15,$B$3)*$H$4)</f>
        <v>310638.390037947</v>
      </c>
      <c r="L56" s="10" t="n">
        <f aca="false">L34*L53/(1+INDEX(Assumptions!$C$15:$E$15,$B$3)*$H$4)</f>
        <v>224749.109959198</v>
      </c>
      <c r="M56" s="10" t="n">
        <f aca="false">M34*M53/(1+INDEX(Assumptions!$C$15:$E$15,$B$3)*$H$4)</f>
        <v>242972.81784472</v>
      </c>
      <c r="N56" s="10" t="n">
        <f aca="false">N34*N53/(1+INDEX(Assumptions!$C$15:$E$15,$B$3)*$H$4)</f>
        <v>254237.288135593</v>
      </c>
      <c r="O56" s="40" t="n">
        <f aca="false">SUM(C56:N56)</f>
        <v>2667900.09918768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136211.581793454</v>
      </c>
      <c r="M57" s="10" t="n">
        <f aca="false">M35*M53/(1+INDEX(Assumptions!$C$15:$E$15,$B$3)*$H$4)</f>
        <v>154268.455774425</v>
      </c>
      <c r="N57" s="10" t="n">
        <f aca="false">N35*N53/(1+INDEX(Assumptions!$C$15:$E$15,$B$3)*$H$4)</f>
        <v>84745.7627118644</v>
      </c>
      <c r="O57" s="40" t="n">
        <f aca="false">SUM(C57:N57)</f>
        <v>375225.800279743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20006.9491525424</v>
      </c>
      <c r="J58" s="10" t="n">
        <f aca="false">J37*MAX(0,J53-INDEX(Assumptions!$C$18:$E$18,$B$3)*$H$3)/(1+INDEX(Assumptions!$C$15:$E$15,$B$3)*$H$4)</f>
        <v>29474.2726579017</v>
      </c>
      <c r="K58" s="10" t="n">
        <f aca="false">K37*MAX(0,K53-INDEX(Assumptions!$C$18:$E$18,$B$3)*$H$3)/(1+INDEX(Assumptions!$C$15:$E$15,$B$3)*$H$4)</f>
        <v>25498.6959533954</v>
      </c>
      <c r="L58" s="10" t="n">
        <f aca="false">L37*MAX(0,L53-INDEX(Assumptions!$C$18:$E$18,$B$3)*$H$3)/(1+INDEX(Assumptions!$C$15:$E$15,$B$3)*$H$4)</f>
        <v>20046.4151424377</v>
      </c>
      <c r="M58" s="10" t="n">
        <f aca="false">M37*MAX(0,M53-INDEX(Assumptions!$C$18:$E$18,$B$3)*$H$3)/(1+INDEX(Assumptions!$C$15:$E$15,$B$3)*$H$4)</f>
        <v>21901.8805641186</v>
      </c>
      <c r="N58" s="10" t="n">
        <f aca="false">N37*MAX(0,N53-INDEX(Assumptions!$C$18:$E$18,$B$3)*$H$3)/(1+INDEX(Assumptions!$C$15:$E$15,$B$3)*$H$4)</f>
        <v>26014.2896972413</v>
      </c>
      <c r="O58" s="40" t="n">
        <f aca="false">SUM(C58:N58)</f>
        <v>182480.651048993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172825.646909522</v>
      </c>
      <c r="K59" s="10" t="n">
        <f aca="false">K36*INDEX(Assumptions!$C$18:$E$18,$B$3)*$H$3/(1+INDEX(Assumptions!$C$15:$E$15,$B$3)*$H$4)</f>
        <v>123944.717625141</v>
      </c>
      <c r="L59" s="10" t="n">
        <f aca="false">L36*INDEX(Assumptions!$C$18:$E$18,$B$3)*$H$3/(1+INDEX(Assumptions!$C$15:$E$15,$B$3)*$H$4)</f>
        <v>119566.526498294</v>
      </c>
      <c r="M59" s="10" t="n">
        <f aca="false">M36*INDEX(Assumptions!$C$18:$E$18,$B$3)*$H$3/(1+INDEX(Assumptions!$C$15:$E$15,$B$3)*$H$4)</f>
        <v>129261.539093391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1196615.95978736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7360.03356462805</v>
      </c>
      <c r="K65" s="10" t="n">
        <f aca="false">(K34+K35)*(1-K54)*INDEX(Assumptions!$C$90:$E$90,$B$3)</f>
        <v>5278.3675235248</v>
      </c>
      <c r="L65" s="10" t="n">
        <f aca="false">(L34+L35)*(1-L54)*INDEX(Assumptions!$C$90:$E$90,$B$3)</f>
        <v>6133.44407426106</v>
      </c>
      <c r="M65" s="10" t="n">
        <f aca="false">(M34+M35)*(1-M54)*INDEX(Assumptions!$C$90:$E$90,$B$3)</f>
        <v>6749.92372133651</v>
      </c>
      <c r="N65" s="10" t="n">
        <f aca="false">(N34+N35)*(1-N54)*INDEX(Assumptions!$C$90:$E$90,$B$3)</f>
        <v>5760</v>
      </c>
      <c r="O65" s="40" t="n">
        <f aca="false">SUM(C65:N65)</f>
        <v>37871.2088837504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775875.058313353</v>
      </c>
      <c r="J66" s="40" t="n">
        <f aca="false">SUM(J56:J65)</f>
        <v>875495.431883022</v>
      </c>
      <c r="K66" s="40" t="n">
        <f aca="false">SUM(K56:K65)</f>
        <v>717664.556496322</v>
      </c>
      <c r="L66" s="40" t="n">
        <f aca="false">SUM(L56:L65)</f>
        <v>770656.486276116</v>
      </c>
      <c r="M66" s="40" t="n">
        <f aca="false">SUM(M56:M65)</f>
        <v>837813.242663396</v>
      </c>
      <c r="N66" s="40" t="n">
        <f aca="false">SUM(N56:N65)</f>
        <v>807379.420355174</v>
      </c>
      <c r="O66" s="11" t="n">
        <f aca="false">SUM(C66:N66)</f>
        <v>6674444.34981563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562534.406779661</v>
      </c>
      <c r="J67" s="10" t="n">
        <f aca="false">J56+J57+J58+J59</f>
        <v>635446.904303066</v>
      </c>
      <c r="K67" s="10" t="n">
        <f aca="false">K56+K57+K58+K59</f>
        <v>460081.803616483</v>
      </c>
      <c r="L67" s="10" t="n">
        <f aca="false">L56+L57+L58+L59</f>
        <v>500573.633393383</v>
      </c>
      <c r="M67" s="10" t="n">
        <f aca="false">M56+M57+M58+M59</f>
        <v>548404.693276654</v>
      </c>
      <c r="N67" s="10" t="n">
        <f aca="false">N56+N57+N58+N59</f>
        <v>500251.577832834</v>
      </c>
      <c r="O67" s="40" t="n">
        <f aca="false">SUM(C67:N67)</f>
        <v>4422222.51030378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46476</v>
      </c>
      <c r="J69" s="10" t="n">
        <f aca="false">((J34+J37)*INDEX(Assumptions!$C$91:$E$91,$B$3)+J35*(INDEX(Assumptions!$C$93:$E$93,$B$3)+IF($Q$3=1,INDEX(Assumptions!$C$282:$E$282,$B$3),0)))*$N$3</f>
        <v>53796.3934807165</v>
      </c>
      <c r="K69" s="10" t="n">
        <f aca="false">((K34+K37)*INDEX(Assumptions!$C$91:$E$91,$B$3)+K35*(INDEX(Assumptions!$C$93:$E$93,$B$3)+IF($Q$3=1,INDEX(Assumptions!$C$282:$E$282,$B$3),0)))*$N$3</f>
        <v>39734.4085045969</v>
      </c>
      <c r="L69" s="10" t="n">
        <f aca="false">((L34+L37)*INDEX(Assumptions!$C$91:$E$91,$B$3)+L35*(INDEX(Assumptions!$C$93:$E$93,$B$3)+IF($Q$3=1,INDEX(Assumptions!$C$282:$E$282,$B$3),0)))*$N$3</f>
        <v>52074.7720300266</v>
      </c>
      <c r="M69" s="10" t="n">
        <f aca="false">((M34+M37)*INDEX(Assumptions!$C$91:$E$91,$B$3)+M35*(INDEX(Assumptions!$C$93:$E$93,$B$3)+IF($Q$3=1,INDEX(Assumptions!$C$282:$E$282,$B$3),0)))*$N$3</f>
        <v>57537.178790738</v>
      </c>
      <c r="N69" s="10" t="n">
        <f aca="false">((N34+N37)*INDEX(Assumptions!$C$91:$E$91,$B$3)+N35*(INDEX(Assumptions!$C$93:$E$93,$B$3)+IF($Q$3=1,INDEX(Assumptions!$C$282:$E$282,$B$3),0)))*$N$3</f>
        <v>48130.9902013625</v>
      </c>
      <c r="O69" s="40" t="n">
        <f aca="false">SUM(C69:N69)</f>
        <v>407770.96300744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192188.7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9152</v>
      </c>
      <c r="J71" s="10" t="n">
        <f aca="false">J36*INDEX(Assumptions!$C$92:$E$92,$B$3)*$N$3</f>
        <v>10222.2688397612</v>
      </c>
      <c r="K71" s="10" t="n">
        <f aca="false">K36*INDEX(Assumptions!$C$92:$E$92,$B$3)*$N$3</f>
        <v>7331.06600489555</v>
      </c>
      <c r="L71" s="10" t="n">
        <f aca="false">L36*INDEX(Assumptions!$C$92:$E$92,$B$3)*$N$3</f>
        <v>7072.10532671611</v>
      </c>
      <c r="M71" s="10" t="n">
        <f aca="false">M36*INDEX(Assumptions!$C$92:$E$92,$B$3)*$N$3</f>
        <v>7645.54466818051</v>
      </c>
      <c r="N71" s="10" t="n">
        <f aca="false">N36*INDEX(Assumptions!$C$92:$E$92,$B$3)*$N$3</f>
        <v>8000</v>
      </c>
      <c r="O71" s="40" t="n">
        <f aca="false">SUM(C71:N71)</f>
        <v>70777.2848395534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26731.7948761951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30214.821157616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23878.1143590344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26055.2898334999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28427.6986607405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26591.3494026301</v>
      </c>
      <c r="O75" s="40" t="n">
        <f aca="false">SUM(C75:N75)</f>
        <v>224125.661923813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7666.70162982088</v>
      </c>
      <c r="K76" s="10" t="n">
        <f aca="false">K38*INDEX(Assumptions!$C$240:$E$240,$B$3)*INDEX(Assumptions!$C$69:$E$69,$B$3)</f>
        <v>5498.29950367167</v>
      </c>
      <c r="L76" s="10" t="n">
        <f aca="false">L38*INDEX(Assumptions!$C$240:$E$240,$B$3)*INDEX(Assumptions!$C$69:$E$69,$B$3)</f>
        <v>5955.034144428</v>
      </c>
      <c r="M76" s="10" t="n">
        <f aca="false">M38*INDEX(Assumptions!$C$240:$E$240,$B$3)*INDEX(Assumptions!$C$69:$E$69,$B$3)</f>
        <v>6512.36572628947</v>
      </c>
      <c r="N76" s="10" t="n">
        <f aca="false">N38*INDEX(Assumptions!$C$240:$E$240,$B$3)*INDEX(Assumptions!$C$69:$E$69,$B$3)</f>
        <v>6000</v>
      </c>
      <c r="O76" s="40" t="n">
        <f aca="false">SUM(C76:N76)</f>
        <v>54512.12600421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115486.721705463</v>
      </c>
      <c r="J77" s="40" t="n">
        <f aca="false">SUM(J69:J76)</f>
        <v>131922.226383712</v>
      </c>
      <c r="K77" s="40" t="n">
        <f aca="false">SUM(K69:K76)</f>
        <v>132229.408072011</v>
      </c>
      <c r="L77" s="40" t="n">
        <f aca="false">SUM(L69:L76)</f>
        <v>147792.938670506</v>
      </c>
      <c r="M77" s="40" t="n">
        <f aca="false">SUM(M69:M76)</f>
        <v>158441.264393791</v>
      </c>
      <c r="N77" s="40" t="n">
        <f aca="false">SUM(N69:N76)</f>
        <v>148723.555363843</v>
      </c>
      <c r="O77" s="11" t="n">
        <f aca="false">SUM(C77:N77)</f>
        <v>1314222.70833599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660388.336607889</v>
      </c>
      <c r="J78" s="40" t="n">
        <f aca="false">J66-J77</f>
        <v>743573.20549931</v>
      </c>
      <c r="K78" s="40" t="n">
        <f aca="false">K66-K77</f>
        <v>585435.148424311</v>
      </c>
      <c r="L78" s="40" t="n">
        <f aca="false">L66-L77</f>
        <v>622863.54760561</v>
      </c>
      <c r="M78" s="40" t="n">
        <f aca="false">M66-M77</f>
        <v>679371.978269605</v>
      </c>
      <c r="N78" s="40" t="n">
        <f aca="false">N66-N77</f>
        <v>658655.864991331</v>
      </c>
      <c r="O78" s="11" t="n">
        <f aca="false">SUM(C78:N78)</f>
        <v>5360221.64147964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0.851152939551226</v>
      </c>
      <c r="J79" s="8" t="n">
        <f aca="false">IFERROR(J78/J66,0)</f>
        <v>0.84931705914219</v>
      </c>
      <c r="K79" s="8" t="n">
        <f aca="false">IFERROR(K78/K66,0)</f>
        <v>0.815750399159237</v>
      </c>
      <c r="L79" s="8" t="n">
        <f aca="false">IFERROR(L78/L66,0)</f>
        <v>0.808224622380518</v>
      </c>
      <c r="M79" s="8" t="n">
        <f aca="false">IFERROR(M78/M66,0)</f>
        <v>0.810887132924626</v>
      </c>
      <c r="N79" s="8" t="n">
        <f aca="false">IFERROR(N78/N66,0)</f>
        <v>0.815794716072379</v>
      </c>
      <c r="O79" s="13" t="n">
        <f aca="false">IFERROR(O78/O66,0)</f>
        <v>0.803096311924109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1.55</v>
      </c>
      <c r="J82" s="6" t="n">
        <f aca="false">J81*(1-J12)</f>
        <v>1.6</v>
      </c>
      <c r="K82" s="6" t="n">
        <f aca="false">K81*(1-K12)</f>
        <v>1.65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1098000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256500</v>
      </c>
      <c r="J92" s="40" t="n">
        <f aca="false">SUM(J86:J91)</f>
        <v>256500</v>
      </c>
      <c r="K92" s="40" t="n">
        <f aca="false">SUM(K86:K91)</f>
        <v>256500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2736000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169600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504933</v>
      </c>
      <c r="J102" s="40" t="n">
        <f aca="false">J92+SUM(J94:J101)</f>
        <v>524933</v>
      </c>
      <c r="K102" s="40" t="n">
        <f aca="false">K92+SUM(K94:K101)</f>
        <v>529933</v>
      </c>
      <c r="L102" s="40" t="n">
        <f aca="false">L92+SUM(L94:L101)</f>
        <v>567933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5435596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155455.336607889</v>
      </c>
      <c r="J103" s="40" t="n">
        <f aca="false">J78-J102</f>
        <v>218640.20549931</v>
      </c>
      <c r="K103" s="40" t="n">
        <f aca="false">K78-K102</f>
        <v>55502.1484243112</v>
      </c>
      <c r="L103" s="40" t="n">
        <f aca="false">L78-L102</f>
        <v>54930.5476056103</v>
      </c>
      <c r="M103" s="40" t="n">
        <f aca="false">M78-M102</f>
        <v>111438.978269605</v>
      </c>
      <c r="N103" s="40" t="n">
        <f aca="false">N78-N102</f>
        <v>90722.8649913311</v>
      </c>
      <c r="O103" s="11" t="n">
        <f aca="false">SUM(C103:N103)</f>
        <v>-75374.3585203634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0.200361301658321</v>
      </c>
      <c r="J104" s="8" t="n">
        <f aca="false">IFERROR(J103/J66,0)</f>
        <v>0.24973311971378</v>
      </c>
      <c r="K104" s="8" t="n">
        <f aca="false">IFERROR(K103/K66,0)</f>
        <v>0.0773371736445725</v>
      </c>
      <c r="L104" s="8" t="n">
        <f aca="false">IFERROR(L103/L66,0)</f>
        <v>0.0712776036844118</v>
      </c>
      <c r="M104" s="8" t="n">
        <f aca="false">IFERROR(M103/M66,0)</f>
        <v>0.133011717402965</v>
      </c>
      <c r="N104" s="8" t="n">
        <f aca="false">IFERROR(N103/N66,0)</f>
        <v>0.11236707637584</v>
      </c>
      <c r="O104" s="8" t="n">
        <f aca="false">IFERROR(O103/O66,0)</f>
        <v>-0.0112929787964215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80455.3366078893</v>
      </c>
      <c r="J105" s="10" t="n">
        <f aca="false">J103-INDEX(Assumptions!$C$204:$E$204,$B$3)</f>
        <v>143640.20549931</v>
      </c>
      <c r="K105" s="10" t="n">
        <f aca="false">K103-INDEX(Assumptions!$C$204:$E$204,$B$3)</f>
        <v>-19497.8515756888</v>
      </c>
      <c r="L105" s="10" t="n">
        <f aca="false">L103-INDEX(Assumptions!$C$204:$E$204,$B$3)</f>
        <v>-20069.4523943897</v>
      </c>
      <c r="M105" s="10" t="n">
        <f aca="false">M103-INDEX(Assumptions!$C$204:$E$204,$B$3)</f>
        <v>36438.9782696051</v>
      </c>
      <c r="N105" s="10" t="n">
        <f aca="false">N103-INDEX(Assumptions!$C$204:$E$204,$B$3)</f>
        <v>15722.8649913311</v>
      </c>
      <c r="O105" s="40" t="n">
        <f aca="false">SUM(C105:N105)</f>
        <v>-975374.358520364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-112911.830508475</v>
      </c>
      <c r="J113" s="10" t="n">
        <f aca="false">((J67+IF(INDEX(Assumptions!$C$87:$E$87,$B$3)&gt;=2,I67,0)+IF(INDEX(Assumptions!$C$87:$E$87,$B$3)&gt;=3,H67,0))/INDEX(Assumptions!$C$87:$E$87,$B$3))-J67</f>
        <v>-36456.2487617026</v>
      </c>
      <c r="K113" s="10" t="n">
        <f aca="false">((K67+IF(INDEX(Assumptions!$C$87:$E$87,$B$3)&gt;=2,J67,0)+IF(INDEX(Assumptions!$C$87:$E$87,$B$3)&gt;=3,I67,0))/INDEX(Assumptions!$C$87:$E$87,$B$3))-K67</f>
        <v>87682.5503432914</v>
      </c>
      <c r="L113" s="10" t="n">
        <f aca="false">((L67+IF(INDEX(Assumptions!$C$87:$E$87,$B$3)&gt;=2,K67,0)+IF(INDEX(Assumptions!$C$87:$E$87,$B$3)&gt;=3,J67,0))/INDEX(Assumptions!$C$87:$E$87,$B$3))-L67</f>
        <v>-20245.9148884499</v>
      </c>
      <c r="M113" s="10" t="n">
        <f aca="false">((M67+IF(INDEX(Assumptions!$C$87:$E$87,$B$3)&gt;=2,L67,0)+IF(INDEX(Assumptions!$C$87:$E$87,$B$3)&gt;=3,K67,0))/INDEX(Assumptions!$C$87:$E$87,$B$3))-M67</f>
        <v>-23915.5299416353</v>
      </c>
      <c r="N113" s="10" t="n">
        <f aca="false">((N67+IF(INDEX(Assumptions!$C$87:$E$87,$B$3)&gt;=2,M67,0)+IF(INDEX(Assumptions!$C$87:$E$87,$B$3)&gt;=3,L67,0))/INDEX(Assumptions!$C$87:$E$87,$B$3))-N67</f>
        <v>24076.5577219098</v>
      </c>
      <c r="O113" s="40" t="n">
        <f aca="false">SUM(C113:N113)</f>
        <v>-250125.788916417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-1481683.91976909</v>
      </c>
      <c r="I114" s="40" t="n">
        <f aca="false">I103+I113-I112</f>
        <v>42543.5060994147</v>
      </c>
      <c r="J114" s="40" t="n">
        <f aca="false">J103+J113-J112</f>
        <v>182183.956737607</v>
      </c>
      <c r="K114" s="40" t="n">
        <f aca="false">K103+K113-K112</f>
        <v>143184.698767603</v>
      </c>
      <c r="L114" s="40" t="n">
        <f aca="false">L103+L113-L112</f>
        <v>34684.6327171604</v>
      </c>
      <c r="M114" s="40" t="n">
        <f aca="false">M103+M113-M112</f>
        <v>87523.4483279698</v>
      </c>
      <c r="N114" s="40" t="n">
        <f aca="false">N103+N113-N112</f>
        <v>114799.422713241</v>
      </c>
      <c r="O114" s="11" t="n">
        <f aca="false">SUM(C114:N114)</f>
        <v>-2047500.14743678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-2652419.81279978</v>
      </c>
      <c r="I115" s="40" t="n">
        <f aca="false">H115+I114</f>
        <v>-2609876.30670036</v>
      </c>
      <c r="J115" s="40" t="n">
        <f aca="false">I115+J114</f>
        <v>-2427692.34996275</v>
      </c>
      <c r="K115" s="40" t="n">
        <f aca="false">J115+K114</f>
        <v>-2284507.65119515</v>
      </c>
      <c r="L115" s="40" t="n">
        <f aca="false">K115+L114</f>
        <v>-2249823.01847799</v>
      </c>
      <c r="M115" s="40" t="n">
        <f aca="false">L115+M114</f>
        <v>-2162299.57015002</v>
      </c>
      <c r="N115" s="40" t="n">
        <f aca="false">M115+N114</f>
        <v>-2047500.14743678</v>
      </c>
      <c r="O115" s="11" t="n">
        <f aca="false">N115</f>
        <v>-2047500.14743678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2652419.81279978</v>
      </c>
      <c r="I116" s="40" t="n">
        <f aca="false">-MIN(0,MIN($C$115:I115))</f>
        <v>2652419.81279978</v>
      </c>
      <c r="J116" s="40" t="n">
        <f aca="false">-MIN(0,MIN($C$115:J115))</f>
        <v>2652419.81279978</v>
      </c>
      <c r="K116" s="40" t="n">
        <f aca="false">-MIN(0,MIN($C$115:K115))</f>
        <v>2652419.81279978</v>
      </c>
      <c r="L116" s="40" t="n">
        <f aca="false">-MIN(0,MIN($C$115:L115))</f>
        <v>2652419.81279978</v>
      </c>
      <c r="M116" s="40" t="n">
        <f aca="false">-MIN(0,MIN($C$115:M115))</f>
        <v>2652419.81279978</v>
      </c>
      <c r="N116" s="40" t="n">
        <f aca="false">-MIN(0,MIN($C$115:N115))</f>
        <v>2652419.81279978</v>
      </c>
      <c r="O116" s="11" t="n">
        <f aca="false">MAX(C116:N116)</f>
        <v>2652419.81279978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8.993424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11.8409377643857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8.09515279728313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7.10969153087188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8.993424</v>
      </c>
      <c r="D132" s="8" t="n">
        <f aca="false">C132/INDEX(Assumptions!$C$179:$E$179,$B$3)</f>
        <v>0.749452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11.8409377643857</v>
      </c>
      <c r="D133" s="8" t="n">
        <f aca="false">C133/INDEX(Assumptions!$C$179:$E$179,$B$3)</f>
        <v>0.986744813698807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8.09515279728313</v>
      </c>
      <c r="D134" s="8" t="n">
        <f aca="false">C134/INDEX(Assumptions!$C$179:$E$179,$B$3)</f>
        <v>0.674596066440261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7.10969153087188</v>
      </c>
      <c r="D135" s="8" t="n">
        <f aca="false">C135/INDEX(Assumptions!$C$179:$E$179,$B$3)</f>
        <v>0.592474294239323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14.63331993868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11.9148666229888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9.65774631424597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14.63331993868</v>
      </c>
      <c r="D146" s="8" t="n">
        <f aca="false">C146/INDEX(Assumptions!$C$179:$E$179,$B$3)</f>
        <v>1.21944332822333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11.9148666229888</v>
      </c>
      <c r="D147" s="8" t="n">
        <f aca="false">C147/INDEX(Assumptions!$C$179:$E$179,$B$3)</f>
        <v>0.992905551915734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9.65774631424597</v>
      </c>
      <c r="D148" s="8" t="n">
        <f aca="false">C148/INDEX(Assumptions!$C$179:$E$179,$B$3)</f>
        <v>0.80481219285383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6674444.34981563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-75374.3585203634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-0.0112929787964215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-975374.358520364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2652419.81279978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347580.187200224</v>
      </c>
    </row>
    <row r="160" customFormat="false" ht="15" hidden="false" customHeight="false" outlineLevel="0" collapsed="false">
      <c r="A160" s="3" t="s">
        <v>51</v>
      </c>
      <c r="B160" s="7" t="n">
        <f aca="false">O38</f>
        <v>90.85354334035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10.6934447233917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0.835432556717462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41877.7455312369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7.83362585926073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94.0035103111288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11140.6125049905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0.197188841338332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0.485618379815417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20.5096804380865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257092.390866547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-2047500.14743678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1170735.89303069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1098000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2854508.12600421</v>
      </c>
    </row>
    <row r="187" customFormat="false" ht="15" hidden="false" customHeight="false" outlineLevel="0" collapsed="false">
      <c r="A187" s="3" t="s">
        <v>78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114448.346899676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0.608508239196913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7.10969153087188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2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0.979970293379689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36.443238629665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6.64149666495145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1960891.39086655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1570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1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1.91666666666667</v>
      </c>
      <c r="E15" s="16" t="n">
        <f aca="false">E14+(INDEX(Assumptions!$C$25:$E$25,E$9)*(1-(INDEX(Assumptions!$C$27:$E$27,$B$3)+INDEX(Assumptions!$C$28:$E$28,$B$3)+INDEX(Assumptions!$C$31:$E$31,$B$3)))-E14)*MIN(1,(3-1)/6)*$N$4</f>
        <v>2.33333333333333</v>
      </c>
      <c r="F15" s="16" t="n">
        <f aca="false">F14+(INDEX(Assumptions!$C$25:$E$25,F$9)*(1-(INDEX(Assumptions!$C$27:$E$27,$B$3)+INDEX(Assumptions!$C$28:$E$28,$B$3)+INDEX(Assumptions!$C$31:$E$31,$B$3)))-F14)*MIN(1,(4-1)/6)*$N$4</f>
        <v>2.75</v>
      </c>
      <c r="G15" s="16" t="n">
        <f aca="false">G14+(INDEX(Assumptions!$C$25:$E$25,G$9)*(1-(INDEX(Assumptions!$C$27:$E$27,$B$3)+INDEX(Assumptions!$C$28:$E$28,$B$3)+INDEX(Assumptions!$C$31:$E$31,$B$3)))-G14)*MIN(1,(5-1)/6)*$N$4</f>
        <v>3.16666666666667</v>
      </c>
      <c r="H15" s="16" t="n">
        <f aca="false">H14+(INDEX(Assumptions!$C$25:$E$25,H$9)*(1-(INDEX(Assumptions!$C$27:$E$27,$B$3)+INDEX(Assumptions!$C$28:$E$28,$B$3)+INDEX(Assumptions!$C$31:$E$31,$B$3)))-H14)*MIN(1,(6-1)/6)*$N$4</f>
        <v>3.58333333333333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39.25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1.5</v>
      </c>
      <c r="D17" s="16" t="n">
        <f aca="false">D15+D16</f>
        <v>2.91666666666667</v>
      </c>
      <c r="E17" s="16" t="n">
        <f aca="false">E15+E16</f>
        <v>4.33333333333333</v>
      </c>
      <c r="F17" s="16" t="n">
        <f aca="false">F15+F16</f>
        <v>5.75</v>
      </c>
      <c r="G17" s="16" t="n">
        <f aca="false">G15+G16</f>
        <v>7.16666666666667</v>
      </c>
      <c r="H17" s="16" t="n">
        <f aca="false">H15+H16</f>
        <v>8.58333333333333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90.25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60000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60000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60000</v>
      </c>
      <c r="O18" s="40" t="n">
        <f aca="false">SUM(C18:N18)</f>
        <v>600000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0.916666666666667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0.260395683453237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0.694388489208633</v>
      </c>
      <c r="F21" s="16" t="n">
        <f aca="false">F18*INDEX(Assumptions!$C$119:$E$119,$B$3)/F19</f>
        <v>0.867985611510791</v>
      </c>
      <c r="G21" s="16" t="n">
        <f aca="false">G18*INDEX(Assumptions!$C$119:$E$119,$B$3)/G19</f>
        <v>1.04158273381295</v>
      </c>
      <c r="H21" s="16" t="n">
        <f aca="false">H18*INDEX(Assumptions!$C$119:$E$119,$B$3)/H19</f>
        <v>1.04158273381295</v>
      </c>
      <c r="I21" s="16" t="n">
        <f aca="false">I18*INDEX(Assumptions!$C$119:$E$119,$B$3)/I19</f>
        <v>1.04158273381295</v>
      </c>
      <c r="J21" s="16" t="n">
        <f aca="false">J18*INDEX(Assumptions!$C$119:$E$119,$B$3)/J19</f>
        <v>1.04158273381295</v>
      </c>
      <c r="K21" s="16" t="n">
        <f aca="false">K18*INDEX(Assumptions!$C$119:$E$119,$B$3)/K19</f>
        <v>1.04158273381295</v>
      </c>
      <c r="L21" s="16" t="n">
        <f aca="false">L18*INDEX(Assumptions!$C$119:$E$119,$B$3)/L19</f>
        <v>1.04158273381295</v>
      </c>
      <c r="M21" s="16" t="n">
        <f aca="false">M18*INDEX(Assumptions!$C$119:$E$119,$B$3)/M19</f>
        <v>1.04158273381295</v>
      </c>
      <c r="N21" s="16" t="n">
        <f aca="false">N18*INDEX(Assumptions!$C$119:$E$119,$B$3)/N19</f>
        <v>1.04158273381295</v>
      </c>
      <c r="O21" s="38" t="n">
        <f aca="false">SUM(C21:N21)</f>
        <v>10.4158273381295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1.37889838129496</v>
      </c>
      <c r="E24" s="38" t="n">
        <f aca="false">E10*(E14*$F$3+(E15-E14)*$F$3*E20+MIN(E16,E21*E20))*E22*E23</f>
        <v>2.11940527577938</v>
      </c>
      <c r="F24" s="38" t="n">
        <f aca="false">F10*(F14*$F$3+(F15-F14)*$F$3*F20+MIN(F16,F21*F20))*F22*F23</f>
        <v>2.89438848920863</v>
      </c>
      <c r="G24" s="38" t="n">
        <f aca="false">G10*(G14*$F$3+(G15-G14)*$F$3*G20+MIN(G16,G21*G20))*G22*G23</f>
        <v>3.78742446043165</v>
      </c>
      <c r="H24" s="38" t="n">
        <f aca="false">H10*(H14*$F$3+(H15-H14)*$F$3*H20+MIN(H16,H21*H20))*H22*H23</f>
        <v>4.62491606714628</v>
      </c>
      <c r="I24" s="38" t="n">
        <f aca="false">I10*(I14*$F$3+(I15-I14)*$F$3*I20+MIN(I16,I21*I20))*I22*I23</f>
        <v>6.55405755395684</v>
      </c>
      <c r="J24" s="38" t="n">
        <f aca="false">J10*(J14*$F$3+(J15-J14)*$F$3*J20+MIN(J16,J21*J20))*J22*J23</f>
        <v>6.80613669064748</v>
      </c>
      <c r="K24" s="38" t="n">
        <f aca="false">K10*(K14*$F$3+(K15-K14)*$F$3*K20+MIN(K16,K21*K20))*K22*K23</f>
        <v>6.30197841726619</v>
      </c>
      <c r="L24" s="38" t="n">
        <f aca="false">L10*(L14*$F$3+(L15-L14)*$F$3*L20+MIN(L16,L21*L20))*L22*L23</f>
        <v>5.54574100719425</v>
      </c>
      <c r="M24" s="38" t="n">
        <f aca="false">M10*(M14*$F$3+(M15-M14)*$F$3*M20+MIN(M16,M21*M20))*M22*M23</f>
        <v>5.2936618705036</v>
      </c>
      <c r="N24" s="38" t="n">
        <f aca="false">N10*(N14*$F$3+(N15-N14)*$F$3*N20+MIN(N16,N21*N20))*N22*N23</f>
        <v>5.04158273381295</v>
      </c>
      <c r="O24" s="17" t="n">
        <f aca="false">SUM(C24:N24)</f>
        <v>51.5481909472422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18</v>
      </c>
      <c r="M27" s="6" t="n">
        <f aca="false">M25*M26*INDEX(Assumptions!$C$220:$E$220,$B$3)</f>
        <v>18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1.43944919064748</v>
      </c>
      <c r="F31" s="6" t="n">
        <f aca="false">E34+D34+E37+D37+1.25*E35</f>
        <v>2.07151412619904</v>
      </c>
      <c r="G31" s="6" t="n">
        <f aca="false">F34+E34+F37+E37+1.25*F35</f>
        <v>2.9441848396283</v>
      </c>
      <c r="H31" s="6" t="n">
        <f aca="false">G34+F34+G37+F37+1.25*G35</f>
        <v>3.96763069544365</v>
      </c>
      <c r="I31" s="6" t="n">
        <f aca="false">H34+G34+H37+G37+1.25*H35</f>
        <v>5.041396882494</v>
      </c>
      <c r="J31" s="6" t="n">
        <f aca="false">I34+H34+I37+H37+1.25*I35</f>
        <v>6.6410293764988</v>
      </c>
      <c r="K31" s="6" t="n">
        <f aca="false">J34+I34+J37+I37+1.25*J35</f>
        <v>8.07746882494005</v>
      </c>
      <c r="L31" s="6" t="n">
        <f aca="false">K34+J34+K37+J37+1.25*K35</f>
        <v>8.22408183453238</v>
      </c>
      <c r="M31" s="6" t="n">
        <f aca="false">L34+K34+L37+K37+1.25*L35</f>
        <v>7.56237410071943</v>
      </c>
      <c r="N31" s="6" t="n">
        <f aca="false">M34+L34+M37+L37+1.25*M35</f>
        <v>6.90066636690648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1.52889838129496</v>
      </c>
      <c r="E32" s="6" t="n">
        <f aca="false">E24*(INDEX(Assumptions!$C$26:$E$26,$B$3)*(1-E28)+(1-INDEX(Assumptions!$C$26:$E$26,$B$3)))+1.25*E30+D36*INDEX(Assumptions!$C$89:$E$89,$B$3)</f>
        <v>2.29176757344125</v>
      </c>
      <c r="F32" s="6" t="n">
        <f aca="false">F24*(INDEX(Assumptions!$C$26:$E$26,$B$3)*(1-F28)+(1-INDEX(Assumptions!$C$26:$E$26,$B$3)))+1.25*F30+E36*INDEX(Assumptions!$C$89:$E$89,$B$3)</f>
        <v>3.15931414868106</v>
      </c>
      <c r="G32" s="6" t="n">
        <f aca="false">G24*(INDEX(Assumptions!$C$26:$E$26,$B$3)*(1-G28)+(1-INDEX(Assumptions!$C$26:$E$26,$B$3)))+1.25*G30+F36*INDEX(Assumptions!$C$89:$E$89,$B$3)</f>
        <v>4.14922302158273</v>
      </c>
      <c r="H32" s="6" t="n">
        <f aca="false">H24*(INDEX(Assumptions!$C$26:$E$26,$B$3)*(1-H28)+(1-INDEX(Assumptions!$C$26:$E$26,$B$3)))+1.25*H30+G36*INDEX(Assumptions!$C$89:$E$89,$B$3)</f>
        <v>5.09834412470024</v>
      </c>
      <c r="I32" s="6" t="n">
        <f aca="false">I24*(INDEX(Assumptions!$C$26:$E$26,$B$3)*(1-I28)+(1-INDEX(Assumptions!$C$26:$E$26,$B$3)))+1.25*I30+H36*INDEX(Assumptions!$C$89:$E$89,$B$3)</f>
        <v>7.13217206235012</v>
      </c>
      <c r="J32" s="6" t="n">
        <f aca="false">J24*(INDEX(Assumptions!$C$26:$E$26,$B$3)*(1-J28)+(1-INDEX(Assumptions!$C$26:$E$26,$B$3)))+1.25*J30+I36*INDEX(Assumptions!$C$89:$E$89,$B$3)</f>
        <v>7.62539388489209</v>
      </c>
      <c r="K32" s="6" t="n">
        <f aca="false">K24*(INDEX(Assumptions!$C$26:$E$26,$B$3)*(1-K28)+(1-INDEX(Assumptions!$C$26:$E$26,$B$3)))+1.25*K30+J36*INDEX(Assumptions!$C$89:$E$89,$B$3)</f>
        <v>7.15274550359712</v>
      </c>
      <c r="L32" s="6" t="n">
        <f aca="false">L24*(INDEX(Assumptions!$C$26:$E$26,$B$3)*(1-L28)+(1-INDEX(Assumptions!$C$26:$E$26,$B$3)))+1.25*L30+K36*INDEX(Assumptions!$C$89:$E$89,$B$3)</f>
        <v>6.33348830935252</v>
      </c>
      <c r="M32" s="6" t="n">
        <f aca="false">M24*(INDEX(Assumptions!$C$26:$E$26,$B$3)*(1-M28)+(1-INDEX(Assumptions!$C$26:$E$26,$B$3)))+1.25*M30+L36*INDEX(Assumptions!$C$89:$E$89,$B$3)</f>
        <v>5.98687949640288</v>
      </c>
      <c r="N32" s="6" t="n">
        <f aca="false">N24*(INDEX(Assumptions!$C$26:$E$26,$B$3)*(1-N28)+(1-INDEX(Assumptions!$C$26:$E$26,$B$3)))+1.25*N30+M36*INDEX(Assumptions!$C$89:$E$89,$B$3)</f>
        <v>5.7032904676259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0.689449190647482</v>
      </c>
      <c r="E34" s="38" t="n">
        <f aca="false">E24*INDEX(Assumptions!$C$26:$E$26,$B$3)*(1-E28)*E33</f>
        <v>1.05970263788969</v>
      </c>
      <c r="F34" s="38" t="n">
        <f aca="false">F24*INDEX(Assumptions!$C$26:$E$26,$B$3)*(1-F28)*F33</f>
        <v>1.44719424460432</v>
      </c>
      <c r="G34" s="38" t="n">
        <f aca="false">G24*INDEX(Assumptions!$C$26:$E$26,$B$3)*(1-G28)*G33</f>
        <v>1.89371223021583</v>
      </c>
      <c r="H34" s="38" t="n">
        <f aca="false">H24*INDEX(Assumptions!$C$26:$E$26,$B$3)*(1-H28)*H33</f>
        <v>2.31245803357314</v>
      </c>
      <c r="I34" s="38" t="n">
        <f aca="false">I24*INDEX(Assumptions!$C$26:$E$26,$B$3)*(1-I28)*I33</f>
        <v>3.27702877697842</v>
      </c>
      <c r="J34" s="38" t="n">
        <f aca="false">J24*INDEX(Assumptions!$C$26:$E$26,$B$3)*(1-J28)*J33</f>
        <v>3.40306834532374</v>
      </c>
      <c r="K34" s="38" t="n">
        <f aca="false">K24*INDEX(Assumptions!$C$26:$E$26,$B$3)*(1-K28)*K33</f>
        <v>3.15098920863309</v>
      </c>
      <c r="L34" s="38" t="n">
        <f aca="false">L24*INDEX(Assumptions!$C$26:$E$26,$B$3)*(1-L28)*L33</f>
        <v>2.77287050359712</v>
      </c>
      <c r="M34" s="38" t="n">
        <f aca="false">M24*INDEX(Assumptions!$C$26:$E$26,$B$3)*(1-M28)*M33</f>
        <v>2.6468309352518</v>
      </c>
      <c r="N34" s="38" t="n">
        <f aca="false">N24*INDEX(Assumptions!$C$26:$E$26,$B$3)*(1-N28)*N33</f>
        <v>2.52079136690648</v>
      </c>
      <c r="O34" s="17" t="n">
        <f aca="false">SUM(C34:N34)</f>
        <v>25.7740954736211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0.6</v>
      </c>
      <c r="D36" s="16" t="n">
        <f aca="false">D24*(1-INDEX(Assumptions!$C$26:$E$26,$B$3))*D33</f>
        <v>0.689449190647482</v>
      </c>
      <c r="E36" s="16" t="n">
        <f aca="false">E24*(1-INDEX(Assumptions!$C$26:$E$26,$B$3))*E33</f>
        <v>1.05970263788969</v>
      </c>
      <c r="F36" s="16" t="n">
        <f aca="false">F24*(1-INDEX(Assumptions!$C$26:$E$26,$B$3))*F33</f>
        <v>1.44719424460432</v>
      </c>
      <c r="G36" s="16" t="n">
        <f aca="false">G24*(1-INDEX(Assumptions!$C$26:$E$26,$B$3))*G33</f>
        <v>1.89371223021583</v>
      </c>
      <c r="H36" s="16" t="n">
        <f aca="false">H24*(1-INDEX(Assumptions!$C$26:$E$26,$B$3))*H33</f>
        <v>2.31245803357314</v>
      </c>
      <c r="I36" s="16" t="n">
        <f aca="false">I24*(1-INDEX(Assumptions!$C$26:$E$26,$B$3))*I33</f>
        <v>3.27702877697842</v>
      </c>
      <c r="J36" s="16" t="n">
        <f aca="false">J24*(1-INDEX(Assumptions!$C$26:$E$26,$B$3))*J33</f>
        <v>3.40306834532374</v>
      </c>
      <c r="K36" s="16" t="n">
        <f aca="false">K24*(1-INDEX(Assumptions!$C$26:$E$26,$B$3))*K33</f>
        <v>3.15098920863309</v>
      </c>
      <c r="L36" s="16" t="n">
        <f aca="false">L24*(1-INDEX(Assumptions!$C$26:$E$26,$B$3))*L33</f>
        <v>2.77287050359712</v>
      </c>
      <c r="M36" s="16" t="n">
        <f aca="false">M24*(1-INDEX(Assumptions!$C$26:$E$26,$B$3))*M33</f>
        <v>2.6468309352518</v>
      </c>
      <c r="N36" s="16" t="n">
        <f aca="false">N24*(1-INDEX(Assumptions!$C$26:$E$26,$B$3))*N33</f>
        <v>2.52079136690648</v>
      </c>
      <c r="O36" s="38" t="n">
        <f aca="false">SUM(C36:N36)</f>
        <v>25.7740954736211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0.172362297661871</v>
      </c>
      <c r="F37" s="16" t="n">
        <f aca="false">E36*INDEX(Assumptions!$C$89:$E$89,$B$3)*F33</f>
        <v>0.264925659472422</v>
      </c>
      <c r="G37" s="16" t="n">
        <f aca="false">F36*INDEX(Assumptions!$C$89:$E$89,$B$3)*G33</f>
        <v>0.361798561151079</v>
      </c>
      <c r="H37" s="16" t="n">
        <f aca="false">G36*INDEX(Assumptions!$C$89:$E$89,$B$3)*H33</f>
        <v>0.473428057553957</v>
      </c>
      <c r="I37" s="16" t="n">
        <f aca="false">H36*INDEX(Assumptions!$C$89:$E$89,$B$3)*I33</f>
        <v>0.578114508393285</v>
      </c>
      <c r="J37" s="16" t="n">
        <f aca="false">I36*INDEX(Assumptions!$C$89:$E$89,$B$3)*J33</f>
        <v>0.819257194244604</v>
      </c>
      <c r="K37" s="16" t="n">
        <f aca="false">J36*INDEX(Assumptions!$C$89:$E$89,$B$3)*K33</f>
        <v>0.850767086330935</v>
      </c>
      <c r="L37" s="16" t="n">
        <f aca="false">K36*INDEX(Assumptions!$C$89:$E$89,$B$3)*L33</f>
        <v>0.787747302158274</v>
      </c>
      <c r="M37" s="16" t="n">
        <f aca="false">L36*INDEX(Assumptions!$C$89:$E$89,$B$3)*M33</f>
        <v>0.693217625899281</v>
      </c>
      <c r="N37" s="16" t="n">
        <f aca="false">M36*INDEX(Assumptions!$C$89:$E$89,$B$3)*N33</f>
        <v>0.66170773381295</v>
      </c>
      <c r="O37" s="38" t="n">
        <f aca="false">SUM(C37:N37)</f>
        <v>5.81332602667866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1.2</v>
      </c>
      <c r="D38" s="38" t="n">
        <f aca="false">D34+D35+D36</f>
        <v>1.37889838129496</v>
      </c>
      <c r="E38" s="38" t="n">
        <f aca="false">E34+E35+E36</f>
        <v>2.11940527577938</v>
      </c>
      <c r="F38" s="38" t="n">
        <f aca="false">F34+F35+F36</f>
        <v>2.89438848920863</v>
      </c>
      <c r="G38" s="38" t="n">
        <f aca="false">G34+G35+G36</f>
        <v>3.78742446043165</v>
      </c>
      <c r="H38" s="38" t="n">
        <f aca="false">H34+H35+H36</f>
        <v>4.62491606714628</v>
      </c>
      <c r="I38" s="38" t="n">
        <f aca="false">I34+I35+I36</f>
        <v>6.55405755395684</v>
      </c>
      <c r="J38" s="38" t="n">
        <f aca="false">J34+J35+J36</f>
        <v>6.80613669064748</v>
      </c>
      <c r="K38" s="38" t="n">
        <f aca="false">K34+K35+K36</f>
        <v>6.30197841726619</v>
      </c>
      <c r="L38" s="38" t="n">
        <f aca="false">L34+L35+L36</f>
        <v>5.54574100719425</v>
      </c>
      <c r="M38" s="38" t="n">
        <f aca="false">M34+M35+M36</f>
        <v>5.2936618705036</v>
      </c>
      <c r="N38" s="38" t="n">
        <f aca="false">N34+N35+N36</f>
        <v>5.04158273381295</v>
      </c>
      <c r="O38" s="17" t="n">
        <f aca="false">SUM(C38:N38)</f>
        <v>51.5481909472422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1.37889838129496</v>
      </c>
      <c r="E39" s="16" t="n">
        <f aca="false">IF(3&lt;IF($Q$3=1,$Q$4+1,INDEX(Assumptions!$C$215:$E$215,$D$3)),E24,E38)</f>
        <v>2.11940527577938</v>
      </c>
      <c r="F39" s="16" t="n">
        <f aca="false">IF(4&lt;IF($Q$3=1,$Q$4+1,INDEX(Assumptions!$C$215:$E$215,$D$3)),F24,F38)</f>
        <v>2.89438848920863</v>
      </c>
      <c r="G39" s="16" t="n">
        <f aca="false">IF(5&lt;IF($Q$3=1,$Q$4+1,INDEX(Assumptions!$C$215:$E$215,$D$3)),G24,G38)</f>
        <v>3.78742446043165</v>
      </c>
      <c r="H39" s="16" t="n">
        <f aca="false">IF(6&lt;IF($Q$3=1,$Q$4+1,INDEX(Assumptions!$C$215:$E$215,$D$3)),H24,H38)</f>
        <v>4.62491606714628</v>
      </c>
      <c r="I39" s="16" t="n">
        <f aca="false">IF(7&lt;IF($Q$3=1,$Q$4+1,INDEX(Assumptions!$C$215:$E$215,$D$3)),I24,I38)</f>
        <v>6.55405755395684</v>
      </c>
      <c r="J39" s="16" t="n">
        <f aca="false">IF(8&lt;IF($Q$3=1,$Q$4+1,INDEX(Assumptions!$C$215:$E$215,$D$3)),J24,J38)</f>
        <v>6.80613669064748</v>
      </c>
      <c r="K39" s="16" t="n">
        <f aca="false">IF(9&lt;IF($Q$3=1,$Q$4+1,INDEX(Assumptions!$C$215:$E$215,$D$3)),K24,K38)</f>
        <v>6.30197841726619</v>
      </c>
      <c r="L39" s="16" t="n">
        <f aca="false">IF(10&lt;IF($Q$3=1,$Q$4+1,INDEX(Assumptions!$C$215:$E$215,$D$3)),L24,L38)</f>
        <v>5.54574100719425</v>
      </c>
      <c r="M39" s="16" t="n">
        <f aca="false">IF(11&lt;IF($Q$3=1,$Q$4+1,INDEX(Assumptions!$C$215:$E$215,$D$3)),M24,M38)</f>
        <v>5.2936618705036</v>
      </c>
      <c r="N39" s="16" t="n">
        <f aca="false">IF(12&lt;IF($Q$3=1,$Q$4+1,INDEX(Assumptions!$C$215:$E$215,$D$3)),N24,N38)</f>
        <v>5.04158273381295</v>
      </c>
      <c r="O39" s="38" t="n">
        <f aca="false">SUM(C39:N39)</f>
        <v>51.5481909472422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0.18</v>
      </c>
      <c r="D40" s="16" t="n">
        <f aca="false">D38*INDEX(Assumptions!$C$74:$E$74,$B$3)</f>
        <v>0.206834757194245</v>
      </c>
      <c r="E40" s="16" t="n">
        <f aca="false">E38*INDEX(Assumptions!$C$74:$E$74,$B$3)</f>
        <v>0.317910791366906</v>
      </c>
      <c r="F40" s="16" t="n">
        <f aca="false">F38*INDEX(Assumptions!$C$74:$E$74,$B$3)</f>
        <v>0.434158273381295</v>
      </c>
      <c r="G40" s="16" t="n">
        <f aca="false">G38*INDEX(Assumptions!$C$74:$E$74,$B$3)</f>
        <v>0.568113669064748</v>
      </c>
      <c r="H40" s="16" t="n">
        <f aca="false">H38*INDEX(Assumptions!$C$74:$E$74,$B$3)</f>
        <v>0.693737410071943</v>
      </c>
      <c r="I40" s="16" t="n">
        <f aca="false">I38*INDEX(Assumptions!$C$74:$E$74,$B$3)</f>
        <v>0.983108633093525</v>
      </c>
      <c r="J40" s="16" t="n">
        <f aca="false">J38*INDEX(Assumptions!$C$74:$E$74,$B$3)</f>
        <v>1.02092050359712</v>
      </c>
      <c r="K40" s="16" t="n">
        <f aca="false">K38*INDEX(Assumptions!$C$74:$E$74,$B$3)</f>
        <v>0.945296762589928</v>
      </c>
      <c r="L40" s="16" t="n">
        <f aca="false">L38*INDEX(Assumptions!$C$74:$E$74,$B$3)</f>
        <v>0.831861151079137</v>
      </c>
      <c r="M40" s="16" t="n">
        <f aca="false">M38*INDEX(Assumptions!$C$74:$E$74,$B$3)</f>
        <v>0.79404928057554</v>
      </c>
      <c r="N40" s="16" t="n">
        <f aca="false">N38*INDEX(Assumptions!$C$74:$E$74,$B$3)</f>
        <v>0.756237410071943</v>
      </c>
      <c r="O40" s="38" t="n">
        <f aca="false">SUM(C40:N40)</f>
        <v>7.73222864208633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0.486071942446043</v>
      </c>
      <c r="F41" s="16" t="n">
        <f aca="false">F10*MIN(F16,F21*F20)*F22*F23*F33</f>
        <v>0.694388489208633</v>
      </c>
      <c r="G41" s="16" t="n">
        <f aca="false">G10*MIN(G16,G21*G20)*G22*G23*G33</f>
        <v>0.937424460431655</v>
      </c>
      <c r="H41" s="16" t="n">
        <f aca="false">H10*MIN(H16,H21*H20)*H22*H23*H33</f>
        <v>1.04158273381295</v>
      </c>
      <c r="I41" s="16" t="n">
        <f aca="false">I10*MIN(I16,I21*I20)*I22*I23*I33</f>
        <v>1.35405755395683</v>
      </c>
      <c r="J41" s="16" t="n">
        <f aca="false">J10*MIN(J16,J21*J20)*J22*J23*J33</f>
        <v>1.40613669064748</v>
      </c>
      <c r="K41" s="16" t="n">
        <f aca="false">K10*MIN(K16,K21*K20)*K22*K23*K33</f>
        <v>1.30197841726619</v>
      </c>
      <c r="L41" s="16" t="n">
        <f aca="false">L10*MIN(L16,L21*L20)*L22*L23*L33</f>
        <v>1.14574100719424</v>
      </c>
      <c r="M41" s="16" t="n">
        <f aca="false">M10*MIN(M16,M21*M20)*M22*M23*M33</f>
        <v>1.0936618705036</v>
      </c>
      <c r="N41" s="16" t="n">
        <f aca="false">N10*MIN(N16,N21*N20)*N22*N23*N33</f>
        <v>1.04158273381295</v>
      </c>
      <c r="O41" s="38" t="n">
        <f aca="false">SUM(C41:N41)</f>
        <v>10.6002742805755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1.2</v>
      </c>
      <c r="D42" s="6" t="n">
        <f aca="false">D31+D34+D37+D36+1.25*D35</f>
        <v>2.12889838129496</v>
      </c>
      <c r="E42" s="6" t="n">
        <f aca="false">E31+E34+E37+E36+1.25*E35</f>
        <v>3.73121676408873</v>
      </c>
      <c r="F42" s="6" t="n">
        <f aca="false">F31+F34+F37+F36+1.25*F35</f>
        <v>5.2308282748801</v>
      </c>
      <c r="G42" s="6" t="n">
        <f aca="false">G31+G34+G37+G36+1.25*G35</f>
        <v>7.09340786121103</v>
      </c>
      <c r="H42" s="6" t="n">
        <f aca="false">H31+H34+H37+H36+1.25*H35</f>
        <v>9.06597482014388</v>
      </c>
      <c r="I42" s="6" t="n">
        <f aca="false">I31+I34+I37+I36+1.25*I35</f>
        <v>12.1735689448441</v>
      </c>
      <c r="J42" s="6" t="n">
        <f aca="false">J31+J34+J37+J36+1.25*J35</f>
        <v>14.2664232613909</v>
      </c>
      <c r="K42" s="6" t="n">
        <f aca="false">K31+K34+K37+K36+1.25*K35</f>
        <v>15.2302143285372</v>
      </c>
      <c r="L42" s="6" t="n">
        <f aca="false">L31+L34+L37+L36+1.25*L35</f>
        <v>14.5575701438849</v>
      </c>
      <c r="M42" s="6" t="n">
        <f aca="false">M31+M34+M37+M36+1.25*M35</f>
        <v>13.5492535971223</v>
      </c>
      <c r="N42" s="6" t="n">
        <f aca="false">N31+N34+N37+N36+1.25*N35</f>
        <v>12.6039568345324</v>
      </c>
      <c r="O42" s="41" t="n">
        <f aca="false">AVERAGE(C42:N42)</f>
        <v>9.23594276766087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0.075</v>
      </c>
      <c r="D43" s="39" t="n">
        <f aca="false">D42/(D25*D26)</f>
        <v>0.133056148830935</v>
      </c>
      <c r="E43" s="39" t="n">
        <f aca="false">E42/(E25*E26)</f>
        <v>0.233201047755546</v>
      </c>
      <c r="F43" s="39" t="n">
        <f aca="false">F42/(F25*F26)</f>
        <v>0.326926767180006</v>
      </c>
      <c r="G43" s="39" t="n">
        <f aca="false">G42/(G25*G26)</f>
        <v>0.354670393060552</v>
      </c>
      <c r="H43" s="39" t="n">
        <f aca="false">H42/(H25*H26)</f>
        <v>0.453298741007194</v>
      </c>
      <c r="I43" s="39" t="n">
        <f aca="false">I42/(I25*I26)</f>
        <v>0.608678447242206</v>
      </c>
      <c r="J43" s="39" t="n">
        <f aca="false">J42/(J25*J26)</f>
        <v>0.713321163069544</v>
      </c>
      <c r="K43" s="39" t="n">
        <f aca="false">K42/(K25*K26)</f>
        <v>0.761510716426859</v>
      </c>
      <c r="L43" s="39" t="n">
        <f aca="false">L42/(L25*L26)</f>
        <v>0.727878507194245</v>
      </c>
      <c r="M43" s="39" t="n">
        <f aca="false">M42/(M25*M26)</f>
        <v>0.677462679856115</v>
      </c>
      <c r="N43" s="39" t="n">
        <f aca="false">N42/(N25*N26)</f>
        <v>0.630197841726619</v>
      </c>
      <c r="O43" s="9" t="n">
        <f aca="false">N43</f>
        <v>0.630197841726619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</v>
      </c>
      <c r="F46" s="6" t="n">
        <f aca="false">IF(4&gt;=3,INDEX(Assumptions!$C$234:$E$234,F$9)*INDEX(Assumptions!$C$235:$E$235,$B$3)*MIN(1,(4-2)/6),0)*$F$3*F22*$W$3</f>
        <v>6</v>
      </c>
      <c r="G46" s="6" t="n">
        <f aca="false">IF(5&gt;=3,INDEX(Assumptions!$C$234:$E$234,G$9)*INDEX(Assumptions!$C$235:$E$235,$B$3)*MIN(1,(5-2)/6),0)*$F$3*G22*$W$3</f>
        <v>9</v>
      </c>
      <c r="H46" s="6" t="n">
        <f aca="false">IF(6&gt;=3,INDEX(Assumptions!$C$234:$E$234,H$9)*INDEX(Assumptions!$C$235:$E$235,$B$3)*MIN(1,(6-2)/6),0)*$F$3*H22*$W$3</f>
        <v>12</v>
      </c>
      <c r="I46" s="6" t="n">
        <f aca="false">IF(7&gt;=3,INDEX(Assumptions!$C$234:$E$234,I$9)*INDEX(Assumptions!$C$235:$E$235,$B$3)*MIN(1,(7-2)/6),0)*$F$3*I22*$W$3</f>
        <v>15</v>
      </c>
      <c r="J46" s="6" t="n">
        <f aca="false">IF(8&gt;=3,INDEX(Assumptions!$C$234:$E$234,J$9)*INDEX(Assumptions!$C$235:$E$235,$B$3)*MIN(1,(8-2)/6),0)*$F$3*J22*$W$3</f>
        <v>18</v>
      </c>
      <c r="K46" s="6" t="n">
        <f aca="false">IF(9&gt;=3,INDEX(Assumptions!$C$234:$E$234,K$9)*INDEX(Assumptions!$C$235:$E$235,$B$3)*MIN(1,(9-2)/6),0)*$F$3*K22*$W$3</f>
        <v>18</v>
      </c>
      <c r="L46" s="6" t="n">
        <f aca="false">IF(10&gt;=3,INDEX(Assumptions!$C$234:$E$234,L$9)*INDEX(Assumptions!$C$235:$E$235,$B$3)*MIN(1,(10-2)/6),0)*$F$3*L22*$W$3</f>
        <v>18</v>
      </c>
      <c r="M46" s="6" t="n">
        <f aca="false">IF(11&gt;=3,INDEX(Assumptions!$C$234:$E$234,M$9)*INDEX(Assumptions!$C$235:$E$235,$B$3)*MIN(1,(11-2)/6),0)*$F$3*M22*$W$3</f>
        <v>18</v>
      </c>
      <c r="N46" s="6" t="n">
        <f aca="false">IF(12&gt;=3,INDEX(Assumptions!$C$234:$E$234,N$9)*INDEX(Assumptions!$C$235:$E$235,$B$3)*MIN(1,(12-2)/6),0)*$F$3*N22*$W$3</f>
        <v>18</v>
      </c>
      <c r="O46" s="41" t="n">
        <f aca="false">SUM(C46:N46)</f>
        <v>135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2.29816396882494</v>
      </c>
      <c r="E48" s="6" t="n">
        <f aca="false">E24*INDEX(Assumptions!$C$31:$E$31,$B$3)/(INDEX(Assumptions!$C$56:$E$56,$B$3)*INDEX(Assumptions!$C$57:$E$57,$B$3)*INDEX(Assumptions!$C$58:$E$58,$B$3))</f>
        <v>3.53234212629896</v>
      </c>
      <c r="F48" s="6" t="n">
        <f aca="false">F24*INDEX(Assumptions!$C$31:$E$31,$B$3)/(INDEX(Assumptions!$C$56:$E$56,$B$3)*INDEX(Assumptions!$C$57:$E$57,$B$3)*INDEX(Assumptions!$C$58:$E$58,$B$3))</f>
        <v>4.82398081534772</v>
      </c>
      <c r="G48" s="6" t="n">
        <f aca="false">G24*INDEX(Assumptions!$C$31:$E$31,$B$3)/(INDEX(Assumptions!$C$56:$E$56,$B$3)*INDEX(Assumptions!$C$57:$E$57,$B$3)*INDEX(Assumptions!$C$58:$E$58,$B$3))</f>
        <v>6.31237410071943</v>
      </c>
      <c r="H48" s="6" t="n">
        <f aca="false">H24*INDEX(Assumptions!$C$31:$E$31,$B$3)/(INDEX(Assumptions!$C$56:$E$56,$B$3)*INDEX(Assumptions!$C$57:$E$57,$B$3)*INDEX(Assumptions!$C$58:$E$58,$B$3))</f>
        <v>7.70819344524381</v>
      </c>
      <c r="I48" s="6" t="n">
        <f aca="false">I24*INDEX(Assumptions!$C$31:$E$31,$B$3)/(INDEX(Assumptions!$C$56:$E$56,$B$3)*INDEX(Assumptions!$C$57:$E$57,$B$3)*INDEX(Assumptions!$C$58:$E$58,$B$3))</f>
        <v>10.9234292565947</v>
      </c>
      <c r="J48" s="6" t="n">
        <f aca="false">J24*INDEX(Assumptions!$C$31:$E$31,$B$3)/(INDEX(Assumptions!$C$56:$E$56,$B$3)*INDEX(Assumptions!$C$57:$E$57,$B$3)*INDEX(Assumptions!$C$58:$E$58,$B$3))</f>
        <v>11.3435611510791</v>
      </c>
      <c r="K48" s="6" t="n">
        <f aca="false">K24*INDEX(Assumptions!$C$31:$E$31,$B$3)/(INDEX(Assumptions!$C$56:$E$56,$B$3)*INDEX(Assumptions!$C$57:$E$57,$B$3)*INDEX(Assumptions!$C$58:$E$58,$B$3))</f>
        <v>10.5032973621103</v>
      </c>
      <c r="L48" s="6" t="n">
        <f aca="false">L24*INDEX(Assumptions!$C$31:$E$31,$B$3)/(INDEX(Assumptions!$C$56:$E$56,$B$3)*INDEX(Assumptions!$C$57:$E$57,$B$3)*INDEX(Assumptions!$C$58:$E$58,$B$3))</f>
        <v>9.24290167865708</v>
      </c>
      <c r="M48" s="6" t="n">
        <f aca="false">M24*INDEX(Assumptions!$C$31:$E$31,$B$3)/(INDEX(Assumptions!$C$56:$E$56,$B$3)*INDEX(Assumptions!$C$57:$E$57,$B$3)*INDEX(Assumptions!$C$58:$E$58,$B$3))</f>
        <v>8.82276978417266</v>
      </c>
      <c r="N48" s="6" t="n">
        <f aca="false">N24*INDEX(Assumptions!$C$31:$E$31,$B$3)/(INDEX(Assumptions!$C$56:$E$56,$B$3)*INDEX(Assumptions!$C$57:$E$57,$B$3)*INDEX(Assumptions!$C$58:$E$58,$B$3))</f>
        <v>8.40263788968825</v>
      </c>
      <c r="O48" s="41" t="n">
        <f aca="false">SUM(C48:N48)</f>
        <v>85.913651578737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0.105</v>
      </c>
      <c r="F51" s="16" t="n">
        <f aca="false">F46*0.7*INDEX(Assumptions!$C$73:$E$73,$B$3)</f>
        <v>0.21</v>
      </c>
      <c r="G51" s="16" t="n">
        <f aca="false">G46*0.7*INDEX(Assumptions!$C$73:$E$73,$B$3)</f>
        <v>0.315</v>
      </c>
      <c r="H51" s="16" t="n">
        <f aca="false">H46*0.7*INDEX(Assumptions!$C$73:$E$73,$B$3)</f>
        <v>0.42</v>
      </c>
      <c r="I51" s="16" t="n">
        <f aca="false">I46*0.7*INDEX(Assumptions!$C$73:$E$73,$B$3)</f>
        <v>0.525</v>
      </c>
      <c r="J51" s="16" t="n">
        <f aca="false">J46*0.7*INDEX(Assumptions!$C$73:$E$73,$B$3)</f>
        <v>0.63</v>
      </c>
      <c r="K51" s="16" t="n">
        <f aca="false">K46*0.7*INDEX(Assumptions!$C$73:$E$73,$B$3)</f>
        <v>0.63</v>
      </c>
      <c r="L51" s="16" t="n">
        <f aca="false">L46*0.7*INDEX(Assumptions!$C$73:$E$73,$B$3)</f>
        <v>0.63</v>
      </c>
      <c r="M51" s="16" t="n">
        <f aca="false">M46*0.7*INDEX(Assumptions!$C$73:$E$73,$B$3)</f>
        <v>0.63</v>
      </c>
      <c r="N51" s="16" t="n">
        <f aca="false">N46*0.7*INDEX(Assumptions!$C$73:$E$73,$B$3)</f>
        <v>0.63</v>
      </c>
      <c r="O51" s="38" t="n">
        <f aca="false">SUM(C51:N51)</f>
        <v>4.725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O53" s="40" t="n">
        <f aca="false">AVERAGE(C53:N53)</f>
        <v>40000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1</v>
      </c>
      <c r="M54" s="10" t="n">
        <f aca="false">IF(AND(11&gt;=IF($Q$3=1,$Q$4+1,INDEX(Assumptions!$C$105:$E$105,$B$3)),NOT(AND($U$3=1,11=$Q$4+2))),0,1)</f>
        <v>1</v>
      </c>
      <c r="N54" s="10" t="n">
        <f aca="false">IF(AND(12&gt;=IF($Q$3=1,$Q$4+1,INDEX(Assumptions!$C$105:$E$105,$B$3)),NOT(AND($U$3=1,12=$Q$4+2))),0,1)</f>
        <v>1</v>
      </c>
      <c r="O54" s="40" t="n">
        <f aca="false">N54</f>
        <v>1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23371.1590049994</v>
      </c>
      <c r="E56" s="10" t="n">
        <f aca="false">E34*E53/(1+INDEX(Assumptions!$C$15:$E$15,$B$3)*$H$4)</f>
        <v>35922.1233182945</v>
      </c>
      <c r="F56" s="10" t="n">
        <f aca="false">F34*F53/(1+INDEX(Assumptions!$C$15:$E$15,$B$3)*$H$4)</f>
        <v>49057.4320204853</v>
      </c>
      <c r="G56" s="10" t="n">
        <f aca="false">G34*G53/(1+INDEX(Assumptions!$C$15:$E$15,$B$3)*$H$4)</f>
        <v>64193.6349225704</v>
      </c>
      <c r="H56" s="10" t="n">
        <f aca="false">H34*H53/(1+INDEX(Assumptions!$C$15:$E$15,$B$3)*$H$4)</f>
        <v>78388.4079177336</v>
      </c>
      <c r="I56" s="10" t="n">
        <f aca="false">I34*I53/(1+INDEX(Assumptions!$C$15:$E$15,$B$3)*$H$4)</f>
        <v>111085.721253506</v>
      </c>
      <c r="J56" s="10" t="n">
        <f aca="false">J34*J53/(1+INDEX(Assumptions!$C$15:$E$15,$B$3)*$H$4)</f>
        <v>115358.248994025</v>
      </c>
      <c r="K56" s="10" t="n">
        <f aca="false">K34*K53/(1+INDEX(Assumptions!$C$15:$E$15,$B$3)*$H$4)</f>
        <v>106813.193512986</v>
      </c>
      <c r="L56" s="10" t="n">
        <f aca="false">L34*L53/(1+INDEX(Assumptions!$C$15:$E$15,$B$3)*$H$4)</f>
        <v>93995.6102914279</v>
      </c>
      <c r="M56" s="10" t="n">
        <f aca="false">M34*M53/(1+INDEX(Assumptions!$C$15:$E$15,$B$3)*$H$4)</f>
        <v>89723.0825509084</v>
      </c>
      <c r="N56" s="10" t="n">
        <f aca="false">N34*N53/(1+INDEX(Assumptions!$C$15:$E$15,$B$3)*$H$4)</f>
        <v>85450.554810389</v>
      </c>
      <c r="O56" s="40" t="n">
        <f aca="false">SUM(C56:N56)</f>
        <v>873698.151648173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1460.69743781246</v>
      </c>
      <c r="F58" s="10" t="n">
        <f aca="false">F37*MAX(0,F53-INDEX(Assumptions!$C$18:$E$18,$B$3)*$H$3)/(1+INDEX(Assumptions!$C$15:$E$15,$B$3)*$H$4)</f>
        <v>2245.13270739341</v>
      </c>
      <c r="G58" s="10" t="n">
        <f aca="false">G37*MAX(0,G53-INDEX(Assumptions!$C$18:$E$18,$B$3)*$H$3)/(1+INDEX(Assumptions!$C$15:$E$15,$B$3)*$H$4)</f>
        <v>3066.08950128033</v>
      </c>
      <c r="H58" s="10" t="n">
        <f aca="false">H37*MAX(0,H53-INDEX(Assumptions!$C$18:$E$18,$B$3)*$H$3)/(1+INDEX(Assumptions!$C$15:$E$15,$B$3)*$H$4)</f>
        <v>4012.10218266065</v>
      </c>
      <c r="I58" s="10" t="n">
        <f aca="false">I37*MAX(0,I53-INDEX(Assumptions!$C$18:$E$18,$B$3)*$H$3)/(1+INDEX(Assumptions!$C$15:$E$15,$B$3)*$H$4)</f>
        <v>4899.27549485835</v>
      </c>
      <c r="J58" s="10" t="n">
        <f aca="false">J37*MAX(0,J53-INDEX(Assumptions!$C$18:$E$18,$B$3)*$H$3)/(1+INDEX(Assumptions!$C$15:$E$15,$B$3)*$H$4)</f>
        <v>6942.85757834411</v>
      </c>
      <c r="K58" s="10" t="n">
        <f aca="false">K37*MAX(0,K53-INDEX(Assumptions!$C$18:$E$18,$B$3)*$H$3)/(1+INDEX(Assumptions!$C$15:$E$15,$B$3)*$H$4)</f>
        <v>7209.89056212657</v>
      </c>
      <c r="L58" s="10" t="n">
        <f aca="false">L37*MAX(0,L53-INDEX(Assumptions!$C$18:$E$18,$B$3)*$H$3)/(1+INDEX(Assumptions!$C$15:$E$15,$B$3)*$H$4)</f>
        <v>6675.82459456164</v>
      </c>
      <c r="M58" s="10" t="n">
        <f aca="false">M37*MAX(0,M53-INDEX(Assumptions!$C$18:$E$18,$B$3)*$H$3)/(1+INDEX(Assumptions!$C$15:$E$15,$B$3)*$H$4)</f>
        <v>5874.72564321424</v>
      </c>
      <c r="N58" s="10" t="n">
        <f aca="false">N37*MAX(0,N53-INDEX(Assumptions!$C$18:$E$18,$B$3)*$H$3)/(1+INDEX(Assumptions!$C$15:$E$15,$B$3)*$H$4)</f>
        <v>5607.69265943178</v>
      </c>
      <c r="O58" s="40" t="n">
        <f aca="false">SUM(C58:N58)</f>
        <v>49265.4748023615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17528.3692537495</v>
      </c>
      <c r="E59" s="10" t="n">
        <f aca="false">E36*INDEX(Assumptions!$C$18:$E$18,$B$3)*$H$3/(1+INDEX(Assumptions!$C$15:$E$15,$B$3)*$H$4)</f>
        <v>26941.5924887209</v>
      </c>
      <c r="F59" s="10" t="n">
        <f aca="false">F36*INDEX(Assumptions!$C$18:$E$18,$B$3)*$H$3/(1+INDEX(Assumptions!$C$15:$E$15,$B$3)*$H$4)</f>
        <v>36793.074015364</v>
      </c>
      <c r="G59" s="10" t="n">
        <f aca="false">G36*INDEX(Assumptions!$C$18:$E$18,$B$3)*$H$3/(1+INDEX(Assumptions!$C$15:$E$15,$B$3)*$H$4)</f>
        <v>48145.2261919278</v>
      </c>
      <c r="H59" s="10" t="n">
        <f aca="false">H36*INDEX(Assumptions!$C$18:$E$18,$B$3)*$H$3/(1+INDEX(Assumptions!$C$15:$E$15,$B$3)*$H$4)</f>
        <v>58791.3059383002</v>
      </c>
      <c r="I59" s="10" t="n">
        <f aca="false">I36*INDEX(Assumptions!$C$18:$E$18,$B$3)*$H$3/(1+INDEX(Assumptions!$C$15:$E$15,$B$3)*$H$4)</f>
        <v>83314.2909401293</v>
      </c>
      <c r="J59" s="10" t="n">
        <f aca="false">J36*INDEX(Assumptions!$C$18:$E$18,$B$3)*$H$3/(1+INDEX(Assumptions!$C$15:$E$15,$B$3)*$H$4)</f>
        <v>86518.6867455189</v>
      </c>
      <c r="K59" s="10" t="n">
        <f aca="false">K36*INDEX(Assumptions!$C$18:$E$18,$B$3)*$H$3/(1+INDEX(Assumptions!$C$15:$E$15,$B$3)*$H$4)</f>
        <v>80109.8951347397</v>
      </c>
      <c r="L59" s="10" t="n">
        <f aca="false">L36*INDEX(Assumptions!$C$18:$E$18,$B$3)*$H$3/(1+INDEX(Assumptions!$C$15:$E$15,$B$3)*$H$4)</f>
        <v>70496.7077185709</v>
      </c>
      <c r="M59" s="10" t="n">
        <f aca="false">M36*INDEX(Assumptions!$C$18:$E$18,$B$3)*$H$3/(1+INDEX(Assumptions!$C$15:$E$15,$B$3)*$H$4)</f>
        <v>67292.3119131813</v>
      </c>
      <c r="N59" s="10" t="n">
        <f aca="false">N36*INDEX(Assumptions!$C$18:$E$18,$B$3)*$H$3/(1+INDEX(Assumptions!$C$15:$E$15,$B$3)*$H$4)</f>
        <v>64087.9161077917</v>
      </c>
      <c r="O59" s="40" t="n">
        <f aca="false">SUM(C59:N59)</f>
        <v>655273.61373613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1828.91004793623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2811.08576027314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3838.98934276308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5023.47290086575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6134.28486160224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8693.01311669309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9027.35977502744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8358.66645835874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7355.62648335569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7021.27982502134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6686.93316668699</v>
      </c>
      <c r="O60" s="40" t="n">
        <f aca="false">SUM(C60:N60)</f>
        <v>68371.2488572278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12711.8644067797</v>
      </c>
      <c r="F61" s="10" t="n">
        <f aca="false">F46*INDEX(Assumptions!$C$21:$E$21,$B$3)*$H$3/(1+INDEX(Assumptions!$C$15:$E$15,$B$3)*$H$4)</f>
        <v>25423.7288135593</v>
      </c>
      <c r="G61" s="10" t="n">
        <f aca="false">G46*INDEX(Assumptions!$C$21:$E$21,$B$3)*$H$3/(1+INDEX(Assumptions!$C$15:$E$15,$B$3)*$H$4)</f>
        <v>38135.593220339</v>
      </c>
      <c r="H61" s="10" t="n">
        <f aca="false">H46*INDEX(Assumptions!$C$21:$E$21,$B$3)*$H$3/(1+INDEX(Assumptions!$C$15:$E$15,$B$3)*$H$4)</f>
        <v>50847.4576271186</v>
      </c>
      <c r="I61" s="10" t="n">
        <f aca="false">I46*INDEX(Assumptions!$C$21:$E$21,$B$3)*$H$3/(1+INDEX(Assumptions!$C$15:$E$15,$B$3)*$H$4)</f>
        <v>63559.3220338983</v>
      </c>
      <c r="J61" s="10" t="n">
        <f aca="false">J46*INDEX(Assumptions!$C$21:$E$21,$B$3)*$H$3/(1+INDEX(Assumptions!$C$15:$E$15,$B$3)*$H$4)</f>
        <v>76271.186440678</v>
      </c>
      <c r="K61" s="10" t="n">
        <f aca="false">K46*INDEX(Assumptions!$C$21:$E$21,$B$3)*$H$3/(1+INDEX(Assumptions!$C$15:$E$15,$B$3)*$H$4)</f>
        <v>76271.186440678</v>
      </c>
      <c r="L61" s="10" t="n">
        <f aca="false">L46*INDEX(Assumptions!$C$21:$E$21,$B$3)*$H$3/(1+INDEX(Assumptions!$C$15:$E$15,$B$3)*$H$4)</f>
        <v>76271.186440678</v>
      </c>
      <c r="M61" s="10" t="n">
        <f aca="false">M46*INDEX(Assumptions!$C$21:$E$21,$B$3)*$H$3/(1+INDEX(Assumptions!$C$15:$E$15,$B$3)*$H$4)</f>
        <v>76271.186440678</v>
      </c>
      <c r="N61" s="10" t="n">
        <f aca="false">N46*INDEX(Assumptions!$C$21:$E$21,$B$3)*$H$3/(1+INDEX(Assumptions!$C$15:$E$15,$B$3)*$H$4)</f>
        <v>76271.186440678</v>
      </c>
      <c r="O61" s="40" t="n">
        <f aca="false">SUM(C61:N61)</f>
        <v>572033.898305085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17796.6101694915</v>
      </c>
      <c r="D62" s="10" t="n">
        <f aca="false">D47*INDEX(Assumptions!$C$22:$E$22,$B$3)*$H$3/(1+INDEX(Assumptions!$C$15:$E$15,$B$3)*$H$4)</f>
        <v>30508.4745762712</v>
      </c>
      <c r="E62" s="10" t="n">
        <f aca="false">E47*INDEX(Assumptions!$C$22:$E$22,$B$3)*$H$3/(1+INDEX(Assumptions!$C$15:$E$15,$B$3)*$H$4)</f>
        <v>45762.7118644068</v>
      </c>
      <c r="F62" s="10" t="n">
        <f aca="false">F47*INDEX(Assumptions!$C$22:$E$22,$B$3)*$H$3/(1+INDEX(Assumptions!$C$15:$E$15,$B$3)*$H$4)</f>
        <v>49576.2711864407</v>
      </c>
      <c r="G62" s="10" t="n">
        <f aca="false">G47*INDEX(Assumptions!$C$22:$E$22,$B$3)*$H$3/(1+INDEX(Assumptions!$C$15:$E$15,$B$3)*$H$4)</f>
        <v>34322.0338983051</v>
      </c>
      <c r="H62" s="10" t="n">
        <f aca="false">H47*INDEX(Assumptions!$C$22:$E$22,$B$3)*$H$3/(1+INDEX(Assumptions!$C$15:$E$15,$B$3)*$H$4)</f>
        <v>30508.4745762712</v>
      </c>
      <c r="I62" s="10" t="n">
        <f aca="false">I47*INDEX(Assumptions!$C$22:$E$22,$B$3)*$H$3/(1+INDEX(Assumptions!$C$15:$E$15,$B$3)*$H$4)</f>
        <v>26694.9152542373</v>
      </c>
      <c r="J62" s="10" t="n">
        <f aca="false">J47*INDEX(Assumptions!$C$22:$E$22,$B$3)*$H$3/(1+INDEX(Assumptions!$C$15:$E$15,$B$3)*$H$4)</f>
        <v>22881.3559322034</v>
      </c>
      <c r="K62" s="10" t="n">
        <f aca="false">K47*INDEX(Assumptions!$C$22:$E$22,$B$3)*$H$3/(1+INDEX(Assumptions!$C$15:$E$15,$B$3)*$H$4)</f>
        <v>22881.3559322034</v>
      </c>
      <c r="L62" s="10" t="n">
        <f aca="false">L47*INDEX(Assumptions!$C$22:$E$22,$B$3)*$H$3/(1+INDEX(Assumptions!$C$15:$E$15,$B$3)*$H$4)</f>
        <v>30508.4745762712</v>
      </c>
      <c r="M62" s="10" t="n">
        <f aca="false">M47*INDEX(Assumptions!$C$22:$E$22,$B$3)*$H$3/(1+INDEX(Assumptions!$C$15:$E$15,$B$3)*$H$4)</f>
        <v>41949.1525423729</v>
      </c>
      <c r="N62" s="10" t="n">
        <f aca="false">N47*INDEX(Assumptions!$C$22:$E$22,$B$3)*$H$3/(1+INDEX(Assumptions!$C$15:$E$15,$B$3)*$H$4)</f>
        <v>53389.8305084746</v>
      </c>
      <c r="O62" s="40" t="n">
        <f aca="false">SUM(C62:N62)</f>
        <v>406779.661016949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444.826271186441</v>
      </c>
      <c r="F64" s="10" t="n">
        <f aca="false">F51*INDEX(Assumptions!$C$23:$E$23,$B$3)/(1+INDEX(Assumptions!$C$15:$E$15,$B$3)*$H$4)</f>
        <v>889.652542372881</v>
      </c>
      <c r="G64" s="10" t="n">
        <f aca="false">G51*INDEX(Assumptions!$C$23:$E$23,$B$3)/(1+INDEX(Assumptions!$C$15:$E$15,$B$3)*$H$4)</f>
        <v>1334.47881355932</v>
      </c>
      <c r="H64" s="10" t="n">
        <f aca="false">H51*INDEX(Assumptions!$C$23:$E$23,$B$3)/(1+INDEX(Assumptions!$C$15:$E$15,$B$3)*$H$4)</f>
        <v>1779.30508474576</v>
      </c>
      <c r="I64" s="10" t="n">
        <f aca="false">I51*INDEX(Assumptions!$C$23:$E$23,$B$3)/(1+INDEX(Assumptions!$C$15:$E$15,$B$3)*$H$4)</f>
        <v>2224.1313559322</v>
      </c>
      <c r="J64" s="10" t="n">
        <f aca="false">J51*INDEX(Assumptions!$C$23:$E$23,$B$3)/(1+INDEX(Assumptions!$C$15:$E$15,$B$3)*$H$4)</f>
        <v>2668.95762711864</v>
      </c>
      <c r="K64" s="10" t="n">
        <f aca="false">K51*INDEX(Assumptions!$C$23:$E$23,$B$3)/(1+INDEX(Assumptions!$C$15:$E$15,$B$3)*$H$4)</f>
        <v>2668.95762711864</v>
      </c>
      <c r="L64" s="10" t="n">
        <f aca="false">L51*INDEX(Assumptions!$C$23:$E$23,$B$3)/(1+INDEX(Assumptions!$C$15:$E$15,$B$3)*$H$4)</f>
        <v>2668.95762711864</v>
      </c>
      <c r="M64" s="10" t="n">
        <f aca="false">M51*INDEX(Assumptions!$C$23:$E$23,$B$3)/(1+INDEX(Assumptions!$C$15:$E$15,$B$3)*$H$4)</f>
        <v>2668.95762711864</v>
      </c>
      <c r="N64" s="10" t="n">
        <f aca="false">N51*INDEX(Assumptions!$C$23:$E$23,$B$3)/(1+INDEX(Assumptions!$C$15:$E$15,$B$3)*$H$4)</f>
        <v>2668.95762711864</v>
      </c>
      <c r="O64" s="40" t="n">
        <f aca="false">SUM(C64:N64)</f>
        <v>20017.1822033898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0</v>
      </c>
      <c r="M65" s="10" t="n">
        <f aca="false">(M34+M35)*(1-M54)*INDEX(Assumptions!$C$90:$E$90,$B$3)</f>
        <v>0</v>
      </c>
      <c r="N65" s="10" t="n">
        <f aca="false">(N34+N35)*(1-N54)*INDEX(Assumptions!$C$90:$E$90,$B$3)</f>
        <v>0</v>
      </c>
      <c r="O65" s="40" t="n">
        <f aca="false">SUM(C65:N65)</f>
        <v>0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54981.4576271187</v>
      </c>
      <c r="D66" s="40" t="n">
        <f aca="false">SUM(D56:D65)</f>
        <v>74508.0993236343</v>
      </c>
      <c r="E66" s="40" t="n">
        <f aca="false">SUM(E56:E65)</f>
        <v>126054.901547474</v>
      </c>
      <c r="F66" s="40" t="n">
        <f aca="false">SUM(F56:F65)</f>
        <v>167824.280628379</v>
      </c>
      <c r="G66" s="40" t="n">
        <f aca="false">SUM(G56:G65)</f>
        <v>194220.529448848</v>
      </c>
      <c r="H66" s="40" t="n">
        <f aca="false">SUM(H56:H65)</f>
        <v>230461.338188432</v>
      </c>
      <c r="I66" s="40" t="n">
        <f aca="false">SUM(I56:I65)</f>
        <v>300470.669449254</v>
      </c>
      <c r="J66" s="40" t="n">
        <f aca="false">SUM(J56:J65)</f>
        <v>319668.653092916</v>
      </c>
      <c r="K66" s="40" t="n">
        <f aca="false">SUM(K56:K65)</f>
        <v>304313.145668211</v>
      </c>
      <c r="L66" s="40" t="n">
        <f aca="false">SUM(L56:L65)</f>
        <v>287972.387731984</v>
      </c>
      <c r="M66" s="40" t="n">
        <f aca="false">SUM(M56:M65)</f>
        <v>290800.696542495</v>
      </c>
      <c r="N66" s="40" t="n">
        <f aca="false">SUM(N56:N65)</f>
        <v>294163.071320571</v>
      </c>
      <c r="O66" s="11" t="n">
        <f aca="false">SUM(C66:N66)</f>
        <v>2645439.23056932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35593.2203389831</v>
      </c>
      <c r="D67" s="10" t="n">
        <f aca="false">D56+D57+D58+D59</f>
        <v>42170.7146994269</v>
      </c>
      <c r="E67" s="10" t="n">
        <f aca="false">E56+E57+E58+E59</f>
        <v>64324.4132448279</v>
      </c>
      <c r="F67" s="10" t="n">
        <f aca="false">F56+F57+F58+F59</f>
        <v>88095.6387432427</v>
      </c>
      <c r="G67" s="10" t="n">
        <f aca="false">G56+G57+G58+G59</f>
        <v>115404.950615779</v>
      </c>
      <c r="H67" s="10" t="n">
        <f aca="false">H56+H57+H58+H59</f>
        <v>141191.816038694</v>
      </c>
      <c r="I67" s="10" t="n">
        <f aca="false">I56+I57+I58+I59</f>
        <v>199299.287688493</v>
      </c>
      <c r="J67" s="10" t="n">
        <f aca="false">J56+J57+J58+J59</f>
        <v>208819.793317888</v>
      </c>
      <c r="K67" s="10" t="n">
        <f aca="false">K56+K57+K58+K59</f>
        <v>194132.979209853</v>
      </c>
      <c r="L67" s="10" t="n">
        <f aca="false">L56+L57+L58+L59</f>
        <v>171168.14260456</v>
      </c>
      <c r="M67" s="10" t="n">
        <f aca="false">M56+M57+M58+M59</f>
        <v>162890.120107304</v>
      </c>
      <c r="N67" s="10" t="n">
        <f aca="false">N56+N57+N58+N59</f>
        <v>155146.163577613</v>
      </c>
      <c r="O67" s="40" t="n">
        <f aca="false">SUM(C67:N67)</f>
        <v>1578237.24018666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5876.14433453237</v>
      </c>
      <c r="E69" s="10" t="n">
        <f aca="false">((E34+E37)*INDEX(Assumptions!$C$91:$E$91,$B$3)+E35*(INDEX(Assumptions!$C$93:$E$93,$B$3)+IF($Q$3=1,INDEX(Assumptions!$C$282:$E$282,$B$3),0)))*$N$3</f>
        <v>8624.45454886091</v>
      </c>
      <c r="F69" s="10" t="n">
        <f aca="false">((F34+F37)*INDEX(Assumptions!$C$91:$E$91,$B$3)+F35*(INDEX(Assumptions!$C$93:$E$93,$B$3)+IF($Q$3=1,INDEX(Assumptions!$C$282:$E$282,$B$3),0)))*$N$3</f>
        <v>11984.8393285372</v>
      </c>
      <c r="G69" s="10" t="n">
        <f aca="false">((G34+G37)*INDEX(Assumptions!$C$91:$E$91,$B$3)+G35*(INDEX(Assumptions!$C$93:$E$93,$B$3)+IF($Q$3=1,INDEX(Assumptions!$C$282:$E$282,$B$3),0)))*$N$3</f>
        <v>15788.5755395683</v>
      </c>
      <c r="H69" s="10" t="n">
        <f aca="false">((H34+H37)*INDEX(Assumptions!$C$91:$E$91,$B$3)+H35*(INDEX(Assumptions!$C$93:$E$93,$B$3)+IF($Q$3=1,INDEX(Assumptions!$C$282:$E$282,$B$3),0)))*$N$3</f>
        <v>19501.2026378897</v>
      </c>
      <c r="I69" s="10" t="n">
        <f aca="false">((I34+I37)*INDEX(Assumptions!$C$91:$E$91,$B$3)+I35*(INDEX(Assumptions!$C$93:$E$93,$B$3)+IF($Q$3=1,INDEX(Assumptions!$C$282:$E$282,$B$3),0)))*$N$3</f>
        <v>26986.0029976019</v>
      </c>
      <c r="J69" s="10" t="n">
        <f aca="false">((J34+J37)*INDEX(Assumptions!$C$91:$E$91,$B$3)+J35*(INDEX(Assumptions!$C$93:$E$93,$B$3)+IF($Q$3=1,INDEX(Assumptions!$C$282:$E$282,$B$3),0)))*$N$3</f>
        <v>29556.2787769784</v>
      </c>
      <c r="K69" s="10" t="n">
        <f aca="false">((K34+K37)*INDEX(Assumptions!$C$91:$E$91,$B$3)+K35*(INDEX(Assumptions!$C$93:$E$93,$B$3)+IF($Q$3=1,INDEX(Assumptions!$C$282:$E$282,$B$3),0)))*$N$3</f>
        <v>28012.2940647482</v>
      </c>
      <c r="L69" s="10" t="n">
        <f aca="false">((L34+L37)*INDEX(Assumptions!$C$91:$E$91,$B$3)+L35*(INDEX(Assumptions!$C$93:$E$93,$B$3)+IF($Q$3=1,INDEX(Assumptions!$C$282:$E$282,$B$3),0)))*$N$3</f>
        <v>24924.3246402878</v>
      </c>
      <c r="M69" s="10" t="n">
        <f aca="false">((M34+M37)*INDEX(Assumptions!$C$91:$E$91,$B$3)+M35*(INDEX(Assumptions!$C$93:$E$93,$B$3)+IF($Q$3=1,INDEX(Assumptions!$C$282:$E$282,$B$3),0)))*$N$3</f>
        <v>23380.3399280576</v>
      </c>
      <c r="N69" s="10" t="n">
        <f aca="false">((N34+N37)*INDEX(Assumptions!$C$91:$E$91,$B$3)+N35*(INDEX(Assumptions!$C$93:$E$93,$B$3)+IF($Q$3=1,INDEX(Assumptions!$C$282:$E$282,$B$3),0)))*$N$3</f>
        <v>22277.493705036</v>
      </c>
      <c r="O69" s="40" t="n">
        <f aca="false">SUM(C69:N69)</f>
        <v>221111.950502098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10341.7378597122</v>
      </c>
      <c r="E70" s="10" t="n">
        <f aca="false">(E34+E35)*E54*INDEX(Assumptions!$C$14:$E$14,$B$3)*$N$3</f>
        <v>15895.5395683453</v>
      </c>
      <c r="F70" s="10" t="n">
        <f aca="false">(F34+F35)*F54*INDEX(Assumptions!$C$14:$E$14,$B$3)*$N$3</f>
        <v>21707.9136690648</v>
      </c>
      <c r="G70" s="10" t="n">
        <f aca="false">(G34+G35)*G54*INDEX(Assumptions!$C$14:$E$14,$B$3)*$N$3</f>
        <v>28405.6834532374</v>
      </c>
      <c r="H70" s="10" t="n">
        <f aca="false">(H34+H35)*H54*INDEX(Assumptions!$C$14:$E$14,$B$3)*$N$3</f>
        <v>34686.8705035971</v>
      </c>
      <c r="I70" s="10" t="n">
        <f aca="false">(I34+I35)*I54*INDEX(Assumptions!$C$14:$E$14,$B$3)*$N$3</f>
        <v>49155.4316546763</v>
      </c>
      <c r="J70" s="10" t="n">
        <f aca="false">(J34+J35)*J54*INDEX(Assumptions!$C$14:$E$14,$B$3)*$N$3</f>
        <v>51046.0251798561</v>
      </c>
      <c r="K70" s="10" t="n">
        <f aca="false">(K34+K35)*K54*INDEX(Assumptions!$C$14:$E$14,$B$3)*$N$3</f>
        <v>47264.8381294964</v>
      </c>
      <c r="L70" s="10" t="n">
        <f aca="false">(L34+L35)*L54*INDEX(Assumptions!$C$14:$E$14,$B$3)*$N$3</f>
        <v>41593.0575539568</v>
      </c>
      <c r="M70" s="10" t="n">
        <f aca="false">(M34+M35)*M54*INDEX(Assumptions!$C$14:$E$14,$B$3)*$N$3</f>
        <v>39702.464028777</v>
      </c>
      <c r="N70" s="10" t="n">
        <f aca="false">(N34+N35)*N54*INDEX(Assumptions!$C$14:$E$14,$B$3)*$N$3</f>
        <v>37811.8705035971</v>
      </c>
      <c r="O70" s="40" t="n">
        <f aca="false">SUM(C70:N70)</f>
        <v>386611.432104317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1500</v>
      </c>
      <c r="D71" s="10" t="n">
        <f aca="false">D36*INDEX(Assumptions!$C$92:$E$92,$B$3)*$N$3</f>
        <v>1723.62297661871</v>
      </c>
      <c r="E71" s="10" t="n">
        <f aca="false">E36*INDEX(Assumptions!$C$92:$E$92,$B$3)*$N$3</f>
        <v>2649.25659472422</v>
      </c>
      <c r="F71" s="10" t="n">
        <f aca="false">F36*INDEX(Assumptions!$C$92:$E$92,$B$3)*$N$3</f>
        <v>3617.98561151079</v>
      </c>
      <c r="G71" s="10" t="n">
        <f aca="false">G36*INDEX(Assumptions!$C$92:$E$92,$B$3)*$N$3</f>
        <v>4734.28057553957</v>
      </c>
      <c r="H71" s="10" t="n">
        <f aca="false">H36*INDEX(Assumptions!$C$92:$E$92,$B$3)*$N$3</f>
        <v>5781.14508393285</v>
      </c>
      <c r="I71" s="10" t="n">
        <f aca="false">I36*INDEX(Assumptions!$C$92:$E$92,$B$3)*$N$3</f>
        <v>8192.57194244604</v>
      </c>
      <c r="J71" s="10" t="n">
        <f aca="false">J36*INDEX(Assumptions!$C$92:$E$92,$B$3)*$N$3</f>
        <v>8507.67086330935</v>
      </c>
      <c r="K71" s="10" t="n">
        <f aca="false">K36*INDEX(Assumptions!$C$92:$E$92,$B$3)*$N$3</f>
        <v>7877.47302158274</v>
      </c>
      <c r="L71" s="10" t="n">
        <f aca="false">L36*INDEX(Assumptions!$C$92:$E$92,$B$3)*$N$3</f>
        <v>6932.17625899281</v>
      </c>
      <c r="M71" s="10" t="n">
        <f aca="false">M36*INDEX(Assumptions!$C$92:$E$92,$B$3)*$N$3</f>
        <v>6617.0773381295</v>
      </c>
      <c r="N71" s="10" t="n">
        <f aca="false">N36*INDEX(Assumptions!$C$92:$E$92,$B$3)*$N$3</f>
        <v>6301.97841726619</v>
      </c>
      <c r="O71" s="40" t="n">
        <f aca="false">SUM(C71:N71)</f>
        <v>64435.2386840528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4100</v>
      </c>
      <c r="D72" s="10" t="n">
        <f aca="false">(D46*INDEX(Assumptions!$C$94:$E$94,$B$3)+D47*INDEX(Assumptions!$C$95:$E$95,$B$3)+D48*INDEX(Assumptions!$C$96:$E$96,$B$3))*$N$3</f>
        <v>6689.44919064748</v>
      </c>
      <c r="E72" s="10" t="n">
        <f aca="false">(E46*INDEX(Assumptions!$C$94:$E$94,$B$3)+E47*INDEX(Assumptions!$C$95:$E$95,$B$3)+E48*INDEX(Assumptions!$C$96:$E$96,$B$3))*$N$3</f>
        <v>13659.7026378897</v>
      </c>
      <c r="F72" s="10" t="n">
        <f aca="false">(F46*INDEX(Assumptions!$C$94:$E$94,$B$3)+F47*INDEX(Assumptions!$C$95:$E$95,$B$3)+F48*INDEX(Assumptions!$C$96:$E$96,$B$3))*$N$3</f>
        <v>18397.1942446043</v>
      </c>
      <c r="G72" s="10" t="n">
        <f aca="false">(G46*INDEX(Assumptions!$C$94:$E$94,$B$3)+G47*INDEX(Assumptions!$C$95:$E$95,$B$3)+G48*INDEX(Assumptions!$C$96:$E$96,$B$3))*$N$3</f>
        <v>19443.7122302158</v>
      </c>
      <c r="H72" s="10" t="n">
        <f aca="false">(H46*INDEX(Assumptions!$C$94:$E$94,$B$3)+H47*INDEX(Assumptions!$C$95:$E$95,$B$3)+H48*INDEX(Assumptions!$C$96:$E$96,$B$3))*$N$3</f>
        <v>22712.4580335731</v>
      </c>
      <c r="I72" s="10" t="n">
        <f aca="false">(I46*INDEX(Assumptions!$C$94:$E$94,$B$3)+I47*INDEX(Assumptions!$C$95:$E$95,$B$3)+I48*INDEX(Assumptions!$C$96:$E$96,$B$3))*$N$3</f>
        <v>26527.0287769784</v>
      </c>
      <c r="J72" s="10" t="n">
        <f aca="false">(J46*INDEX(Assumptions!$C$94:$E$94,$B$3)+J47*INDEX(Assumptions!$C$95:$E$95,$B$3)+J48*INDEX(Assumptions!$C$96:$E$96,$B$3))*$N$3</f>
        <v>29503.0683453237</v>
      </c>
      <c r="K72" s="10" t="n">
        <f aca="false">(K46*INDEX(Assumptions!$C$94:$E$94,$B$3)+K47*INDEX(Assumptions!$C$95:$E$95,$B$3)+K48*INDEX(Assumptions!$C$96:$E$96,$B$3))*$N$3</f>
        <v>29250.9892086331</v>
      </c>
      <c r="L72" s="10" t="n">
        <f aca="false">(L46*INDEX(Assumptions!$C$94:$E$94,$B$3)+L47*INDEX(Assumptions!$C$95:$E$95,$B$3)+L48*INDEX(Assumptions!$C$96:$E$96,$B$3))*$N$3</f>
        <v>30372.8705035971</v>
      </c>
      <c r="M72" s="10" t="n">
        <f aca="false">(M46*INDEX(Assumptions!$C$94:$E$94,$B$3)+M47*INDEX(Assumptions!$C$95:$E$95,$B$3)+M48*INDEX(Assumptions!$C$96:$E$96,$B$3))*$N$3</f>
        <v>32496.8309352518</v>
      </c>
      <c r="N72" s="10" t="n">
        <f aca="false">(N46*INDEX(Assumptions!$C$94:$E$94,$B$3)+N47*INDEX(Assumptions!$C$95:$E$95,$B$3)+N48*INDEX(Assumptions!$C$96:$E$96,$B$3))*$N$3</f>
        <v>34620.7913669065</v>
      </c>
      <c r="O72" s="40" t="n">
        <f aca="false">SUM(C72:N72)</f>
        <v>267774.095473621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262.5</v>
      </c>
      <c r="F74" s="10" t="n">
        <f aca="false">F51*INDEX(Assumptions!$C$97:$E$97,$B$3)</f>
        <v>525</v>
      </c>
      <c r="G74" s="10" t="n">
        <f aca="false">G51*INDEX(Assumptions!$C$97:$E$97,$B$3)</f>
        <v>787.5</v>
      </c>
      <c r="H74" s="10" t="n">
        <f aca="false">H51*INDEX(Assumptions!$C$97:$E$97,$B$3)</f>
        <v>1050</v>
      </c>
      <c r="I74" s="10" t="n">
        <f aca="false">I51*INDEX(Assumptions!$C$97:$E$97,$B$3)</f>
        <v>1312.5</v>
      </c>
      <c r="J74" s="10" t="n">
        <f aca="false">J51*INDEX(Assumptions!$C$97:$E$97,$B$3)</f>
        <v>1575</v>
      </c>
      <c r="K74" s="10" t="n">
        <f aca="false">K51*INDEX(Assumptions!$C$97:$E$97,$B$3)</f>
        <v>1575</v>
      </c>
      <c r="L74" s="10" t="n">
        <f aca="false">L51*INDEX(Assumptions!$C$97:$E$97,$B$3)</f>
        <v>1575</v>
      </c>
      <c r="M74" s="10" t="n">
        <f aca="false">M51*INDEX(Assumptions!$C$97:$E$97,$B$3)</f>
        <v>1575</v>
      </c>
      <c r="N74" s="10" t="n">
        <f aca="false">N51*INDEX(Assumptions!$C$97:$E$97,$B$3)</f>
        <v>1575</v>
      </c>
      <c r="O74" s="40" t="n">
        <f aca="false">SUM(C74:N74)</f>
        <v>11812.5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2397.07488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3127.7982397518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5113.78530905168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6871.57955065708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8278.1520126964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9929.80616464269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13299.5097245103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14104.0519570302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13327.3016576259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12313.1082813612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12183.6652045007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12091.4038003022</v>
      </c>
      <c r="O75" s="40" t="n">
        <f aca="false">SUM(C75:N75)</f>
        <v>113037.23678213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1378.89838129496</v>
      </c>
      <c r="E76" s="10" t="n">
        <f aca="false">E38*INDEX(Assumptions!$C$240:$E$240,$B$3)*INDEX(Assumptions!$C$69:$E$69,$B$3)</f>
        <v>2119.40527577938</v>
      </c>
      <c r="F76" s="10" t="n">
        <f aca="false">F38*INDEX(Assumptions!$C$240:$E$240,$B$3)*INDEX(Assumptions!$C$69:$E$69,$B$3)</f>
        <v>2894.38848920863</v>
      </c>
      <c r="G76" s="10" t="n">
        <f aca="false">G38*INDEX(Assumptions!$C$240:$E$240,$B$3)*INDEX(Assumptions!$C$69:$E$69,$B$3)</f>
        <v>3787.42446043166</v>
      </c>
      <c r="H76" s="10" t="n">
        <f aca="false">H38*INDEX(Assumptions!$C$240:$E$240,$B$3)*INDEX(Assumptions!$C$69:$E$69,$B$3)</f>
        <v>4624.91606714628</v>
      </c>
      <c r="I76" s="10" t="n">
        <f aca="false">I38*INDEX(Assumptions!$C$240:$E$240,$B$3)*INDEX(Assumptions!$C$69:$E$69,$B$3)</f>
        <v>6554.05755395684</v>
      </c>
      <c r="J76" s="10" t="n">
        <f aca="false">J38*INDEX(Assumptions!$C$240:$E$240,$B$3)*INDEX(Assumptions!$C$69:$E$69,$B$3)</f>
        <v>6806.13669064748</v>
      </c>
      <c r="K76" s="10" t="n">
        <f aca="false">K38*INDEX(Assumptions!$C$240:$E$240,$B$3)*INDEX(Assumptions!$C$69:$E$69,$B$3)</f>
        <v>6301.97841726619</v>
      </c>
      <c r="L76" s="10" t="n">
        <f aca="false">L38*INDEX(Assumptions!$C$240:$E$240,$B$3)*INDEX(Assumptions!$C$69:$E$69,$B$3)</f>
        <v>5545.74100719425</v>
      </c>
      <c r="M76" s="10" t="n">
        <f aca="false">M38*INDEX(Assumptions!$C$240:$E$240,$B$3)*INDEX(Assumptions!$C$69:$E$69,$B$3)</f>
        <v>5293.6618705036</v>
      </c>
      <c r="N76" s="10" t="n">
        <f aca="false">N38*INDEX(Assumptions!$C$240:$E$240,$B$3)*INDEX(Assumptions!$C$69:$E$69,$B$3)</f>
        <v>5041.58273381295</v>
      </c>
      <c r="O76" s="40" t="n">
        <f aca="false">SUM(C76:N76)</f>
        <v>51548.1909472422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22397.07488</v>
      </c>
      <c r="D77" s="40" t="n">
        <f aca="false">SUM(D69:D76)</f>
        <v>29137.6509825576</v>
      </c>
      <c r="E77" s="40" t="n">
        <f aca="false">SUM(E69:E76)</f>
        <v>48324.6439346512</v>
      </c>
      <c r="F77" s="40" t="n">
        <f aca="false">SUM(F69:F76)</f>
        <v>65998.9008935827</v>
      </c>
      <c r="G77" s="40" t="n">
        <f aca="false">SUM(G69:G76)</f>
        <v>81225.3282716892</v>
      </c>
      <c r="H77" s="40" t="n">
        <f aca="false">SUM(H69:H76)</f>
        <v>98286.3984907818</v>
      </c>
      <c r="I77" s="40" t="n">
        <f aca="false">SUM(I69:I76)</f>
        <v>132027.10265017</v>
      </c>
      <c r="J77" s="40" t="n">
        <f aca="false">SUM(J69:J76)</f>
        <v>141098.231813145</v>
      </c>
      <c r="K77" s="40" t="n">
        <f aca="false">SUM(K69:K76)</f>
        <v>133609.874499353</v>
      </c>
      <c r="L77" s="40" t="n">
        <f aca="false">SUM(L69:L76)</f>
        <v>123256.27824539</v>
      </c>
      <c r="M77" s="40" t="n">
        <f aca="false">SUM(M69:M76)</f>
        <v>121249.03930522</v>
      </c>
      <c r="N77" s="40" t="n">
        <f aca="false">SUM(N69:N76)</f>
        <v>119720.120526921</v>
      </c>
      <c r="O77" s="11" t="n">
        <f aca="false">SUM(C77:N77)</f>
        <v>1116330.64449346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32584.3827471187</v>
      </c>
      <c r="D78" s="40" t="n">
        <f aca="false">D66-D77</f>
        <v>45370.4483410768</v>
      </c>
      <c r="E78" s="40" t="n">
        <f aca="false">E66-E77</f>
        <v>77730.2576128227</v>
      </c>
      <c r="F78" s="40" t="n">
        <f aca="false">F66-F77</f>
        <v>101825.379734796</v>
      </c>
      <c r="G78" s="40" t="n">
        <f aca="false">G66-G77</f>
        <v>112995.201177159</v>
      </c>
      <c r="H78" s="40" t="n">
        <f aca="false">H66-H77</f>
        <v>132174.939697651</v>
      </c>
      <c r="I78" s="40" t="n">
        <f aca="false">I66-I77</f>
        <v>168443.566799084</v>
      </c>
      <c r="J78" s="40" t="n">
        <f aca="false">J66-J77</f>
        <v>178570.42127977</v>
      </c>
      <c r="K78" s="40" t="n">
        <f aca="false">K66-K77</f>
        <v>170703.271168859</v>
      </c>
      <c r="L78" s="40" t="n">
        <f aca="false">L66-L77</f>
        <v>164716.109486594</v>
      </c>
      <c r="M78" s="40" t="n">
        <f aca="false">M66-M77</f>
        <v>169551.657237275</v>
      </c>
      <c r="N78" s="40" t="n">
        <f aca="false">N66-N77</f>
        <v>174442.95079365</v>
      </c>
      <c r="O78" s="11" t="n">
        <f aca="false">SUM(C78:N78)</f>
        <v>1529108.58607585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0.592643122852512</v>
      </c>
      <c r="D79" s="8" t="n">
        <f aca="false">IFERROR(D78/D66,0)</f>
        <v>0.6089331059702</v>
      </c>
      <c r="E79" s="8" t="n">
        <f aca="false">IFERROR(E78/E66,0)</f>
        <v>0.616638120839343</v>
      </c>
      <c r="F79" s="8" t="n">
        <f aca="false">IFERROR(F78/F66,0)</f>
        <v>0.606738067659427</v>
      </c>
      <c r="G79" s="8" t="n">
        <f aca="false">IFERROR(G78/G66,0)</f>
        <v>0.581788143085658</v>
      </c>
      <c r="H79" s="8" t="n">
        <f aca="false">IFERROR(H78/H66,0)</f>
        <v>0.57352326744532</v>
      </c>
      <c r="I79" s="8" t="n">
        <f aca="false">IFERROR(I78/I66,0)</f>
        <v>0.560599033202915</v>
      </c>
      <c r="J79" s="8" t="n">
        <f aca="false">IFERROR(J78/J66,0)</f>
        <v>0.558610985318809</v>
      </c>
      <c r="K79" s="8" t="n">
        <f aca="false">IFERROR(K78/K66,0)</f>
        <v>0.560946096475814</v>
      </c>
      <c r="L79" s="8" t="n">
        <f aca="false">IFERROR(L78/L66,0)</f>
        <v>0.571985775385852</v>
      </c>
      <c r="M79" s="8" t="n">
        <f aca="false">IFERROR(M78/M66,0)</f>
        <v>0.583051069867359</v>
      </c>
      <c r="N79" s="8" t="n">
        <f aca="false">IFERROR(N78/N66,0)</f>
        <v>0.593014446070788</v>
      </c>
      <c r="O79" s="13" t="n">
        <f aca="false">IFERROR(O78/O66,0)</f>
        <v>0.5780169010901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2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0.416666666666667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1.13333333333333</v>
      </c>
      <c r="M82" s="6" t="n">
        <f aca="false">M81*(1-M12)</f>
        <v>1.16666666666667</v>
      </c>
      <c r="N82" s="6" t="n">
        <f aca="false">N81*(1-N12)</f>
        <v>1.2</v>
      </c>
      <c r="O82" s="41" t="n">
        <f aca="false">MAX(C82:N82)</f>
        <v>1.2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95000</v>
      </c>
      <c r="E86" s="10" t="n">
        <f aca="false">E83*INDEX(Assumptions!$C$98:$E$98,$B$3)*$W$4+E84*INDEX(Assumptions!$C$99:$E$99,$B$3)+E85*INDEX(Assumptions!$C$100:$E$100,$B$3)</f>
        <v>95000</v>
      </c>
      <c r="F86" s="10" t="n">
        <f aca="false">F83*INDEX(Assumptions!$C$98:$E$98,$B$3)*$W$4+F84*INDEX(Assumptions!$C$99:$E$99,$B$3)+F85*INDEX(Assumptions!$C$100:$E$100,$B$3)</f>
        <v>95000</v>
      </c>
      <c r="G86" s="10" t="n">
        <f aca="false">G83*INDEX(Assumptions!$C$98:$E$98,$B$3)*$W$4+G84*INDEX(Assumptions!$C$99:$E$99,$B$3)+G85*INDEX(Assumptions!$C$100:$E$100,$B$3)</f>
        <v>95000</v>
      </c>
      <c r="H86" s="10" t="n">
        <f aca="false">H83*INDEX(Assumptions!$C$98:$E$98,$B$3)*$W$4+H84*INDEX(Assumptions!$C$99:$E$99,$B$3)+H85*INDEX(Assumptions!$C$100:$E$100,$B$3)</f>
        <v>95000</v>
      </c>
      <c r="I86" s="10" t="n">
        <f aca="false">I83*INDEX(Assumptions!$C$98:$E$98,$B$3)*$W$4+I84*INDEX(Assumptions!$C$99:$E$99,$B$3)+I85*INDEX(Assumptions!$C$100:$E$100,$B$3)</f>
        <v>95000</v>
      </c>
      <c r="J86" s="10" t="n">
        <f aca="false">J83*INDEX(Assumptions!$C$98:$E$98,$B$3)*$W$4+J84*INDEX(Assumptions!$C$99:$E$99,$B$3)+J85*INDEX(Assumptions!$C$100:$E$100,$B$3)</f>
        <v>95000</v>
      </c>
      <c r="K86" s="10" t="n">
        <f aca="false">K83*INDEX(Assumptions!$C$98:$E$98,$B$3)*$W$4+K84*INDEX(Assumptions!$C$99:$E$99,$B$3)+K85*INDEX(Assumptions!$C$100:$E$100,$B$3)</f>
        <v>95000</v>
      </c>
      <c r="L86" s="10" t="n">
        <f aca="false">L83*INDEX(Assumptions!$C$98:$E$98,$B$3)*$W$4+L84*INDEX(Assumptions!$C$99:$E$99,$B$3)+L85*INDEX(Assumptions!$C$100:$E$100,$B$3)</f>
        <v>95000</v>
      </c>
      <c r="M86" s="10" t="n">
        <f aca="false">M83*INDEX(Assumptions!$C$98:$E$98,$B$3)*$W$4+M84*INDEX(Assumptions!$C$99:$E$99,$B$3)+M85*INDEX(Assumptions!$C$100:$E$100,$B$3)</f>
        <v>95000</v>
      </c>
      <c r="N86" s="10" t="n">
        <f aca="false">N83*INDEX(Assumptions!$C$98:$E$98,$B$3)*$W$4+N84*INDEX(Assumptions!$C$99:$E$99,$B$3)+N85*INDEX(Assumptions!$C$100:$E$100,$B$3)</f>
        <v>95000</v>
      </c>
      <c r="O86" s="40" t="n">
        <f aca="false">SUM(C86:N86)</f>
        <v>1065000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25000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25000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25000</v>
      </c>
      <c r="O87" s="40" t="n">
        <f aca="false">SUM(C87:N87)</f>
        <v>300000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60000</v>
      </c>
      <c r="D92" s="40" t="n">
        <f aca="false">SUM(D86:D91)</f>
        <v>210000</v>
      </c>
      <c r="E92" s="40" t="n">
        <f aca="false">SUM(E86:E91)</f>
        <v>225000</v>
      </c>
      <c r="F92" s="40" t="n">
        <f aca="false">SUM(F86:F91)</f>
        <v>225000</v>
      </c>
      <c r="G92" s="40" t="n">
        <f aca="false">SUM(G86:G91)</f>
        <v>225000</v>
      </c>
      <c r="H92" s="40" t="n">
        <f aca="false">SUM(H86:H91)</f>
        <v>225000</v>
      </c>
      <c r="I92" s="40" t="n">
        <f aca="false">SUM(I86:I91)</f>
        <v>225000</v>
      </c>
      <c r="J92" s="40" t="n">
        <f aca="false">SUM(J86:J91)</f>
        <v>225000</v>
      </c>
      <c r="K92" s="40" t="n">
        <f aca="false">SUM(K86:K91)</f>
        <v>225000</v>
      </c>
      <c r="L92" s="40" t="n">
        <f aca="false">SUM(L86:L91)</f>
        <v>225000</v>
      </c>
      <c r="M92" s="40" t="n">
        <f aca="false">SUM(M86:M91)</f>
        <v>225000</v>
      </c>
      <c r="N92" s="40" t="n">
        <f aca="false">SUM(N86:N91)</f>
        <v>225000</v>
      </c>
      <c r="O92" s="11" t="n">
        <f aca="false">SUM(C92:N92)</f>
        <v>2520000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22000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22000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22000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22000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22000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22000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22000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22000</v>
      </c>
      <c r="O95" s="40" t="n">
        <f aca="false">SUM(C95:N95)</f>
        <v>224000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18000</v>
      </c>
      <c r="L96" s="10" t="n">
        <f aca="false">INDEX(Assumptions!$C$107:$E$107,L$9)+IF(10&gt;=IF($Q$3=1,MAX(INDEX(Assumptions!$C$231:$E$231,L$9),$Q$4+1),INDEX(Assumptions!$C$231:$E$231,L$9))-1,INDEX(Assumptions!$C$230:$E$230,L$9),0)</f>
        <v>18000</v>
      </c>
      <c r="M96" s="10" t="n">
        <f aca="false">INDEX(Assumptions!$C$107:$E$107,M$9)+IF(11&gt;=IF($Q$3=1,MAX(INDEX(Assumptions!$C$231:$E$231,M$9),$Q$4+1),INDEX(Assumptions!$C$231:$E$231,M$9))-1,INDEX(Assumptions!$C$230:$E$230,M$9),0)</f>
        <v>18000</v>
      </c>
      <c r="N96" s="10" t="n">
        <f aca="false">INDEX(Assumptions!$C$107:$E$107,N$9)+IF(12&gt;=IF($Q$3=1,MAX(INDEX(Assumptions!$C$231:$E$231,N$9),$Q$4+1),INDEX(Assumptions!$C$231:$E$231,N$9))-1,INDEX(Assumptions!$C$230:$E$230,N$9),0)</f>
        <v>18000</v>
      </c>
      <c r="O96" s="40" t="n">
        <f aca="false">SUM(C96:N96)</f>
        <v>216000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60000</v>
      </c>
      <c r="M97" s="10" t="n">
        <f aca="false">M18</f>
        <v>60000</v>
      </c>
      <c r="N97" s="10" t="n">
        <f aca="false">N18</f>
        <v>60000</v>
      </c>
      <c r="O97" s="40" t="n">
        <f aca="false">SUM(C97:N97)</f>
        <v>600000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300833</v>
      </c>
      <c r="D102" s="40" t="n">
        <f aca="false">D92+SUM(D94:D101)</f>
        <v>330833</v>
      </c>
      <c r="E102" s="40" t="n">
        <f aca="false">E92+SUM(E94:E101)</f>
        <v>520833</v>
      </c>
      <c r="F102" s="40" t="n">
        <f aca="false">F92+SUM(F94:F101)</f>
        <v>380833</v>
      </c>
      <c r="G102" s="40" t="n">
        <f aca="false">G92+SUM(G94:G101)</f>
        <v>400833</v>
      </c>
      <c r="H102" s="40" t="n">
        <f aca="false">H92+SUM(H94:H101)</f>
        <v>400833</v>
      </c>
      <c r="I102" s="40" t="n">
        <f aca="false">I92+SUM(I94:I101)</f>
        <v>400833</v>
      </c>
      <c r="J102" s="40" t="n">
        <f aca="false">J92+SUM(J94:J101)</f>
        <v>400833</v>
      </c>
      <c r="K102" s="40" t="n">
        <f aca="false">K92+SUM(K94:K101)</f>
        <v>400833</v>
      </c>
      <c r="L102" s="40" t="n">
        <f aca="false">L92+SUM(L94:L101)</f>
        <v>400833</v>
      </c>
      <c r="M102" s="40" t="n">
        <f aca="false">M92+SUM(M94:M101)</f>
        <v>400833</v>
      </c>
      <c r="N102" s="40" t="n">
        <f aca="false">N92+SUM(N94:N101)</f>
        <v>400833</v>
      </c>
      <c r="O102" s="11" t="n">
        <f aca="false">SUM(C102:N102)</f>
        <v>4739996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-268248.617252881</v>
      </c>
      <c r="D103" s="40" t="n">
        <f aca="false">D78-D102</f>
        <v>-285462.551658923</v>
      </c>
      <c r="E103" s="40" t="n">
        <f aca="false">E78-E102</f>
        <v>-443102.742387177</v>
      </c>
      <c r="F103" s="40" t="n">
        <f aca="false">F78-F102</f>
        <v>-279007.620265204</v>
      </c>
      <c r="G103" s="40" t="n">
        <f aca="false">G78-G102</f>
        <v>-287837.798822842</v>
      </c>
      <c r="H103" s="40" t="n">
        <f aca="false">H78-H102</f>
        <v>-268658.06030235</v>
      </c>
      <c r="I103" s="40" t="n">
        <f aca="false">I78-I102</f>
        <v>-232389.433200916</v>
      </c>
      <c r="J103" s="40" t="n">
        <f aca="false">J78-J102</f>
        <v>-222262.57872023</v>
      </c>
      <c r="K103" s="40" t="n">
        <f aca="false">K78-K102</f>
        <v>-230129.728831141</v>
      </c>
      <c r="L103" s="40" t="n">
        <f aca="false">L78-L102</f>
        <v>-236116.890513406</v>
      </c>
      <c r="M103" s="40" t="n">
        <f aca="false">M78-M102</f>
        <v>-231281.342762725</v>
      </c>
      <c r="N103" s="40" t="n">
        <f aca="false">N78-N102</f>
        <v>-226390.04920635</v>
      </c>
      <c r="O103" s="11" t="n">
        <f aca="false">SUM(C103:N103)</f>
        <v>-3210887.41392415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-4.87889242719117</v>
      </c>
      <c r="D104" s="8" t="n">
        <f aca="false">IFERROR(D103/D66,0)</f>
        <v>-3.83129558061848</v>
      </c>
      <c r="E104" s="8" t="n">
        <f aca="false">IFERROR(E103/E66,0)</f>
        <v>-3.51515678444522</v>
      </c>
      <c r="F104" s="8" t="n">
        <f aca="false">IFERROR(F103/F66,0)</f>
        <v>-1.66249853251583</v>
      </c>
      <c r="G104" s="8" t="n">
        <f aca="false">IFERROR(G103/G66,0)</f>
        <v>-1.48201531341541</v>
      </c>
      <c r="H104" s="8" t="n">
        <f aca="false">IFERROR(H103/H66,0)</f>
        <v>-1.16574026001136</v>
      </c>
      <c r="I104" s="8" t="n">
        <f aca="false">IFERROR(I103/I66,0)</f>
        <v>-0.773418029875835</v>
      </c>
      <c r="J104" s="8" t="n">
        <f aca="false">IFERROR(J103/J66,0)</f>
        <v>-0.695290503368895</v>
      </c>
      <c r="K104" s="8" t="n">
        <f aca="false">IFERROR(K103/K66,0)</f>
        <v>-0.756226709581744</v>
      </c>
      <c r="L104" s="8" t="n">
        <f aca="false">IFERROR(L103/L66,0)</f>
        <v>-0.81992892573145</v>
      </c>
      <c r="M104" s="8" t="n">
        <f aca="false">IFERROR(M103/M66,0)</f>
        <v>-0.795325958680873</v>
      </c>
      <c r="N104" s="8" t="n">
        <f aca="false">IFERROR(N103/N66,0)</f>
        <v>-0.769607307232786</v>
      </c>
      <c r="O104" s="8" t="n">
        <f aca="false">IFERROR(O103/O66,0)</f>
        <v>-1.21374453694525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-343248.617252881</v>
      </c>
      <c r="D105" s="10" t="n">
        <f aca="false">D103-INDEX(Assumptions!$C$204:$E$204,$B$3)</f>
        <v>-360462.551658923</v>
      </c>
      <c r="E105" s="10" t="n">
        <f aca="false">E103-INDEX(Assumptions!$C$204:$E$204,$B$3)</f>
        <v>-518102.742387177</v>
      </c>
      <c r="F105" s="10" t="n">
        <f aca="false">F103-INDEX(Assumptions!$C$204:$E$204,$B$3)</f>
        <v>-354007.620265204</v>
      </c>
      <c r="G105" s="10" t="n">
        <f aca="false">G103-INDEX(Assumptions!$C$204:$E$204,$B$3)</f>
        <v>-362837.798822842</v>
      </c>
      <c r="H105" s="10" t="n">
        <f aca="false">H103-INDEX(Assumptions!$C$204:$E$204,$B$3)</f>
        <v>-343658.06030235</v>
      </c>
      <c r="I105" s="10" t="n">
        <f aca="false">I103-INDEX(Assumptions!$C$204:$E$204,$B$3)</f>
        <v>-307389.433200916</v>
      </c>
      <c r="J105" s="10" t="n">
        <f aca="false">J103-INDEX(Assumptions!$C$204:$E$204,$B$3)</f>
        <v>-297262.57872023</v>
      </c>
      <c r="K105" s="10" t="n">
        <f aca="false">K103-INDEX(Assumptions!$C$204:$E$204,$B$3)</f>
        <v>-305129.728831141</v>
      </c>
      <c r="L105" s="10" t="n">
        <f aca="false">L103-INDEX(Assumptions!$C$204:$E$204,$B$3)</f>
        <v>-311116.890513406</v>
      </c>
      <c r="M105" s="10" t="n">
        <f aca="false">M103-INDEX(Assumptions!$C$204:$E$204,$B$3)</f>
        <v>-306281.342762725</v>
      </c>
      <c r="N105" s="10" t="n">
        <f aca="false">N103-INDEX(Assumptions!$C$204:$E$204,$B$3)</f>
        <v>-301390.04920635</v>
      </c>
      <c r="O105" s="40" t="n">
        <f aca="false">SUM(C105:N105)</f>
        <v>-4110887.41392415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250000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-16249.4030199569</v>
      </c>
      <c r="E113" s="10" t="n">
        <f aca="false">((E67+IF(INDEX(Assumptions!$C$87:$E$87,$B$3)&gt;=2,D67,0)+IF(INDEX(Assumptions!$C$87:$E$87,$B$3)&gt;=3,C67,0))/INDEX(Assumptions!$C$87:$E$87,$B$3))-E67</f>
        <v>-16961.6304837486</v>
      </c>
      <c r="F113" s="10" t="n">
        <f aca="false">((F67+IF(INDEX(Assumptions!$C$87:$E$87,$B$3)&gt;=2,E67,0)+IF(INDEX(Assumptions!$C$87:$E$87,$B$3)&gt;=3,D67,0))/INDEX(Assumptions!$C$87:$E$87,$B$3))-F67</f>
        <v>-23232.0498474102</v>
      </c>
      <c r="G113" s="10" t="n">
        <f aca="false">((G67+IF(INDEX(Assumptions!$C$87:$E$87,$B$3)&gt;=2,F67,0)+IF(INDEX(Assumptions!$C$87:$E$87,$B$3)&gt;=3,E67,0))/INDEX(Assumptions!$C$87:$E$87,$B$3))-G67</f>
        <v>-26129.9497478288</v>
      </c>
      <c r="H113" s="10" t="n">
        <f aca="false">((H67+IF(INDEX(Assumptions!$C$87:$E$87,$B$3)&gt;=2,G67,0)+IF(INDEX(Assumptions!$C$87:$E$87,$B$3)&gt;=3,F67,0))/INDEX(Assumptions!$C$87:$E$87,$B$3))-H67</f>
        <v>-26294.3475727892</v>
      </c>
      <c r="I113" s="10" t="n">
        <f aca="false">((I67+IF(INDEX(Assumptions!$C$87:$E$87,$B$3)&gt;=2,H67,0)+IF(INDEX(Assumptions!$C$87:$E$87,$B$3)&gt;=3,G67,0))/INDEX(Assumptions!$C$87:$E$87,$B$3))-I67</f>
        <v>-47333.9362408379</v>
      </c>
      <c r="J113" s="10" t="n">
        <f aca="false">((J67+IF(INDEX(Assumptions!$C$87:$E$87,$B$3)&gt;=2,I67,0)+IF(INDEX(Assumptions!$C$87:$E$87,$B$3)&gt;=3,H67,0))/INDEX(Assumptions!$C$87:$E$87,$B$3))-J67</f>
        <v>-25716.1609695295</v>
      </c>
      <c r="K113" s="10" t="n">
        <f aca="false">((K67+IF(INDEX(Assumptions!$C$87:$E$87,$B$3)&gt;=2,J67,0)+IF(INDEX(Assumptions!$C$87:$E$87,$B$3)&gt;=3,I67,0))/INDEX(Assumptions!$C$87:$E$87,$B$3))-K67</f>
        <v>6617.70752889212</v>
      </c>
      <c r="L113" s="10" t="n">
        <f aca="false">((L67+IF(INDEX(Assumptions!$C$87:$E$87,$B$3)&gt;=2,K67,0)+IF(INDEX(Assumptions!$C$87:$E$87,$B$3)&gt;=3,J67,0))/INDEX(Assumptions!$C$87:$E$87,$B$3))-L67</f>
        <v>20205.4957728733</v>
      </c>
      <c r="M113" s="10" t="n">
        <f aca="false">((M67+IF(INDEX(Assumptions!$C$87:$E$87,$B$3)&gt;=2,L67,0)+IF(INDEX(Assumptions!$C$87:$E$87,$B$3)&gt;=3,K67,0))/INDEX(Assumptions!$C$87:$E$87,$B$3))-M67</f>
        <v>13173.627199935</v>
      </c>
      <c r="N113" s="10" t="n">
        <f aca="false">((N67+IF(INDEX(Assumptions!$C$87:$E$87,$B$3)&gt;=2,M67,0)+IF(INDEX(Assumptions!$C$87:$E$87,$B$3)&gt;=3,L67,0))/INDEX(Assumptions!$C$87:$E$87,$B$3))-N67</f>
        <v>7921.97851887983</v>
      </c>
      <c r="O113" s="40" t="n">
        <f aca="false">SUM(C113:N113)</f>
        <v>-157727.482420843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-441977.430812203</v>
      </c>
      <c r="D114" s="40" t="n">
        <f aca="false">D103+D113-D112</f>
        <v>-301711.95467888</v>
      </c>
      <c r="E114" s="40" t="n">
        <f aca="false">E103+E113-E112</f>
        <v>-560064.372870926</v>
      </c>
      <c r="F114" s="40" t="n">
        <f aca="false">F103+F113-F112</f>
        <v>-302239.670112614</v>
      </c>
      <c r="G114" s="40" t="n">
        <f aca="false">G103+G113-G112</f>
        <v>-313967.74857067</v>
      </c>
      <c r="H114" s="40" t="n">
        <f aca="false">H103+H113-H112</f>
        <v>-294952.407875139</v>
      </c>
      <c r="I114" s="40" t="n">
        <f aca="false">I103+I113-I112</f>
        <v>-279723.369441754</v>
      </c>
      <c r="J114" s="40" t="n">
        <f aca="false">J103+J113-J112</f>
        <v>-247978.739689759</v>
      </c>
      <c r="K114" s="40" t="n">
        <f aca="false">K103+K113-K112</f>
        <v>-223512.021302249</v>
      </c>
      <c r="L114" s="40" t="n">
        <f aca="false">L103+L113-L112</f>
        <v>-215911.394740533</v>
      </c>
      <c r="M114" s="40" t="n">
        <f aca="false">M103+M113-M112</f>
        <v>-218107.71556279</v>
      </c>
      <c r="N114" s="40" t="n">
        <f aca="false">N103+N113-N112</f>
        <v>-218468.07068747</v>
      </c>
      <c r="O114" s="11" t="n">
        <f aca="false">SUM(C114:N114)</f>
        <v>-3618614.89634499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-441977.430812203</v>
      </c>
      <c r="D115" s="40" t="n">
        <f aca="false">C115+D114</f>
        <v>-743689.385491084</v>
      </c>
      <c r="E115" s="40" t="n">
        <f aca="false">D115+E114</f>
        <v>-1303753.75836201</v>
      </c>
      <c r="F115" s="40" t="n">
        <f aca="false">E115+F114</f>
        <v>-1605993.42847462</v>
      </c>
      <c r="G115" s="40" t="n">
        <f aca="false">F115+G114</f>
        <v>-1919961.17704529</v>
      </c>
      <c r="H115" s="40" t="n">
        <f aca="false">G115+H114</f>
        <v>-2214913.58492043</v>
      </c>
      <c r="I115" s="40" t="n">
        <f aca="false">H115+I114</f>
        <v>-2494636.95436219</v>
      </c>
      <c r="J115" s="40" t="n">
        <f aca="false">I115+J114</f>
        <v>-2742615.69405195</v>
      </c>
      <c r="K115" s="40" t="n">
        <f aca="false">J115+K114</f>
        <v>-2966127.71535419</v>
      </c>
      <c r="L115" s="40" t="n">
        <f aca="false">K115+L114</f>
        <v>-3182039.11009473</v>
      </c>
      <c r="M115" s="40" t="n">
        <f aca="false">L115+M114</f>
        <v>-3400146.82565752</v>
      </c>
      <c r="N115" s="40" t="n">
        <f aca="false">M115+N114</f>
        <v>-3618614.89634499</v>
      </c>
      <c r="O115" s="11" t="n">
        <f aca="false">N115</f>
        <v>-3618614.89634499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441977.430812203</v>
      </c>
      <c r="D116" s="40" t="n">
        <f aca="false">-MIN(0,MIN($C$115:D115))</f>
        <v>743689.385491084</v>
      </c>
      <c r="E116" s="40" t="n">
        <f aca="false">-MIN(0,MIN($C$115:E115))</f>
        <v>1303753.75836201</v>
      </c>
      <c r="F116" s="40" t="n">
        <f aca="false">-MIN(0,MIN($C$115:F115))</f>
        <v>1605993.42847462</v>
      </c>
      <c r="G116" s="40" t="n">
        <f aca="false">-MIN(0,MIN($C$115:G115))</f>
        <v>1919961.17704529</v>
      </c>
      <c r="H116" s="40" t="n">
        <f aca="false">-MIN(0,MIN($C$115:H115))</f>
        <v>2214913.58492043</v>
      </c>
      <c r="I116" s="40" t="n">
        <f aca="false">-MIN(0,MIN($C$115:I115))</f>
        <v>2494636.95436219</v>
      </c>
      <c r="J116" s="40" t="n">
        <f aca="false">-MIN(0,MIN($C$115:J115))</f>
        <v>2742615.69405195</v>
      </c>
      <c r="K116" s="40" t="n">
        <f aca="false">-MIN(0,MIN($C$115:K115))</f>
        <v>2966127.71535419</v>
      </c>
      <c r="L116" s="40" t="n">
        <f aca="false">-MIN(0,MIN($C$115:L115))</f>
        <v>3182039.11009473</v>
      </c>
      <c r="M116" s="40" t="n">
        <f aca="false">-MIN(0,MIN($C$115:M115))</f>
        <v>3400146.82565752</v>
      </c>
      <c r="N116" s="40" t="n">
        <f aca="false">-MIN(0,MIN($C$115:N115))</f>
        <v>3618614.89634499</v>
      </c>
      <c r="O116" s="11" t="n">
        <f aca="false">MAX(C116:N116)</f>
        <v>3618614.89634499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1.56265568420264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2.82097834607314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3.28628864508393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4.60791426858513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5.74489111211032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5.19062452338129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4.75736350719424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1.56265568420264</v>
      </c>
      <c r="D129" s="8" t="n">
        <f aca="false">C129/INDEX(Assumptions!$C$179:$E$179,$B$3)</f>
        <v>0.130221307016887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2.82097834607314</v>
      </c>
      <c r="D130" s="8" t="n">
        <f aca="false">C130/INDEX(Assumptions!$C$179:$E$179,$B$3)</f>
        <v>0.235081528839428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3.28628864508393</v>
      </c>
      <c r="D131" s="8" t="n">
        <f aca="false">C131/INDEX(Assumptions!$C$179:$E$179,$B$3)</f>
        <v>0.273857387090328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4.60791426858513</v>
      </c>
      <c r="D132" s="8" t="n">
        <f aca="false">C132/INDEX(Assumptions!$C$179:$E$179,$B$3)</f>
        <v>0.383992855715428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5.74489111211032</v>
      </c>
      <c r="D133" s="8" t="n">
        <f aca="false">C133/INDEX(Assumptions!$C$179:$E$179,$B$3)</f>
        <v>0.478740926009193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0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5.19062452338129</v>
      </c>
      <c r="D134" s="8" t="n">
        <f aca="false">C134/INDEX(Assumptions!$C$179:$E$179,$B$3)</f>
        <v>0.432552043615108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4.75736350719424</v>
      </c>
      <c r="D135" s="8" t="n">
        <f aca="false">C135/INDEX(Assumptions!$C$179:$E$179,$B$3)</f>
        <v>0.396446958932853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1.56265568420264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2.82097834607314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4.5677962470024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7.1577020323741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7.10422026978418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6.24179452338129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1.56265568420264</v>
      </c>
      <c r="D143" s="8" t="n">
        <f aca="false">C143/INDEX(Assumptions!$C$179:$E$179,$B$3)</f>
        <v>0.130221307016887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2.82097834607314</v>
      </c>
      <c r="D144" s="8" t="n">
        <f aca="false">C144/INDEX(Assumptions!$C$179:$E$179,$B$3)</f>
        <v>0.235081528839428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4.5677962470024</v>
      </c>
      <c r="D145" s="8" t="n">
        <f aca="false">C145/INDEX(Assumptions!$C$179:$E$179,$B$3)</f>
        <v>0.3806496872502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0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7.1577020323741</v>
      </c>
      <c r="D146" s="8" t="n">
        <f aca="false">C146/INDEX(Assumptions!$C$179:$E$179,$B$3)</f>
        <v>0.596475169364508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0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7.10422026978418</v>
      </c>
      <c r="D147" s="8" t="n">
        <f aca="false">C147/INDEX(Assumptions!$C$179:$E$179,$B$3)</f>
        <v>0.592018355815348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6.24179452338129</v>
      </c>
      <c r="D148" s="8" t="n">
        <f aca="false">C148/INDEX(Assumptions!$C$179:$E$179,$B$3)</f>
        <v>0.520149543615108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2645439.23056932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-3210887.41392415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-1.21374453694525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-4110887.41392415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250000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3618614.89634499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-618614.896344988</v>
      </c>
    </row>
    <row r="160" customFormat="false" ht="15" hidden="false" customHeight="false" outlineLevel="0" collapsed="false">
      <c r="A160" s="3" t="s">
        <v>51</v>
      </c>
      <c r="B160" s="7" t="n">
        <f aca="false">O38</f>
        <v>51.5481909472422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5.92385971223022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135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0.630197841726619</v>
      </c>
    </row>
    <row r="164" customFormat="false" ht="15" hidden="false" customHeight="false" outlineLevel="0" collapsed="false">
      <c r="A164" s="3" t="s">
        <v>55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2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14987.1175847458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400833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98884.1575487711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20.1472258253688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241.766709904426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34317.6587808943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1.01237093403638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1.11632793806148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25.7419971223022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-693788.282482482</v>
      </c>
    </row>
    <row r="177" customFormat="false" ht="15" hidden="false" customHeight="false" outlineLevel="0" collapsed="false">
      <c r="A177" s="3" t="s">
        <v>68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-3618614.89634499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4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3618614.89634499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1065000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40000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2452544.19094724</v>
      </c>
    </row>
    <row r="187" customFormat="false" ht="15" hidden="false" customHeight="false" outlineLevel="0" collapsed="false">
      <c r="A187" s="3" t="s">
        <v>78</v>
      </c>
      <c r="B187" s="11" t="n">
        <f aca="false">O97</f>
        <v>600000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0.130221307016887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0.235081528839428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0.332984715317032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4.75736350719424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10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0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3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0.523047737476685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7.3431582733813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40323.2490675508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0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508710.717517518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1571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1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99</v>
      </c>
      <c r="R4" s="2" t="s">
        <v>1403</v>
      </c>
      <c r="S4" s="37" t="n">
        <v>2</v>
      </c>
      <c r="T4" s="2" t="s">
        <v>1404</v>
      </c>
      <c r="U4" s="37" t="n">
        <v>5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1</v>
      </c>
      <c r="H9" s="10" t="n">
        <f aca="false">IF(6&gt;=$U$4,1,$D$3)</f>
        <v>1</v>
      </c>
      <c r="I9" s="10" t="n">
        <f aca="false">IF(7&gt;=$U$4,1,$D$3)</f>
        <v>1</v>
      </c>
      <c r="J9" s="10" t="n">
        <f aca="false">IF(8&gt;=$U$4,1,$D$3)</f>
        <v>1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0.666666666666667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0.6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0.566666666666667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0.533333333333333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1.91666666666667</v>
      </c>
      <c r="E15" s="16" t="n">
        <f aca="false">E14+(INDEX(Assumptions!$C$25:$E$25,E$9)*(1-(INDEX(Assumptions!$C$27:$E$27,$B$3)+INDEX(Assumptions!$C$28:$E$28,$B$3)+INDEX(Assumptions!$C$31:$E$31,$B$3)))-E14)*MIN(1,(3-1)/6)*$N$4</f>
        <v>2.33333333333333</v>
      </c>
      <c r="F15" s="16" t="n">
        <f aca="false">F14+(INDEX(Assumptions!$C$25:$E$25,F$9)*(1-(INDEX(Assumptions!$C$27:$E$27,$B$3)+INDEX(Assumptions!$C$28:$E$28,$B$3)+INDEX(Assumptions!$C$31:$E$31,$B$3)))-F14)*MIN(1,(4-1)/6)*$N$4</f>
        <v>2.75</v>
      </c>
      <c r="G15" s="16" t="n">
        <f aca="false">G14+(INDEX(Assumptions!$C$25:$E$25,G$9)*(1-(INDEX(Assumptions!$C$27:$E$27,$B$3)+INDEX(Assumptions!$C$28:$E$28,$B$3)+INDEX(Assumptions!$C$31:$E$31,$B$3)))-G14)*MIN(1,(5-1)/6)*$N$4</f>
        <v>2.1</v>
      </c>
      <c r="H15" s="16" t="n">
        <f aca="false">H14+(INDEX(Assumptions!$C$25:$E$25,H$9)*(1-(INDEX(Assumptions!$C$27:$E$27,$B$3)+INDEX(Assumptions!$C$28:$E$28,$B$3)+INDEX(Assumptions!$C$31:$E$31,$B$3)))-H14)*MIN(1,(6-1)/6)*$N$4</f>
        <v>2.25</v>
      </c>
      <c r="I15" s="16" t="n">
        <f aca="false">I14+(INDEX(Assumptions!$C$25:$E$25,I$9)*(1-(INDEX(Assumptions!$C$27:$E$27,$B$3)+INDEX(Assumptions!$C$28:$E$28,$B$3)+INDEX(Assumptions!$C$31:$E$31,$B$3)))-I14)*MIN(1,(7-1)/6)*$N$4</f>
        <v>2.4</v>
      </c>
      <c r="J15" s="16" t="n">
        <f aca="false">J14+(INDEX(Assumptions!$C$25:$E$25,J$9)*(1-(INDEX(Assumptions!$C$27:$E$27,$B$3)+INDEX(Assumptions!$C$28:$E$28,$B$3)+INDEX(Assumptions!$C$31:$E$31,$B$3)))-J14)*MIN(1,(8-1)/6)*$N$4</f>
        <v>2.4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27.25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2.4</v>
      </c>
      <c r="H16" s="16" t="n">
        <f aca="false">INDEX(Assumptions!$C$25:$E$25,H$9)*(INDEX(Assumptions!$C$27:$E$27,$B$3)+INDEX(Assumptions!$C$28:$E$28,$B$3)+INDEX(Assumptions!$C$31:$E$31,$B$3))*MIN(1,(6-1)/6)</f>
        <v>3</v>
      </c>
      <c r="I16" s="16" t="n">
        <f aca="false">INDEX(Assumptions!$C$25:$E$25,I$9)*(INDEX(Assumptions!$C$27:$E$27,$B$3)+INDEX(Assumptions!$C$28:$E$28,$B$3)+INDEX(Assumptions!$C$31:$E$31,$B$3))*MIN(1,(7-1)/6)</f>
        <v>3.6</v>
      </c>
      <c r="J16" s="16" t="n">
        <f aca="false">INDEX(Assumptions!$C$25:$E$25,J$9)*(INDEX(Assumptions!$C$27:$E$27,$B$3)+INDEX(Assumptions!$C$28:$E$28,$B$3)+INDEX(Assumptions!$C$31:$E$31,$B$3))*MIN(1,(8-1)/6)</f>
        <v>3.6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33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1.5</v>
      </c>
      <c r="D17" s="16" t="n">
        <f aca="false">D15+D16</f>
        <v>2.91666666666667</v>
      </c>
      <c r="E17" s="16" t="n">
        <f aca="false">E15+E16</f>
        <v>4.33333333333333</v>
      </c>
      <c r="F17" s="16" t="n">
        <f aca="false">F15+F16</f>
        <v>5.75</v>
      </c>
      <c r="G17" s="16" t="n">
        <f aca="false">G15+G16</f>
        <v>4.5</v>
      </c>
      <c r="H17" s="16" t="n">
        <f aca="false">H15+H16</f>
        <v>5.25</v>
      </c>
      <c r="I17" s="16" t="n">
        <f aca="false">I15+I16</f>
        <v>6</v>
      </c>
      <c r="J17" s="16" t="n">
        <f aca="false">J15+J16</f>
        <v>6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60.25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40000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40000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40000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40000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40000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40000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40000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40000</v>
      </c>
      <c r="O18" s="40" t="n">
        <f aca="false">SUM(C18:N18)</f>
        <v>440000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0.916666666666667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0.260395683453237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0.694388489208633</v>
      </c>
      <c r="F21" s="16" t="n">
        <f aca="false">F18*INDEX(Assumptions!$C$119:$E$119,$B$3)/F19</f>
        <v>0.867985611510791</v>
      </c>
      <c r="G21" s="16" t="n">
        <f aca="false">G18*INDEX(Assumptions!$C$119:$E$119,$B$3)/G19</f>
        <v>0.694388489208633</v>
      </c>
      <c r="H21" s="16" t="n">
        <f aca="false">H18*INDEX(Assumptions!$C$119:$E$119,$B$3)/H19</f>
        <v>0.694388489208633</v>
      </c>
      <c r="I21" s="16" t="n">
        <f aca="false">I18*INDEX(Assumptions!$C$119:$E$119,$B$3)/I19</f>
        <v>0.694388489208633</v>
      </c>
      <c r="J21" s="16" t="n">
        <f aca="false">J18*INDEX(Assumptions!$C$119:$E$119,$B$3)/J19</f>
        <v>0.694388489208633</v>
      </c>
      <c r="K21" s="16" t="n">
        <f aca="false">K18*INDEX(Assumptions!$C$119:$E$119,$B$3)/K19</f>
        <v>0.694388489208633</v>
      </c>
      <c r="L21" s="16" t="n">
        <f aca="false">L18*INDEX(Assumptions!$C$119:$E$119,$B$3)/L19</f>
        <v>0.694388489208633</v>
      </c>
      <c r="M21" s="16" t="n">
        <f aca="false">M18*INDEX(Assumptions!$C$119:$E$119,$B$3)/M19</f>
        <v>0.694388489208633</v>
      </c>
      <c r="N21" s="16" t="n">
        <f aca="false">N18*INDEX(Assumptions!$C$119:$E$119,$B$3)/N19</f>
        <v>0.694388489208633</v>
      </c>
      <c r="O21" s="38" t="n">
        <f aca="false">SUM(C21:N21)</f>
        <v>7.63827338129497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1.37889838129496</v>
      </c>
      <c r="E24" s="38" t="n">
        <f aca="false">E10*(E14*$F$3+(E15-E14)*$F$3*E20+MIN(E16,E21*E20))*E22*E23</f>
        <v>2.11940527577938</v>
      </c>
      <c r="F24" s="38" t="n">
        <f aca="false">F10*(F14*$F$3+(F15-F14)*$F$3*F20+MIN(F16,F21*F20))*F22*F23</f>
        <v>2.89438848920863</v>
      </c>
      <c r="G24" s="38" t="n">
        <f aca="false">G10*(G14*$F$3+(G15-G14)*$F$3*G20+MIN(G16,G21*G20))*G22*G23</f>
        <v>2.51494964028777</v>
      </c>
      <c r="H24" s="38" t="n">
        <f aca="false">H10*(H14*$F$3+(H15-H14)*$F$3*H20+MIN(H16,H21*H20))*H22*H23</f>
        <v>2.94438848920863</v>
      </c>
      <c r="I24" s="38" t="n">
        <f aca="false">I10*(I14*$F$3+(I15-I14)*$F$3*I20+MIN(I16,I21*I20))*I22*I23</f>
        <v>4.02270503597122</v>
      </c>
      <c r="J24" s="38" t="n">
        <f aca="false">J10*(J14*$F$3+(J15-J14)*$F$3*J20+MIN(J16,J21*J20))*J22*J23</f>
        <v>4.17742446043166</v>
      </c>
      <c r="K24" s="38" t="n">
        <f aca="false">K10*(K14*$F$3+(K15-K14)*$F$3*K20+MIN(K16,K21*K20))*K22*K23</f>
        <v>3.86798561151079</v>
      </c>
      <c r="L24" s="38" t="n">
        <f aca="false">L10*(L14*$F$3+(L15-L14)*$F$3*L20+MIN(L16,L21*L20))*L22*L23</f>
        <v>3.4038273381295</v>
      </c>
      <c r="M24" s="38" t="n">
        <f aca="false">M10*(M14*$F$3+(M15-M14)*$F$3*M20+MIN(M16,M21*M20))*M22*M23</f>
        <v>3.24910791366907</v>
      </c>
      <c r="N24" s="38" t="n">
        <f aca="false">N10*(N14*$F$3+(N15-N14)*$F$3*N20+MIN(N16,N21*N20))*N22*N23</f>
        <v>3.09438848920863</v>
      </c>
      <c r="O24" s="17" t="n">
        <f aca="false">SUM(C24:N24)</f>
        <v>34.8674691247002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18</v>
      </c>
      <c r="M27" s="6" t="n">
        <f aca="false">M25*M26*INDEX(Assumptions!$C$220:$E$220,$B$3)</f>
        <v>18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1.43944919064748</v>
      </c>
      <c r="F31" s="6" t="n">
        <f aca="false">E34+D34+E37+D37+1.25*E35</f>
        <v>2.07151412619904</v>
      </c>
      <c r="G31" s="6" t="n">
        <f aca="false">F34+E34+F37+E37+1.25*F35</f>
        <v>2.9441848396283</v>
      </c>
      <c r="H31" s="6" t="n">
        <f aca="false">G34+F34+G37+F37+1.25*G35</f>
        <v>3.3313932853717</v>
      </c>
      <c r="I31" s="6" t="n">
        <f aca="false">H34+G34+H37+G37+1.25*H35</f>
        <v>3.40583633093525</v>
      </c>
      <c r="J31" s="6" t="n">
        <f aca="false">I34+H34+I37+H37+1.25*I35</f>
        <v>4.16596402877698</v>
      </c>
      <c r="K31" s="6" t="n">
        <f aca="false">J34+I34+J37+I37+1.25*J35</f>
        <v>4.97095143884892</v>
      </c>
      <c r="L31" s="6" t="n">
        <f aca="false">K34+J34+K37+J37+1.25*K35</f>
        <v>5.04772122302158</v>
      </c>
      <c r="M31" s="6" t="n">
        <f aca="false">L34+K34+L37+K37+1.25*L35</f>
        <v>4.64158273381295</v>
      </c>
      <c r="N31" s="6" t="n">
        <f aca="false">M34+L34+M37+L37+1.25*M35</f>
        <v>4.23544424460432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1.52889838129496</v>
      </c>
      <c r="E32" s="6" t="n">
        <f aca="false">E24*(INDEX(Assumptions!$C$26:$E$26,$B$3)*(1-E28)+(1-INDEX(Assumptions!$C$26:$E$26,$B$3)))+1.25*E30+D36*INDEX(Assumptions!$C$89:$E$89,$B$3)</f>
        <v>2.29176757344125</v>
      </c>
      <c r="F32" s="6" t="n">
        <f aca="false">F24*(INDEX(Assumptions!$C$26:$E$26,$B$3)*(1-F28)+(1-INDEX(Assumptions!$C$26:$E$26,$B$3)))+1.25*F30+E36*INDEX(Assumptions!$C$89:$E$89,$B$3)</f>
        <v>3.15931414868106</v>
      </c>
      <c r="G32" s="6" t="n">
        <f aca="false">G24*(INDEX(Assumptions!$C$26:$E$26,$B$3)*(1-G28)+(1-INDEX(Assumptions!$C$26:$E$26,$B$3)))+1.25*G30+F36*INDEX(Assumptions!$C$89:$E$89,$B$3)</f>
        <v>2.87674820143885</v>
      </c>
      <c r="H32" s="6" t="n">
        <f aca="false">H24*(INDEX(Assumptions!$C$26:$E$26,$B$3)*(1-H28)+(1-INDEX(Assumptions!$C$26:$E$26,$B$3)))+1.25*H30+G36*INDEX(Assumptions!$C$89:$E$89,$B$3)</f>
        <v>3.25875719424461</v>
      </c>
      <c r="I32" s="6" t="n">
        <f aca="false">I24*(INDEX(Assumptions!$C$26:$E$26,$B$3)*(1-I28)+(1-INDEX(Assumptions!$C$26:$E$26,$B$3)))+1.25*I30+H36*INDEX(Assumptions!$C$89:$E$89,$B$3)</f>
        <v>4.3907535971223</v>
      </c>
      <c r="J32" s="6" t="n">
        <f aca="false">J24*(INDEX(Assumptions!$C$26:$E$26,$B$3)*(1-J28)+(1-INDEX(Assumptions!$C$26:$E$26,$B$3)))+1.25*J30+I36*INDEX(Assumptions!$C$89:$E$89,$B$3)</f>
        <v>4.68026258992806</v>
      </c>
      <c r="K32" s="6" t="n">
        <f aca="false">K24*(INDEX(Assumptions!$C$26:$E$26,$B$3)*(1-K28)+(1-INDEX(Assumptions!$C$26:$E$26,$B$3)))+1.25*K30+J36*INDEX(Assumptions!$C$89:$E$89,$B$3)</f>
        <v>4.39016366906475</v>
      </c>
      <c r="L32" s="6" t="n">
        <f aca="false">L24*(INDEX(Assumptions!$C$26:$E$26,$B$3)*(1-L28)+(1-INDEX(Assumptions!$C$26:$E$26,$B$3)))+1.25*L30+K36*INDEX(Assumptions!$C$89:$E$89,$B$3)</f>
        <v>3.88732553956835</v>
      </c>
      <c r="M32" s="6" t="n">
        <f aca="false">M24*(INDEX(Assumptions!$C$26:$E$26,$B$3)*(1-M28)+(1-INDEX(Assumptions!$C$26:$E$26,$B$3)))+1.25*M30+L36*INDEX(Assumptions!$C$89:$E$89,$B$3)</f>
        <v>3.67458633093525</v>
      </c>
      <c r="N32" s="6" t="n">
        <f aca="false">N24*(INDEX(Assumptions!$C$26:$E$26,$B$3)*(1-N28)+(1-INDEX(Assumptions!$C$26:$E$26,$B$3)))+1.25*N30+M36*INDEX(Assumptions!$C$89:$E$89,$B$3)</f>
        <v>3.50052697841727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0.689449190647482</v>
      </c>
      <c r="E34" s="38" t="n">
        <f aca="false">E24*INDEX(Assumptions!$C$26:$E$26,$B$3)*(1-E28)*E33</f>
        <v>1.05970263788969</v>
      </c>
      <c r="F34" s="38" t="n">
        <f aca="false">F24*INDEX(Assumptions!$C$26:$E$26,$B$3)*(1-F28)*F33</f>
        <v>1.44719424460432</v>
      </c>
      <c r="G34" s="38" t="n">
        <f aca="false">G24*INDEX(Assumptions!$C$26:$E$26,$B$3)*(1-G28)*G33</f>
        <v>1.25747482014389</v>
      </c>
      <c r="H34" s="38" t="n">
        <f aca="false">H24*INDEX(Assumptions!$C$26:$E$26,$B$3)*(1-H28)*H33</f>
        <v>1.47219424460432</v>
      </c>
      <c r="I34" s="38" t="n">
        <f aca="false">I24*INDEX(Assumptions!$C$26:$E$26,$B$3)*(1-I28)*I33</f>
        <v>2.01135251798561</v>
      </c>
      <c r="J34" s="38" t="n">
        <f aca="false">J24*INDEX(Assumptions!$C$26:$E$26,$B$3)*(1-J28)*J33</f>
        <v>2.08871223021583</v>
      </c>
      <c r="K34" s="38" t="n">
        <f aca="false">K24*INDEX(Assumptions!$C$26:$E$26,$B$3)*(1-K28)*K33</f>
        <v>1.9339928057554</v>
      </c>
      <c r="L34" s="38" t="n">
        <f aca="false">L24*INDEX(Assumptions!$C$26:$E$26,$B$3)*(1-L28)*L33</f>
        <v>1.70191366906475</v>
      </c>
      <c r="M34" s="38" t="n">
        <f aca="false">M24*INDEX(Assumptions!$C$26:$E$26,$B$3)*(1-M28)*M33</f>
        <v>1.62455395683453</v>
      </c>
      <c r="N34" s="38" t="n">
        <f aca="false">N24*INDEX(Assumptions!$C$26:$E$26,$B$3)*(1-N28)*N33</f>
        <v>1.54719424460432</v>
      </c>
      <c r="O34" s="17" t="n">
        <f aca="false">SUM(C34:N34)</f>
        <v>17.4337345623501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0.6</v>
      </c>
      <c r="D36" s="16" t="n">
        <f aca="false">D24*(1-INDEX(Assumptions!$C$26:$E$26,$B$3))*D33</f>
        <v>0.689449190647482</v>
      </c>
      <c r="E36" s="16" t="n">
        <f aca="false">E24*(1-INDEX(Assumptions!$C$26:$E$26,$B$3))*E33</f>
        <v>1.05970263788969</v>
      </c>
      <c r="F36" s="16" t="n">
        <f aca="false">F24*(1-INDEX(Assumptions!$C$26:$E$26,$B$3))*F33</f>
        <v>1.44719424460432</v>
      </c>
      <c r="G36" s="16" t="n">
        <f aca="false">G24*(1-INDEX(Assumptions!$C$26:$E$26,$B$3))*G33</f>
        <v>1.25747482014389</v>
      </c>
      <c r="H36" s="16" t="n">
        <f aca="false">H24*(1-INDEX(Assumptions!$C$26:$E$26,$B$3))*H33</f>
        <v>1.47219424460432</v>
      </c>
      <c r="I36" s="16" t="n">
        <f aca="false">I24*(1-INDEX(Assumptions!$C$26:$E$26,$B$3))*I33</f>
        <v>2.01135251798561</v>
      </c>
      <c r="J36" s="16" t="n">
        <f aca="false">J24*(1-INDEX(Assumptions!$C$26:$E$26,$B$3))*J33</f>
        <v>2.08871223021583</v>
      </c>
      <c r="K36" s="16" t="n">
        <f aca="false">K24*(1-INDEX(Assumptions!$C$26:$E$26,$B$3))*K33</f>
        <v>1.9339928057554</v>
      </c>
      <c r="L36" s="16" t="n">
        <f aca="false">L24*(1-INDEX(Assumptions!$C$26:$E$26,$B$3))*L33</f>
        <v>1.70191366906475</v>
      </c>
      <c r="M36" s="16" t="n">
        <f aca="false">M24*(1-INDEX(Assumptions!$C$26:$E$26,$B$3))*M33</f>
        <v>1.62455395683453</v>
      </c>
      <c r="N36" s="16" t="n">
        <f aca="false">N24*(1-INDEX(Assumptions!$C$26:$E$26,$B$3))*N33</f>
        <v>1.54719424460432</v>
      </c>
      <c r="O36" s="38" t="n">
        <f aca="false">SUM(C36:N36)</f>
        <v>17.4337345623501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0.172362297661871</v>
      </c>
      <c r="F37" s="16" t="n">
        <f aca="false">E36*INDEX(Assumptions!$C$89:$E$89,$B$3)*F33</f>
        <v>0.264925659472422</v>
      </c>
      <c r="G37" s="16" t="n">
        <f aca="false">F36*INDEX(Assumptions!$C$89:$E$89,$B$3)*G33</f>
        <v>0.361798561151079</v>
      </c>
      <c r="H37" s="16" t="n">
        <f aca="false">G36*INDEX(Assumptions!$C$89:$E$89,$B$3)*H33</f>
        <v>0.314368705035971</v>
      </c>
      <c r="I37" s="16" t="n">
        <f aca="false">H36*INDEX(Assumptions!$C$89:$E$89,$B$3)*I33</f>
        <v>0.368048561151079</v>
      </c>
      <c r="J37" s="16" t="n">
        <f aca="false">I36*INDEX(Assumptions!$C$89:$E$89,$B$3)*J33</f>
        <v>0.502838129496403</v>
      </c>
      <c r="K37" s="16" t="n">
        <f aca="false">J36*INDEX(Assumptions!$C$89:$E$89,$B$3)*K33</f>
        <v>0.522178057553957</v>
      </c>
      <c r="L37" s="16" t="n">
        <f aca="false">K36*INDEX(Assumptions!$C$89:$E$89,$B$3)*L33</f>
        <v>0.483498201438849</v>
      </c>
      <c r="M37" s="16" t="n">
        <f aca="false">L36*INDEX(Assumptions!$C$89:$E$89,$B$3)*M33</f>
        <v>0.425478417266187</v>
      </c>
      <c r="N37" s="16" t="n">
        <f aca="false">M36*INDEX(Assumptions!$C$89:$E$89,$B$3)*N33</f>
        <v>0.406138489208633</v>
      </c>
      <c r="O37" s="38" t="n">
        <f aca="false">SUM(C37:N37)</f>
        <v>3.97163507943645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1.2</v>
      </c>
      <c r="D38" s="38" t="n">
        <f aca="false">D34+D35+D36</f>
        <v>1.37889838129496</v>
      </c>
      <c r="E38" s="38" t="n">
        <f aca="false">E34+E35+E36</f>
        <v>2.11940527577938</v>
      </c>
      <c r="F38" s="38" t="n">
        <f aca="false">F34+F35+F36</f>
        <v>2.89438848920863</v>
      </c>
      <c r="G38" s="38" t="n">
        <f aca="false">G34+G35+G36</f>
        <v>2.51494964028777</v>
      </c>
      <c r="H38" s="38" t="n">
        <f aca="false">H34+H35+H36</f>
        <v>2.94438848920863</v>
      </c>
      <c r="I38" s="38" t="n">
        <f aca="false">I34+I35+I36</f>
        <v>4.02270503597122</v>
      </c>
      <c r="J38" s="38" t="n">
        <f aca="false">J34+J35+J36</f>
        <v>4.17742446043166</v>
      </c>
      <c r="K38" s="38" t="n">
        <f aca="false">K34+K35+K36</f>
        <v>3.86798561151079</v>
      </c>
      <c r="L38" s="38" t="n">
        <f aca="false">L34+L35+L36</f>
        <v>3.4038273381295</v>
      </c>
      <c r="M38" s="38" t="n">
        <f aca="false">M34+M35+M36</f>
        <v>3.24910791366907</v>
      </c>
      <c r="N38" s="38" t="n">
        <f aca="false">N34+N35+N36</f>
        <v>3.09438848920863</v>
      </c>
      <c r="O38" s="17" t="n">
        <f aca="false">SUM(C38:N38)</f>
        <v>34.8674691247002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1.37889838129496</v>
      </c>
      <c r="E39" s="16" t="n">
        <f aca="false">IF(3&lt;IF($Q$3=1,$Q$4+1,INDEX(Assumptions!$C$215:$E$215,$D$3)),E24,E38)</f>
        <v>2.11940527577938</v>
      </c>
      <c r="F39" s="16" t="n">
        <f aca="false">IF(4&lt;IF($Q$3=1,$Q$4+1,INDEX(Assumptions!$C$215:$E$215,$D$3)),F24,F38)</f>
        <v>2.89438848920863</v>
      </c>
      <c r="G39" s="16" t="n">
        <f aca="false">IF(5&lt;IF($Q$3=1,$Q$4+1,INDEX(Assumptions!$C$215:$E$215,$D$3)),G24,G38)</f>
        <v>2.51494964028777</v>
      </c>
      <c r="H39" s="16" t="n">
        <f aca="false">IF(6&lt;IF($Q$3=1,$Q$4+1,INDEX(Assumptions!$C$215:$E$215,$D$3)),H24,H38)</f>
        <v>2.94438848920863</v>
      </c>
      <c r="I39" s="16" t="n">
        <f aca="false">IF(7&lt;IF($Q$3=1,$Q$4+1,INDEX(Assumptions!$C$215:$E$215,$D$3)),I24,I38)</f>
        <v>4.02270503597122</v>
      </c>
      <c r="J39" s="16" t="n">
        <f aca="false">IF(8&lt;IF($Q$3=1,$Q$4+1,INDEX(Assumptions!$C$215:$E$215,$D$3)),J24,J38)</f>
        <v>4.17742446043166</v>
      </c>
      <c r="K39" s="16" t="n">
        <f aca="false">IF(9&lt;IF($Q$3=1,$Q$4+1,INDEX(Assumptions!$C$215:$E$215,$D$3)),K24,K38)</f>
        <v>3.86798561151079</v>
      </c>
      <c r="L39" s="16" t="n">
        <f aca="false">IF(10&lt;IF($Q$3=1,$Q$4+1,INDEX(Assumptions!$C$215:$E$215,$D$3)),L24,L38)</f>
        <v>3.4038273381295</v>
      </c>
      <c r="M39" s="16" t="n">
        <f aca="false">IF(11&lt;IF($Q$3=1,$Q$4+1,INDEX(Assumptions!$C$215:$E$215,$D$3)),M24,M38)</f>
        <v>3.24910791366907</v>
      </c>
      <c r="N39" s="16" t="n">
        <f aca="false">IF(12&lt;IF($Q$3=1,$Q$4+1,INDEX(Assumptions!$C$215:$E$215,$D$3)),N24,N38)</f>
        <v>3.09438848920863</v>
      </c>
      <c r="O39" s="38" t="n">
        <f aca="false">SUM(C39:N39)</f>
        <v>34.8674691247002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0.18</v>
      </c>
      <c r="D40" s="16" t="n">
        <f aca="false">D38*INDEX(Assumptions!$C$74:$E$74,$B$3)</f>
        <v>0.206834757194245</v>
      </c>
      <c r="E40" s="16" t="n">
        <f aca="false">E38*INDEX(Assumptions!$C$74:$E$74,$B$3)</f>
        <v>0.317910791366906</v>
      </c>
      <c r="F40" s="16" t="n">
        <f aca="false">F38*INDEX(Assumptions!$C$74:$E$74,$B$3)</f>
        <v>0.434158273381295</v>
      </c>
      <c r="G40" s="16" t="n">
        <f aca="false">G38*INDEX(Assumptions!$C$74:$E$74,$B$3)</f>
        <v>0.377242446043166</v>
      </c>
      <c r="H40" s="16" t="n">
        <f aca="false">H38*INDEX(Assumptions!$C$74:$E$74,$B$3)</f>
        <v>0.441658273381295</v>
      </c>
      <c r="I40" s="16" t="n">
        <f aca="false">I38*INDEX(Assumptions!$C$74:$E$74,$B$3)</f>
        <v>0.603405755395684</v>
      </c>
      <c r="J40" s="16" t="n">
        <f aca="false">J38*INDEX(Assumptions!$C$74:$E$74,$B$3)</f>
        <v>0.626613669064748</v>
      </c>
      <c r="K40" s="16" t="n">
        <f aca="false">K38*INDEX(Assumptions!$C$74:$E$74,$B$3)</f>
        <v>0.580197841726619</v>
      </c>
      <c r="L40" s="16" t="n">
        <f aca="false">L38*INDEX(Assumptions!$C$74:$E$74,$B$3)</f>
        <v>0.510574100719425</v>
      </c>
      <c r="M40" s="16" t="n">
        <f aca="false">M38*INDEX(Assumptions!$C$74:$E$74,$B$3)</f>
        <v>0.48736618705036</v>
      </c>
      <c r="N40" s="16" t="n">
        <f aca="false">N38*INDEX(Assumptions!$C$74:$E$74,$B$3)</f>
        <v>0.464158273381295</v>
      </c>
      <c r="O40" s="38" t="n">
        <f aca="false">SUM(C40:N40)</f>
        <v>5.23012036870504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0.486071942446043</v>
      </c>
      <c r="F41" s="16" t="n">
        <f aca="false">F10*MIN(F16,F21*F20)*F22*F23*F33</f>
        <v>0.694388489208633</v>
      </c>
      <c r="G41" s="16" t="n">
        <f aca="false">G10*MIN(G16,G21*G20)*G22*G23*G33</f>
        <v>0.62494964028777</v>
      </c>
      <c r="H41" s="16" t="n">
        <f aca="false">H10*MIN(H16,H21*H20)*H22*H23*H33</f>
        <v>0.694388489208633</v>
      </c>
      <c r="I41" s="16" t="n">
        <f aca="false">I10*MIN(I16,I21*I20)*I22*I23*I33</f>
        <v>0.902705035971223</v>
      </c>
      <c r="J41" s="16" t="n">
        <f aca="false">J10*MIN(J16,J21*J20)*J22*J23*J33</f>
        <v>0.937424460431655</v>
      </c>
      <c r="K41" s="16" t="n">
        <f aca="false">K10*MIN(K16,K21*K20)*K22*K23*K33</f>
        <v>0.867985611510792</v>
      </c>
      <c r="L41" s="16" t="n">
        <f aca="false">L10*MIN(L16,L21*L20)*L22*L23*L33</f>
        <v>0.763827338129497</v>
      </c>
      <c r="M41" s="16" t="n">
        <f aca="false">M10*MIN(M16,M21*M20)*M22*M23*M33</f>
        <v>0.729107913669065</v>
      </c>
      <c r="N41" s="16" t="n">
        <f aca="false">N10*MIN(N16,N21*N20)*N22*N23*N33</f>
        <v>0.694388489208633</v>
      </c>
      <c r="O41" s="38" t="n">
        <f aca="false">SUM(C41:N41)</f>
        <v>7.49288579136691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1.2</v>
      </c>
      <c r="D42" s="6" t="n">
        <f aca="false">D31+D34+D37+D36+1.25*D35</f>
        <v>2.12889838129496</v>
      </c>
      <c r="E42" s="6" t="n">
        <f aca="false">E31+E34+E37+E36+1.25*E35</f>
        <v>3.73121676408873</v>
      </c>
      <c r="F42" s="6" t="n">
        <f aca="false">F31+F34+F37+F36+1.25*F35</f>
        <v>5.2308282748801</v>
      </c>
      <c r="G42" s="6" t="n">
        <f aca="false">G31+G34+G37+G36+1.25*G35</f>
        <v>5.82093304106715</v>
      </c>
      <c r="H42" s="6" t="n">
        <f aca="false">H31+H34+H37+H36+1.25*H35</f>
        <v>6.59015047961631</v>
      </c>
      <c r="I42" s="6" t="n">
        <f aca="false">I31+I34+I37+I36+1.25*I35</f>
        <v>7.79658992805756</v>
      </c>
      <c r="J42" s="6" t="n">
        <f aca="false">J31+J34+J37+J36+1.25*J35</f>
        <v>8.84622661870504</v>
      </c>
      <c r="K42" s="6" t="n">
        <f aca="false">K31+K34+K37+K36+1.25*K35</f>
        <v>9.36111510791367</v>
      </c>
      <c r="L42" s="6" t="n">
        <f aca="false">L31+L34+L37+L36+1.25*L35</f>
        <v>8.93504676258993</v>
      </c>
      <c r="M42" s="6" t="n">
        <f aca="false">M31+M34+M37+M36+1.25*M35</f>
        <v>8.3161690647482</v>
      </c>
      <c r="N42" s="6" t="n">
        <f aca="false">N31+N34+N37+N36+1.25*N35</f>
        <v>7.73597122302158</v>
      </c>
      <c r="O42" s="41" t="n">
        <f aca="false">AVERAGE(C42:N42)</f>
        <v>6.30776213716527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0.075</v>
      </c>
      <c r="D43" s="39" t="n">
        <f aca="false">D42/(D25*D26)</f>
        <v>0.133056148830935</v>
      </c>
      <c r="E43" s="39" t="n">
        <f aca="false">E42/(E25*E26)</f>
        <v>0.233201047755546</v>
      </c>
      <c r="F43" s="39" t="n">
        <f aca="false">F42/(F25*F26)</f>
        <v>0.326926767180006</v>
      </c>
      <c r="G43" s="39" t="n">
        <f aca="false">G42/(G25*G26)</f>
        <v>0.291046652053357</v>
      </c>
      <c r="H43" s="39" t="n">
        <f aca="false">H42/(H25*H26)</f>
        <v>0.329507523980815</v>
      </c>
      <c r="I43" s="39" t="n">
        <f aca="false">I42/(I25*I26)</f>
        <v>0.389829496402878</v>
      </c>
      <c r="J43" s="39" t="n">
        <f aca="false">J42/(J25*J26)</f>
        <v>0.442311330935252</v>
      </c>
      <c r="K43" s="39" t="n">
        <f aca="false">K42/(K25*K26)</f>
        <v>0.468055755395684</v>
      </c>
      <c r="L43" s="39" t="n">
        <f aca="false">L42/(L25*L26)</f>
        <v>0.446752338129496</v>
      </c>
      <c r="M43" s="39" t="n">
        <f aca="false">M42/(M25*M26)</f>
        <v>0.41580845323741</v>
      </c>
      <c r="N43" s="39" t="n">
        <f aca="false">N42/(N25*N26)</f>
        <v>0.386798561151079</v>
      </c>
      <c r="O43" s="9" t="n">
        <f aca="false">N43</f>
        <v>0.386798561151079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</v>
      </c>
      <c r="F46" s="6" t="n">
        <f aca="false">IF(4&gt;=3,INDEX(Assumptions!$C$234:$E$234,F$9)*INDEX(Assumptions!$C$235:$E$235,$B$3)*MIN(1,(4-2)/6),0)*$F$3*F22*$W$3</f>
        <v>6</v>
      </c>
      <c r="G46" s="6" t="n">
        <f aca="false">IF(5&gt;=3,INDEX(Assumptions!$C$234:$E$234,G$9)*INDEX(Assumptions!$C$235:$E$235,$B$3)*MIN(1,(5-2)/6),0)*$F$3*G22*$W$3</f>
        <v>4.5</v>
      </c>
      <c r="H46" s="6" t="n">
        <f aca="false">IF(6&gt;=3,INDEX(Assumptions!$C$234:$E$234,H$9)*INDEX(Assumptions!$C$235:$E$235,$B$3)*MIN(1,(6-2)/6),0)*$F$3*H22*$W$3</f>
        <v>6</v>
      </c>
      <c r="I46" s="6" t="n">
        <f aca="false">IF(7&gt;=3,INDEX(Assumptions!$C$234:$E$234,I$9)*INDEX(Assumptions!$C$235:$E$235,$B$3)*MIN(1,(7-2)/6),0)*$F$3*I22*$W$3</f>
        <v>7.5</v>
      </c>
      <c r="J46" s="6" t="n">
        <f aca="false">IF(8&gt;=3,INDEX(Assumptions!$C$234:$E$234,J$9)*INDEX(Assumptions!$C$235:$E$235,$B$3)*MIN(1,(8-2)/6),0)*$F$3*J22*$W$3</f>
        <v>9</v>
      </c>
      <c r="K46" s="6" t="n">
        <f aca="false">IF(9&gt;=3,INDEX(Assumptions!$C$234:$E$234,K$9)*INDEX(Assumptions!$C$235:$E$235,$B$3)*MIN(1,(9-2)/6),0)*$F$3*K22*$W$3</f>
        <v>9</v>
      </c>
      <c r="L46" s="6" t="n">
        <f aca="false">IF(10&gt;=3,INDEX(Assumptions!$C$234:$E$234,L$9)*INDEX(Assumptions!$C$235:$E$235,$B$3)*MIN(1,(10-2)/6),0)*$F$3*L22*$W$3</f>
        <v>9</v>
      </c>
      <c r="M46" s="6" t="n">
        <f aca="false">IF(11&gt;=3,INDEX(Assumptions!$C$234:$E$234,M$9)*INDEX(Assumptions!$C$235:$E$235,$B$3)*MIN(1,(11-2)/6),0)*$F$3*M22*$W$3</f>
        <v>9</v>
      </c>
      <c r="N46" s="6" t="n">
        <f aca="false">IF(12&gt;=3,INDEX(Assumptions!$C$234:$E$234,N$9)*INDEX(Assumptions!$C$235:$E$235,$B$3)*MIN(1,(12-2)/6),0)*$F$3*N22*$W$3</f>
        <v>9</v>
      </c>
      <c r="O46" s="41" t="n">
        <f aca="false">SUM(C46:N46)</f>
        <v>72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9</v>
      </c>
      <c r="H47" s="6" t="n">
        <f aca="false">INDEX(Assumptions!$C$236:$E$236,H$9)*H11*MIN(1,6/3)*$F$3*H22</f>
        <v>8</v>
      </c>
      <c r="I47" s="6" t="n">
        <f aca="false">INDEX(Assumptions!$C$236:$E$236,I$9)*I11*MIN(1,7/3)*$F$3*I22</f>
        <v>7</v>
      </c>
      <c r="J47" s="6" t="n">
        <f aca="false">INDEX(Assumptions!$C$236:$E$236,J$9)*J11*MIN(1,8/3)*$F$3*J22</f>
        <v>6</v>
      </c>
      <c r="K47" s="6" t="n">
        <f aca="false">INDEX(Assumptions!$C$236:$E$236,K$9)*K11*MIN(1,9/3)*$F$3*K22</f>
        <v>6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125.5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2.29816396882494</v>
      </c>
      <c r="E48" s="6" t="n">
        <f aca="false">E24*INDEX(Assumptions!$C$31:$E$31,$B$3)/(INDEX(Assumptions!$C$56:$E$56,$B$3)*INDEX(Assumptions!$C$57:$E$57,$B$3)*INDEX(Assumptions!$C$58:$E$58,$B$3))</f>
        <v>3.53234212629896</v>
      </c>
      <c r="F48" s="6" t="n">
        <f aca="false">F24*INDEX(Assumptions!$C$31:$E$31,$B$3)/(INDEX(Assumptions!$C$56:$E$56,$B$3)*INDEX(Assumptions!$C$57:$E$57,$B$3)*INDEX(Assumptions!$C$58:$E$58,$B$3))</f>
        <v>4.82398081534772</v>
      </c>
      <c r="G48" s="6" t="n">
        <f aca="false">G24*INDEX(Assumptions!$C$31:$E$31,$B$3)/(INDEX(Assumptions!$C$56:$E$56,$B$3)*INDEX(Assumptions!$C$57:$E$57,$B$3)*INDEX(Assumptions!$C$58:$E$58,$B$3))</f>
        <v>4.19158273381295</v>
      </c>
      <c r="H48" s="6" t="n">
        <f aca="false">H24*INDEX(Assumptions!$C$31:$E$31,$B$3)/(INDEX(Assumptions!$C$56:$E$56,$B$3)*INDEX(Assumptions!$C$57:$E$57,$B$3)*INDEX(Assumptions!$C$58:$E$58,$B$3))</f>
        <v>4.90731414868106</v>
      </c>
      <c r="I48" s="6" t="n">
        <f aca="false">I24*INDEX(Assumptions!$C$31:$E$31,$B$3)/(INDEX(Assumptions!$C$56:$E$56,$B$3)*INDEX(Assumptions!$C$57:$E$57,$B$3)*INDEX(Assumptions!$C$58:$E$58,$B$3))</f>
        <v>6.70450839328537</v>
      </c>
      <c r="J48" s="6" t="n">
        <f aca="false">J24*INDEX(Assumptions!$C$31:$E$31,$B$3)/(INDEX(Assumptions!$C$56:$E$56,$B$3)*INDEX(Assumptions!$C$57:$E$57,$B$3)*INDEX(Assumptions!$C$58:$E$58,$B$3))</f>
        <v>6.96237410071943</v>
      </c>
      <c r="K48" s="6" t="n">
        <f aca="false">K24*INDEX(Assumptions!$C$31:$E$31,$B$3)/(INDEX(Assumptions!$C$56:$E$56,$B$3)*INDEX(Assumptions!$C$57:$E$57,$B$3)*INDEX(Assumptions!$C$58:$E$58,$B$3))</f>
        <v>6.44664268585132</v>
      </c>
      <c r="L48" s="6" t="n">
        <f aca="false">L24*INDEX(Assumptions!$C$31:$E$31,$B$3)/(INDEX(Assumptions!$C$56:$E$56,$B$3)*INDEX(Assumptions!$C$57:$E$57,$B$3)*INDEX(Assumptions!$C$58:$E$58,$B$3))</f>
        <v>5.67304556354916</v>
      </c>
      <c r="M48" s="6" t="n">
        <f aca="false">M24*INDEX(Assumptions!$C$31:$E$31,$B$3)/(INDEX(Assumptions!$C$56:$E$56,$B$3)*INDEX(Assumptions!$C$57:$E$57,$B$3)*INDEX(Assumptions!$C$58:$E$58,$B$3))</f>
        <v>5.41517985611511</v>
      </c>
      <c r="N48" s="6" t="n">
        <f aca="false">N24*INDEX(Assumptions!$C$31:$E$31,$B$3)/(INDEX(Assumptions!$C$56:$E$56,$B$3)*INDEX(Assumptions!$C$57:$E$57,$B$3)*INDEX(Assumptions!$C$58:$E$58,$B$3))</f>
        <v>5.15731414868106</v>
      </c>
      <c r="O48" s="41" t="n">
        <f aca="false">SUM(C48:N48)</f>
        <v>58.1124485411671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0.105</v>
      </c>
      <c r="F51" s="16" t="n">
        <f aca="false">F46*0.7*INDEX(Assumptions!$C$73:$E$73,$B$3)</f>
        <v>0.21</v>
      </c>
      <c r="G51" s="16" t="n">
        <f aca="false">G46*0.7*INDEX(Assumptions!$C$73:$E$73,$B$3)</f>
        <v>0.1575</v>
      </c>
      <c r="H51" s="16" t="n">
        <f aca="false">H46*0.7*INDEX(Assumptions!$C$73:$E$73,$B$3)</f>
        <v>0.21</v>
      </c>
      <c r="I51" s="16" t="n">
        <f aca="false">I46*0.7*INDEX(Assumptions!$C$73:$E$73,$B$3)</f>
        <v>0.2625</v>
      </c>
      <c r="J51" s="16" t="n">
        <f aca="false">J46*0.7*INDEX(Assumptions!$C$73:$E$73,$B$3)</f>
        <v>0.315</v>
      </c>
      <c r="K51" s="16" t="n">
        <f aca="false">K46*0.7*INDEX(Assumptions!$C$73:$E$73,$B$3)</f>
        <v>0.315</v>
      </c>
      <c r="L51" s="16" t="n">
        <f aca="false">L46*0.7*INDEX(Assumptions!$C$73:$E$73,$B$3)</f>
        <v>0.315</v>
      </c>
      <c r="M51" s="16" t="n">
        <f aca="false">M46*0.7*INDEX(Assumptions!$C$73:$E$73,$B$3)</f>
        <v>0.315</v>
      </c>
      <c r="N51" s="16" t="n">
        <f aca="false">N46*0.7*INDEX(Assumptions!$C$73:$E$73,$B$3)</f>
        <v>0.315</v>
      </c>
      <c r="O51" s="38" t="n">
        <f aca="false">SUM(C51:N51)</f>
        <v>2.52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O53" s="40" t="n">
        <f aca="false">AVERAGE(C53:N53)</f>
        <v>40000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1</v>
      </c>
      <c r="M54" s="10" t="n">
        <f aca="false">IF(AND(11&gt;=IF($Q$3=1,$Q$4+1,INDEX(Assumptions!$C$105:$E$105,$B$3)),NOT(AND($U$3=1,11=$Q$4+2))),0,1)</f>
        <v>1</v>
      </c>
      <c r="N54" s="10" t="n">
        <f aca="false">IF(AND(12&gt;=IF($Q$3=1,$Q$4+1,INDEX(Assumptions!$C$105:$E$105,$B$3)),NOT(AND($U$3=1,12=$Q$4+2))),0,1)</f>
        <v>1</v>
      </c>
      <c r="O54" s="40" t="n">
        <f aca="false">N54</f>
        <v>1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23371.1590049994</v>
      </c>
      <c r="E56" s="10" t="n">
        <f aca="false">E34*E53/(1+INDEX(Assumptions!$C$15:$E$15,$B$3)*$H$4)</f>
        <v>35922.1233182945</v>
      </c>
      <c r="F56" s="10" t="n">
        <f aca="false">F34*F53/(1+INDEX(Assumptions!$C$15:$E$15,$B$3)*$H$4)</f>
        <v>49057.4320204853</v>
      </c>
      <c r="G56" s="10" t="n">
        <f aca="false">G34*G53/(1+INDEX(Assumptions!$C$15:$E$15,$B$3)*$H$4)</f>
        <v>42626.2650896232</v>
      </c>
      <c r="H56" s="10" t="n">
        <f aca="false">H34*H53/(1+INDEX(Assumptions!$C$15:$E$15,$B$3)*$H$4)</f>
        <v>49904.889647604</v>
      </c>
      <c r="I56" s="10" t="n">
        <f aca="false">I34*I53/(1+INDEX(Assumptions!$C$15:$E$15,$B$3)*$H$4)</f>
        <v>68181.4412876479</v>
      </c>
      <c r="J56" s="10" t="n">
        <f aca="false">J34*J53/(1+INDEX(Assumptions!$C$15:$E$15,$B$3)*$H$4)</f>
        <v>70803.8044140959</v>
      </c>
      <c r="K56" s="10" t="n">
        <f aca="false">K34*K53/(1+INDEX(Assumptions!$C$15:$E$15,$B$3)*$H$4)</f>
        <v>65559.0781611999</v>
      </c>
      <c r="L56" s="10" t="n">
        <f aca="false">L34*L53/(1+INDEX(Assumptions!$C$15:$E$15,$B$3)*$H$4)</f>
        <v>57691.9887818559</v>
      </c>
      <c r="M56" s="10" t="n">
        <f aca="false">M34*M53/(1+INDEX(Assumptions!$C$15:$E$15,$B$3)*$H$4)</f>
        <v>55069.6256554079</v>
      </c>
      <c r="N56" s="10" t="n">
        <f aca="false">N34*N53/(1+INDEX(Assumptions!$C$15:$E$15,$B$3)*$H$4)</f>
        <v>52447.2625289599</v>
      </c>
      <c r="O56" s="40" t="n">
        <f aca="false">SUM(C56:N56)</f>
        <v>590974.052961021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1460.69743781246</v>
      </c>
      <c r="F58" s="10" t="n">
        <f aca="false">F37*MAX(0,F53-INDEX(Assumptions!$C$18:$E$18,$B$3)*$H$3)/(1+INDEX(Assumptions!$C$15:$E$15,$B$3)*$H$4)</f>
        <v>2245.13270739341</v>
      </c>
      <c r="G58" s="10" t="n">
        <f aca="false">G37*MAX(0,G53-INDEX(Assumptions!$C$18:$E$18,$B$3)*$H$3)/(1+INDEX(Assumptions!$C$15:$E$15,$B$3)*$H$4)</f>
        <v>3066.08950128033</v>
      </c>
      <c r="H58" s="10" t="n">
        <f aca="false">H37*MAX(0,H53-INDEX(Assumptions!$C$18:$E$18,$B$3)*$H$3)/(1+INDEX(Assumptions!$C$15:$E$15,$B$3)*$H$4)</f>
        <v>2664.14156810145</v>
      </c>
      <c r="I58" s="10" t="n">
        <f aca="false">I37*MAX(0,I53-INDEX(Assumptions!$C$18:$E$18,$B$3)*$H$3)/(1+INDEX(Assumptions!$C$15:$E$15,$B$3)*$H$4)</f>
        <v>3119.05560297525</v>
      </c>
      <c r="J58" s="10" t="n">
        <f aca="false">J37*MAX(0,J53-INDEX(Assumptions!$C$18:$E$18,$B$3)*$H$3)/(1+INDEX(Assumptions!$C$15:$E$15,$B$3)*$H$4)</f>
        <v>4261.34008047799</v>
      </c>
      <c r="K58" s="10" t="n">
        <f aca="false">K37*MAX(0,K53-INDEX(Assumptions!$C$18:$E$18,$B$3)*$H$3)/(1+INDEX(Assumptions!$C$15:$E$15,$B$3)*$H$4)</f>
        <v>4425.23777588099</v>
      </c>
      <c r="L58" s="10" t="n">
        <f aca="false">L37*MAX(0,L53-INDEX(Assumptions!$C$18:$E$18,$B$3)*$H$3)/(1+INDEX(Assumptions!$C$15:$E$15,$B$3)*$H$4)</f>
        <v>4097.44238507499</v>
      </c>
      <c r="M58" s="10" t="n">
        <f aca="false">M37*MAX(0,M53-INDEX(Assumptions!$C$18:$E$18,$B$3)*$H$3)/(1+INDEX(Assumptions!$C$15:$E$15,$B$3)*$H$4)</f>
        <v>3605.74929886599</v>
      </c>
      <c r="N58" s="10" t="n">
        <f aca="false">N37*MAX(0,N53-INDEX(Assumptions!$C$18:$E$18,$B$3)*$H$3)/(1+INDEX(Assumptions!$C$15:$E$15,$B$3)*$H$4)</f>
        <v>3441.85160346299</v>
      </c>
      <c r="O58" s="40" t="n">
        <f aca="false">SUM(C58:N58)</f>
        <v>33657.9244020038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17528.3692537495</v>
      </c>
      <c r="E59" s="10" t="n">
        <f aca="false">E36*INDEX(Assumptions!$C$18:$E$18,$B$3)*$H$3/(1+INDEX(Assumptions!$C$15:$E$15,$B$3)*$H$4)</f>
        <v>26941.5924887209</v>
      </c>
      <c r="F59" s="10" t="n">
        <f aca="false">F36*INDEX(Assumptions!$C$18:$E$18,$B$3)*$H$3/(1+INDEX(Assumptions!$C$15:$E$15,$B$3)*$H$4)</f>
        <v>36793.074015364</v>
      </c>
      <c r="G59" s="10" t="n">
        <f aca="false">G36*INDEX(Assumptions!$C$18:$E$18,$B$3)*$H$3/(1+INDEX(Assumptions!$C$15:$E$15,$B$3)*$H$4)</f>
        <v>31969.6988172174</v>
      </c>
      <c r="H59" s="10" t="n">
        <f aca="false">H36*INDEX(Assumptions!$C$18:$E$18,$B$3)*$H$3/(1+INDEX(Assumptions!$C$15:$E$15,$B$3)*$H$4)</f>
        <v>37428.667235703</v>
      </c>
      <c r="I59" s="10" t="n">
        <f aca="false">I36*INDEX(Assumptions!$C$18:$E$18,$B$3)*$H$3/(1+INDEX(Assumptions!$C$15:$E$15,$B$3)*$H$4)</f>
        <v>51136.0809657359</v>
      </c>
      <c r="J59" s="10" t="n">
        <f aca="false">J36*INDEX(Assumptions!$C$18:$E$18,$B$3)*$H$3/(1+INDEX(Assumptions!$C$15:$E$15,$B$3)*$H$4)</f>
        <v>53102.8533105719</v>
      </c>
      <c r="K59" s="10" t="n">
        <f aca="false">K36*INDEX(Assumptions!$C$18:$E$18,$B$3)*$H$3/(1+INDEX(Assumptions!$C$15:$E$15,$B$3)*$H$4)</f>
        <v>49169.3086208999</v>
      </c>
      <c r="L59" s="10" t="n">
        <f aca="false">L36*INDEX(Assumptions!$C$18:$E$18,$B$3)*$H$3/(1+INDEX(Assumptions!$C$15:$E$15,$B$3)*$H$4)</f>
        <v>43268.9915863919</v>
      </c>
      <c r="M59" s="10" t="n">
        <f aca="false">M36*INDEX(Assumptions!$C$18:$E$18,$B$3)*$H$3/(1+INDEX(Assumptions!$C$15:$E$15,$B$3)*$H$4)</f>
        <v>41302.2192415559</v>
      </c>
      <c r="N59" s="10" t="n">
        <f aca="false">N36*INDEX(Assumptions!$C$18:$E$18,$B$3)*$H$3/(1+INDEX(Assumptions!$C$15:$E$15,$B$3)*$H$4)</f>
        <v>39335.4468967199</v>
      </c>
      <c r="O59" s="40" t="n">
        <f aca="false">SUM(C59:N59)</f>
        <v>443230.539720766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1828.91004793623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2811.08576027314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3838.98934276308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3335.71837458847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3905.30713937325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5335.53868796488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5540.75171442507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5130.3256615047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4514.68658212413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4309.47355566394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4104.26052920376</v>
      </c>
      <c r="O60" s="40" t="n">
        <f aca="false">SUM(C60:N60)</f>
        <v>46246.6745144647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12711.8644067797</v>
      </c>
      <c r="F61" s="10" t="n">
        <f aca="false">F46*INDEX(Assumptions!$C$21:$E$21,$B$3)*$H$3/(1+INDEX(Assumptions!$C$15:$E$15,$B$3)*$H$4)</f>
        <v>25423.7288135593</v>
      </c>
      <c r="G61" s="10" t="n">
        <f aca="false">G46*INDEX(Assumptions!$C$21:$E$21,$B$3)*$H$3/(1+INDEX(Assumptions!$C$15:$E$15,$B$3)*$H$4)</f>
        <v>19067.7966101695</v>
      </c>
      <c r="H61" s="10" t="n">
        <f aca="false">H46*INDEX(Assumptions!$C$21:$E$21,$B$3)*$H$3/(1+INDEX(Assumptions!$C$15:$E$15,$B$3)*$H$4)</f>
        <v>25423.7288135593</v>
      </c>
      <c r="I61" s="10" t="n">
        <f aca="false">I46*INDEX(Assumptions!$C$21:$E$21,$B$3)*$H$3/(1+INDEX(Assumptions!$C$15:$E$15,$B$3)*$H$4)</f>
        <v>31779.6610169492</v>
      </c>
      <c r="J61" s="10" t="n">
        <f aca="false">J46*INDEX(Assumptions!$C$21:$E$21,$B$3)*$H$3/(1+INDEX(Assumptions!$C$15:$E$15,$B$3)*$H$4)</f>
        <v>38135.593220339</v>
      </c>
      <c r="K61" s="10" t="n">
        <f aca="false">K46*INDEX(Assumptions!$C$21:$E$21,$B$3)*$H$3/(1+INDEX(Assumptions!$C$15:$E$15,$B$3)*$H$4)</f>
        <v>38135.593220339</v>
      </c>
      <c r="L61" s="10" t="n">
        <f aca="false">L46*INDEX(Assumptions!$C$21:$E$21,$B$3)*$H$3/(1+INDEX(Assumptions!$C$15:$E$15,$B$3)*$H$4)</f>
        <v>38135.593220339</v>
      </c>
      <c r="M61" s="10" t="n">
        <f aca="false">M46*INDEX(Assumptions!$C$21:$E$21,$B$3)*$H$3/(1+INDEX(Assumptions!$C$15:$E$15,$B$3)*$H$4)</f>
        <v>38135.593220339</v>
      </c>
      <c r="N61" s="10" t="n">
        <f aca="false">N46*INDEX(Assumptions!$C$21:$E$21,$B$3)*$H$3/(1+INDEX(Assumptions!$C$15:$E$15,$B$3)*$H$4)</f>
        <v>38135.593220339</v>
      </c>
      <c r="O61" s="40" t="n">
        <f aca="false">SUM(C61:N61)</f>
        <v>305084.745762712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17796.6101694915</v>
      </c>
      <c r="D62" s="10" t="n">
        <f aca="false">D47*INDEX(Assumptions!$C$22:$E$22,$B$3)*$H$3/(1+INDEX(Assumptions!$C$15:$E$15,$B$3)*$H$4)</f>
        <v>30508.4745762712</v>
      </c>
      <c r="E62" s="10" t="n">
        <f aca="false">E47*INDEX(Assumptions!$C$22:$E$22,$B$3)*$H$3/(1+INDEX(Assumptions!$C$15:$E$15,$B$3)*$H$4)</f>
        <v>45762.7118644068</v>
      </c>
      <c r="F62" s="10" t="n">
        <f aca="false">F47*INDEX(Assumptions!$C$22:$E$22,$B$3)*$H$3/(1+INDEX(Assumptions!$C$15:$E$15,$B$3)*$H$4)</f>
        <v>49576.2711864407</v>
      </c>
      <c r="G62" s="10" t="n">
        <f aca="false">G47*INDEX(Assumptions!$C$22:$E$22,$B$3)*$H$3/(1+INDEX(Assumptions!$C$15:$E$15,$B$3)*$H$4)</f>
        <v>22881.3559322034</v>
      </c>
      <c r="H62" s="10" t="n">
        <f aca="false">H47*INDEX(Assumptions!$C$22:$E$22,$B$3)*$H$3/(1+INDEX(Assumptions!$C$15:$E$15,$B$3)*$H$4)</f>
        <v>20338.9830508475</v>
      </c>
      <c r="I62" s="10" t="n">
        <f aca="false">I47*INDEX(Assumptions!$C$22:$E$22,$B$3)*$H$3/(1+INDEX(Assumptions!$C$15:$E$15,$B$3)*$H$4)</f>
        <v>17796.6101694915</v>
      </c>
      <c r="J62" s="10" t="n">
        <f aca="false">J47*INDEX(Assumptions!$C$22:$E$22,$B$3)*$H$3/(1+INDEX(Assumptions!$C$15:$E$15,$B$3)*$H$4)</f>
        <v>15254.2372881356</v>
      </c>
      <c r="K62" s="10" t="n">
        <f aca="false">K47*INDEX(Assumptions!$C$22:$E$22,$B$3)*$H$3/(1+INDEX(Assumptions!$C$15:$E$15,$B$3)*$H$4)</f>
        <v>15254.2372881356</v>
      </c>
      <c r="L62" s="10" t="n">
        <f aca="false">L47*INDEX(Assumptions!$C$22:$E$22,$B$3)*$H$3/(1+INDEX(Assumptions!$C$15:$E$15,$B$3)*$H$4)</f>
        <v>20338.9830508475</v>
      </c>
      <c r="M62" s="10" t="n">
        <f aca="false">M47*INDEX(Assumptions!$C$22:$E$22,$B$3)*$H$3/(1+INDEX(Assumptions!$C$15:$E$15,$B$3)*$H$4)</f>
        <v>27966.1016949153</v>
      </c>
      <c r="N62" s="10" t="n">
        <f aca="false">N47*INDEX(Assumptions!$C$22:$E$22,$B$3)*$H$3/(1+INDEX(Assumptions!$C$15:$E$15,$B$3)*$H$4)</f>
        <v>35593.2203389831</v>
      </c>
      <c r="O62" s="40" t="n">
        <f aca="false">SUM(C62:N62)</f>
        <v>319067.79661017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444.826271186441</v>
      </c>
      <c r="F64" s="10" t="n">
        <f aca="false">F51*INDEX(Assumptions!$C$23:$E$23,$B$3)/(1+INDEX(Assumptions!$C$15:$E$15,$B$3)*$H$4)</f>
        <v>889.652542372881</v>
      </c>
      <c r="G64" s="10" t="n">
        <f aca="false">G51*INDEX(Assumptions!$C$23:$E$23,$B$3)/(1+INDEX(Assumptions!$C$15:$E$15,$B$3)*$H$4)</f>
        <v>667.239406779661</v>
      </c>
      <c r="H64" s="10" t="n">
        <f aca="false">H51*INDEX(Assumptions!$C$23:$E$23,$B$3)/(1+INDEX(Assumptions!$C$15:$E$15,$B$3)*$H$4)</f>
        <v>889.652542372881</v>
      </c>
      <c r="I64" s="10" t="n">
        <f aca="false">I51*INDEX(Assumptions!$C$23:$E$23,$B$3)/(1+INDEX(Assumptions!$C$15:$E$15,$B$3)*$H$4)</f>
        <v>1112.0656779661</v>
      </c>
      <c r="J64" s="10" t="n">
        <f aca="false">J51*INDEX(Assumptions!$C$23:$E$23,$B$3)/(1+INDEX(Assumptions!$C$15:$E$15,$B$3)*$H$4)</f>
        <v>1334.47881355932</v>
      </c>
      <c r="K64" s="10" t="n">
        <f aca="false">K51*INDEX(Assumptions!$C$23:$E$23,$B$3)/(1+INDEX(Assumptions!$C$15:$E$15,$B$3)*$H$4)</f>
        <v>1334.47881355932</v>
      </c>
      <c r="L64" s="10" t="n">
        <f aca="false">L51*INDEX(Assumptions!$C$23:$E$23,$B$3)/(1+INDEX(Assumptions!$C$15:$E$15,$B$3)*$H$4)</f>
        <v>1334.47881355932</v>
      </c>
      <c r="M64" s="10" t="n">
        <f aca="false">M51*INDEX(Assumptions!$C$23:$E$23,$B$3)/(1+INDEX(Assumptions!$C$15:$E$15,$B$3)*$H$4)</f>
        <v>1334.47881355932</v>
      </c>
      <c r="N64" s="10" t="n">
        <f aca="false">N51*INDEX(Assumptions!$C$23:$E$23,$B$3)/(1+INDEX(Assumptions!$C$15:$E$15,$B$3)*$H$4)</f>
        <v>1334.47881355932</v>
      </c>
      <c r="O64" s="40" t="n">
        <f aca="false">SUM(C64:N64)</f>
        <v>10675.8305084746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0</v>
      </c>
      <c r="M65" s="10" t="n">
        <f aca="false">(M34+M35)*(1-M54)*INDEX(Assumptions!$C$90:$E$90,$B$3)</f>
        <v>0</v>
      </c>
      <c r="N65" s="10" t="n">
        <f aca="false">(N34+N35)*(1-N54)*INDEX(Assumptions!$C$90:$E$90,$B$3)</f>
        <v>0</v>
      </c>
      <c r="O65" s="40" t="n">
        <f aca="false">SUM(C65:N65)</f>
        <v>0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54981.4576271187</v>
      </c>
      <c r="D66" s="40" t="n">
        <f aca="false">SUM(D56:D65)</f>
        <v>74508.0993236343</v>
      </c>
      <c r="E66" s="40" t="n">
        <f aca="false">SUM(E56:E65)</f>
        <v>126054.901547474</v>
      </c>
      <c r="F66" s="40" t="n">
        <f aca="false">SUM(F56:F65)</f>
        <v>167824.280628379</v>
      </c>
      <c r="G66" s="40" t="n">
        <f aca="false">SUM(G56:G65)</f>
        <v>123614.163731862</v>
      </c>
      <c r="H66" s="40" t="n">
        <f aca="false">SUM(H56:H65)</f>
        <v>140555.369997561</v>
      </c>
      <c r="I66" s="40" t="n">
        <f aca="false">SUM(I56:I65)</f>
        <v>178460.453408731</v>
      </c>
      <c r="J66" s="40" t="n">
        <f aca="false">SUM(J56:J65)</f>
        <v>188433.058841605</v>
      </c>
      <c r="K66" s="40" t="n">
        <f aca="false">SUM(K56:K65)</f>
        <v>179008.259541519</v>
      </c>
      <c r="L66" s="40" t="n">
        <f aca="false">SUM(L56:L65)</f>
        <v>169382.164420193</v>
      </c>
      <c r="M66" s="40" t="n">
        <f aca="false">SUM(M56:M65)</f>
        <v>171723.241480307</v>
      </c>
      <c r="N66" s="40" t="n">
        <f aca="false">SUM(N56:N65)</f>
        <v>174392.113931228</v>
      </c>
      <c r="O66" s="11" t="n">
        <f aca="false">SUM(C66:N66)</f>
        <v>1748937.56447961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35593.2203389831</v>
      </c>
      <c r="D67" s="10" t="n">
        <f aca="false">D56+D57+D58+D59</f>
        <v>42170.7146994269</v>
      </c>
      <c r="E67" s="10" t="n">
        <f aca="false">E56+E57+E58+E59</f>
        <v>64324.4132448279</v>
      </c>
      <c r="F67" s="10" t="n">
        <f aca="false">F56+F57+F58+F59</f>
        <v>88095.6387432427</v>
      </c>
      <c r="G67" s="10" t="n">
        <f aca="false">G56+G57+G58+G59</f>
        <v>77662.053408121</v>
      </c>
      <c r="H67" s="10" t="n">
        <f aca="false">H56+H57+H58+H59</f>
        <v>89997.6984514084</v>
      </c>
      <c r="I67" s="10" t="n">
        <f aca="false">I56+I57+I58+I59</f>
        <v>122436.577856359</v>
      </c>
      <c r="J67" s="10" t="n">
        <f aca="false">J56+J57+J58+J59</f>
        <v>128167.997805146</v>
      </c>
      <c r="K67" s="10" t="n">
        <f aca="false">K56+K57+K58+K59</f>
        <v>119153.624557981</v>
      </c>
      <c r="L67" s="10" t="n">
        <f aca="false">L56+L57+L58+L59</f>
        <v>105058.422753323</v>
      </c>
      <c r="M67" s="10" t="n">
        <f aca="false">M56+M57+M58+M59</f>
        <v>99977.5941958298</v>
      </c>
      <c r="N67" s="10" t="n">
        <f aca="false">N56+N57+N58+N59</f>
        <v>95224.5610291428</v>
      </c>
      <c r="O67" s="40" t="n">
        <f aca="false">SUM(C67:N67)</f>
        <v>1067862.51708379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5876.14433453237</v>
      </c>
      <c r="E69" s="10" t="n">
        <f aca="false">((E34+E37)*INDEX(Assumptions!$C$91:$E$91,$B$3)+E35*(INDEX(Assumptions!$C$93:$E$93,$B$3)+IF($Q$3=1,INDEX(Assumptions!$C$282:$E$282,$B$3),0)))*$N$3</f>
        <v>8624.45454886091</v>
      </c>
      <c r="F69" s="10" t="n">
        <f aca="false">((F34+F37)*INDEX(Assumptions!$C$91:$E$91,$B$3)+F35*(INDEX(Assumptions!$C$93:$E$93,$B$3)+IF($Q$3=1,INDEX(Assumptions!$C$282:$E$282,$B$3),0)))*$N$3</f>
        <v>11984.8393285372</v>
      </c>
      <c r="G69" s="10" t="n">
        <f aca="false">((G34+G37)*INDEX(Assumptions!$C$91:$E$91,$B$3)+G35*(INDEX(Assumptions!$C$93:$E$93,$B$3)+IF($Q$3=1,INDEX(Assumptions!$C$282:$E$282,$B$3),0)))*$N$3</f>
        <v>11334.9136690648</v>
      </c>
      <c r="H69" s="10" t="n">
        <f aca="false">((H34+H37)*INDEX(Assumptions!$C$91:$E$91,$B$3)+H35*(INDEX(Assumptions!$C$93:$E$93,$B$3)+IF($Q$3=1,INDEX(Assumptions!$C$282:$E$282,$B$3),0)))*$N$3</f>
        <v>12505.940647482</v>
      </c>
      <c r="I69" s="10" t="n">
        <f aca="false">((I34+I37)*INDEX(Assumptions!$C$91:$E$91,$B$3)+I35*(INDEX(Assumptions!$C$93:$E$93,$B$3)+IF($Q$3=1,INDEX(Assumptions!$C$282:$E$282,$B$3),0)))*$N$3</f>
        <v>16655.8075539568</v>
      </c>
      <c r="J69" s="10" t="n">
        <f aca="false">((J34+J37)*INDEX(Assumptions!$C$91:$E$91,$B$3)+J35*(INDEX(Assumptions!$C$93:$E$93,$B$3)+IF($Q$3=1,INDEX(Assumptions!$C$282:$E$282,$B$3),0)))*$N$3</f>
        <v>18140.8525179856</v>
      </c>
      <c r="K69" s="10" t="n">
        <f aca="false">((K34+K37)*INDEX(Assumptions!$C$91:$E$91,$B$3)+K35*(INDEX(Assumptions!$C$93:$E$93,$B$3)+IF($Q$3=1,INDEX(Assumptions!$C$282:$E$282,$B$3),0)))*$N$3</f>
        <v>17193.1960431655</v>
      </c>
      <c r="L69" s="10" t="n">
        <f aca="false">((L34+L37)*INDEX(Assumptions!$C$91:$E$91,$B$3)+L35*(INDEX(Assumptions!$C$93:$E$93,$B$3)+IF($Q$3=1,INDEX(Assumptions!$C$282:$E$282,$B$3),0)))*$N$3</f>
        <v>15297.8830935252</v>
      </c>
      <c r="M69" s="10" t="n">
        <f aca="false">((M34+M37)*INDEX(Assumptions!$C$91:$E$91,$B$3)+M35*(INDEX(Assumptions!$C$93:$E$93,$B$3)+IF($Q$3=1,INDEX(Assumptions!$C$282:$E$282,$B$3),0)))*$N$3</f>
        <v>14350.226618705</v>
      </c>
      <c r="N69" s="10" t="n">
        <f aca="false">((N34+N37)*INDEX(Assumptions!$C$91:$E$91,$B$3)+N35*(INDEX(Assumptions!$C$93:$E$93,$B$3)+IF($Q$3=1,INDEX(Assumptions!$C$282:$E$282,$B$3),0)))*$N$3</f>
        <v>13673.3291366907</v>
      </c>
      <c r="O69" s="40" t="n">
        <f aca="false">SUM(C69:N69)</f>
        <v>149837.587492506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10341.7378597122</v>
      </c>
      <c r="E70" s="10" t="n">
        <f aca="false">(E34+E35)*E54*INDEX(Assumptions!$C$14:$E$14,$B$3)*$N$3</f>
        <v>15895.5395683453</v>
      </c>
      <c r="F70" s="10" t="n">
        <f aca="false">(F34+F35)*F54*INDEX(Assumptions!$C$14:$E$14,$B$3)*$N$3</f>
        <v>21707.9136690648</v>
      </c>
      <c r="G70" s="10" t="n">
        <f aca="false">(G34+G35)*G54*INDEX(Assumptions!$C$14:$E$14,$B$3)*$N$3</f>
        <v>18862.1223021583</v>
      </c>
      <c r="H70" s="10" t="n">
        <f aca="false">(H34+H35)*H54*INDEX(Assumptions!$C$14:$E$14,$B$3)*$N$3</f>
        <v>22082.9136690648</v>
      </c>
      <c r="I70" s="10" t="n">
        <f aca="false">(I34+I35)*I54*INDEX(Assumptions!$C$14:$E$14,$B$3)*$N$3</f>
        <v>30170.2877697842</v>
      </c>
      <c r="J70" s="10" t="n">
        <f aca="false">(J34+J35)*J54*INDEX(Assumptions!$C$14:$E$14,$B$3)*$N$3</f>
        <v>31330.6834532374</v>
      </c>
      <c r="K70" s="10" t="n">
        <f aca="false">(K34+K35)*K54*INDEX(Assumptions!$C$14:$E$14,$B$3)*$N$3</f>
        <v>29009.8920863309</v>
      </c>
      <c r="L70" s="10" t="n">
        <f aca="false">(L34+L35)*L54*INDEX(Assumptions!$C$14:$E$14,$B$3)*$N$3</f>
        <v>25528.7050359712</v>
      </c>
      <c r="M70" s="10" t="n">
        <f aca="false">(M34+M35)*M54*INDEX(Assumptions!$C$14:$E$14,$B$3)*$N$3</f>
        <v>24368.309352518</v>
      </c>
      <c r="N70" s="10" t="n">
        <f aca="false">(N34+N35)*N54*INDEX(Assumptions!$C$14:$E$14,$B$3)*$N$3</f>
        <v>23207.9136690648</v>
      </c>
      <c r="O70" s="40" t="n">
        <f aca="false">SUM(C70:N70)</f>
        <v>261506.018435252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1500</v>
      </c>
      <c r="D71" s="10" t="n">
        <f aca="false">D36*INDEX(Assumptions!$C$92:$E$92,$B$3)*$N$3</f>
        <v>1723.62297661871</v>
      </c>
      <c r="E71" s="10" t="n">
        <f aca="false">E36*INDEX(Assumptions!$C$92:$E$92,$B$3)*$N$3</f>
        <v>2649.25659472422</v>
      </c>
      <c r="F71" s="10" t="n">
        <f aca="false">F36*INDEX(Assumptions!$C$92:$E$92,$B$3)*$N$3</f>
        <v>3617.98561151079</v>
      </c>
      <c r="G71" s="10" t="n">
        <f aca="false">G36*INDEX(Assumptions!$C$92:$E$92,$B$3)*$N$3</f>
        <v>3143.68705035971</v>
      </c>
      <c r="H71" s="10" t="n">
        <f aca="false">H36*INDEX(Assumptions!$C$92:$E$92,$B$3)*$N$3</f>
        <v>3680.48561151079</v>
      </c>
      <c r="I71" s="10" t="n">
        <f aca="false">I36*INDEX(Assumptions!$C$92:$E$92,$B$3)*$N$3</f>
        <v>5028.38129496403</v>
      </c>
      <c r="J71" s="10" t="n">
        <f aca="false">J36*INDEX(Assumptions!$C$92:$E$92,$B$3)*$N$3</f>
        <v>5221.78057553957</v>
      </c>
      <c r="K71" s="10" t="n">
        <f aca="false">K36*INDEX(Assumptions!$C$92:$E$92,$B$3)*$N$3</f>
        <v>4834.98201438849</v>
      </c>
      <c r="L71" s="10" t="n">
        <f aca="false">L36*INDEX(Assumptions!$C$92:$E$92,$B$3)*$N$3</f>
        <v>4254.78417266187</v>
      </c>
      <c r="M71" s="10" t="n">
        <f aca="false">M36*INDEX(Assumptions!$C$92:$E$92,$B$3)*$N$3</f>
        <v>4061.38489208633</v>
      </c>
      <c r="N71" s="10" t="n">
        <f aca="false">N36*INDEX(Assumptions!$C$92:$E$92,$B$3)*$N$3</f>
        <v>3867.98561151079</v>
      </c>
      <c r="O71" s="40" t="n">
        <f aca="false">SUM(C71:N71)</f>
        <v>43584.3364058753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4100</v>
      </c>
      <c r="D72" s="10" t="n">
        <f aca="false">(D46*INDEX(Assumptions!$C$94:$E$94,$B$3)+D47*INDEX(Assumptions!$C$95:$E$95,$B$3)+D48*INDEX(Assumptions!$C$96:$E$96,$B$3))*$N$3</f>
        <v>6689.44919064748</v>
      </c>
      <c r="E72" s="10" t="n">
        <f aca="false">(E46*INDEX(Assumptions!$C$94:$E$94,$B$3)+E47*INDEX(Assumptions!$C$95:$E$95,$B$3)+E48*INDEX(Assumptions!$C$96:$E$96,$B$3))*$N$3</f>
        <v>13659.7026378897</v>
      </c>
      <c r="F72" s="10" t="n">
        <f aca="false">(F46*INDEX(Assumptions!$C$94:$E$94,$B$3)+F47*INDEX(Assumptions!$C$95:$E$95,$B$3)+F48*INDEX(Assumptions!$C$96:$E$96,$B$3))*$N$3</f>
        <v>18397.1942446043</v>
      </c>
      <c r="G72" s="10" t="n">
        <f aca="false">(G46*INDEX(Assumptions!$C$94:$E$94,$B$3)+G47*INDEX(Assumptions!$C$95:$E$95,$B$3)+G48*INDEX(Assumptions!$C$96:$E$96,$B$3))*$N$3</f>
        <v>11157.4748201439</v>
      </c>
      <c r="H72" s="10" t="n">
        <f aca="false">(H46*INDEX(Assumptions!$C$94:$E$94,$B$3)+H47*INDEX(Assumptions!$C$95:$E$95,$B$3)+H48*INDEX(Assumptions!$C$96:$E$96,$B$3))*$N$3</f>
        <v>12672.1942446043</v>
      </c>
      <c r="I72" s="10" t="n">
        <f aca="false">(I46*INDEX(Assumptions!$C$94:$E$94,$B$3)+I47*INDEX(Assumptions!$C$95:$E$95,$B$3)+I48*INDEX(Assumptions!$C$96:$E$96,$B$3))*$N$3</f>
        <v>14511.3525179856</v>
      </c>
      <c r="J72" s="10" t="n">
        <f aca="false">(J46*INDEX(Assumptions!$C$94:$E$94,$B$3)+J47*INDEX(Assumptions!$C$95:$E$95,$B$3)+J48*INDEX(Assumptions!$C$96:$E$96,$B$3))*$N$3</f>
        <v>15888.7122302158</v>
      </c>
      <c r="K72" s="10" t="n">
        <f aca="false">(K46*INDEX(Assumptions!$C$94:$E$94,$B$3)+K47*INDEX(Assumptions!$C$95:$E$95,$B$3)+K48*INDEX(Assumptions!$C$96:$E$96,$B$3))*$N$3</f>
        <v>15733.9928057554</v>
      </c>
      <c r="L72" s="10" t="n">
        <f aca="false">(L46*INDEX(Assumptions!$C$94:$E$94,$B$3)+L47*INDEX(Assumptions!$C$95:$E$95,$B$3)+L48*INDEX(Assumptions!$C$96:$E$96,$B$3))*$N$3</f>
        <v>16501.9136690648</v>
      </c>
      <c r="M72" s="10" t="n">
        <f aca="false">(M46*INDEX(Assumptions!$C$94:$E$94,$B$3)+M47*INDEX(Assumptions!$C$95:$E$95,$B$3)+M48*INDEX(Assumptions!$C$96:$E$96,$B$3))*$N$3</f>
        <v>17924.5539568345</v>
      </c>
      <c r="N72" s="10" t="n">
        <f aca="false">(N46*INDEX(Assumptions!$C$94:$E$94,$B$3)+N47*INDEX(Assumptions!$C$95:$E$95,$B$3)+N48*INDEX(Assumptions!$C$96:$E$96,$B$3))*$N$3</f>
        <v>19347.1942446043</v>
      </c>
      <c r="O72" s="40" t="n">
        <f aca="false">SUM(C72:N72)</f>
        <v>166583.73456235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262.5</v>
      </c>
      <c r="F74" s="10" t="n">
        <f aca="false">F51*INDEX(Assumptions!$C$97:$E$97,$B$3)</f>
        <v>525</v>
      </c>
      <c r="G74" s="10" t="n">
        <f aca="false">G51*INDEX(Assumptions!$C$97:$E$97,$B$3)</f>
        <v>393.75</v>
      </c>
      <c r="H74" s="10" t="n">
        <f aca="false">H51*INDEX(Assumptions!$C$97:$E$97,$B$3)</f>
        <v>525</v>
      </c>
      <c r="I74" s="10" t="n">
        <f aca="false">I51*INDEX(Assumptions!$C$97:$E$97,$B$3)</f>
        <v>656.25</v>
      </c>
      <c r="J74" s="10" t="n">
        <f aca="false">J51*INDEX(Assumptions!$C$97:$E$97,$B$3)</f>
        <v>787.5</v>
      </c>
      <c r="K74" s="10" t="n">
        <f aca="false">K51*INDEX(Assumptions!$C$97:$E$97,$B$3)</f>
        <v>787.5</v>
      </c>
      <c r="L74" s="10" t="n">
        <f aca="false">L51*INDEX(Assumptions!$C$97:$E$97,$B$3)</f>
        <v>787.5</v>
      </c>
      <c r="M74" s="10" t="n">
        <f aca="false">M51*INDEX(Assumptions!$C$97:$E$97,$B$3)</f>
        <v>787.5</v>
      </c>
      <c r="N74" s="10" t="n">
        <f aca="false">N51*INDEX(Assumptions!$C$97:$E$97,$B$3)</f>
        <v>787.5</v>
      </c>
      <c r="O74" s="40" t="n">
        <f aca="false">SUM(C74:N74)</f>
        <v>6300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2397.07488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3127.7982397518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5113.78530905168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6871.57955065708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5387.84736149065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6151.62906753957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7998.71056211799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8436.61469402015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7959.86615841727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7348.8064035741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7286.49518433381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7247.00508020144</v>
      </c>
      <c r="O75" s="40" t="n">
        <f aca="false">SUM(C75:N75)</f>
        <v>75327.2124911555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1378.89838129496</v>
      </c>
      <c r="E76" s="10" t="n">
        <f aca="false">E38*INDEX(Assumptions!$C$240:$E$240,$B$3)*INDEX(Assumptions!$C$69:$E$69,$B$3)</f>
        <v>2119.40527577938</v>
      </c>
      <c r="F76" s="10" t="n">
        <f aca="false">F38*INDEX(Assumptions!$C$240:$E$240,$B$3)*INDEX(Assumptions!$C$69:$E$69,$B$3)</f>
        <v>2894.38848920863</v>
      </c>
      <c r="G76" s="10" t="n">
        <f aca="false">G38*INDEX(Assumptions!$C$240:$E$240,$B$3)*INDEX(Assumptions!$C$69:$E$69,$B$3)</f>
        <v>2514.94964028777</v>
      </c>
      <c r="H76" s="10" t="n">
        <f aca="false">H38*INDEX(Assumptions!$C$240:$E$240,$B$3)*INDEX(Assumptions!$C$69:$E$69,$B$3)</f>
        <v>2944.38848920863</v>
      </c>
      <c r="I76" s="10" t="n">
        <f aca="false">I38*INDEX(Assumptions!$C$240:$E$240,$B$3)*INDEX(Assumptions!$C$69:$E$69,$B$3)</f>
        <v>4022.70503597122</v>
      </c>
      <c r="J76" s="10" t="n">
        <f aca="false">J38*INDEX(Assumptions!$C$240:$E$240,$B$3)*INDEX(Assumptions!$C$69:$E$69,$B$3)</f>
        <v>4177.42446043166</v>
      </c>
      <c r="K76" s="10" t="n">
        <f aca="false">K38*INDEX(Assumptions!$C$240:$E$240,$B$3)*INDEX(Assumptions!$C$69:$E$69,$B$3)</f>
        <v>3867.98561151079</v>
      </c>
      <c r="L76" s="10" t="n">
        <f aca="false">L38*INDEX(Assumptions!$C$240:$E$240,$B$3)*INDEX(Assumptions!$C$69:$E$69,$B$3)</f>
        <v>3403.8273381295</v>
      </c>
      <c r="M76" s="10" t="n">
        <f aca="false">M38*INDEX(Assumptions!$C$240:$E$240,$B$3)*INDEX(Assumptions!$C$69:$E$69,$B$3)</f>
        <v>3249.10791366907</v>
      </c>
      <c r="N76" s="10" t="n">
        <f aca="false">N38*INDEX(Assumptions!$C$240:$E$240,$B$3)*INDEX(Assumptions!$C$69:$E$69,$B$3)</f>
        <v>3094.38848920863</v>
      </c>
      <c r="O76" s="40" t="n">
        <f aca="false">SUM(C76:N76)</f>
        <v>34867.4691247002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22397.07488</v>
      </c>
      <c r="D77" s="40" t="n">
        <f aca="false">SUM(D69:D76)</f>
        <v>29137.6509825576</v>
      </c>
      <c r="E77" s="40" t="n">
        <f aca="false">SUM(E69:E76)</f>
        <v>48324.6439346512</v>
      </c>
      <c r="F77" s="40" t="n">
        <f aca="false">SUM(F69:F76)</f>
        <v>65998.9008935827</v>
      </c>
      <c r="G77" s="40" t="n">
        <f aca="false">SUM(G69:G76)</f>
        <v>52794.744843505</v>
      </c>
      <c r="H77" s="40" t="n">
        <f aca="false">SUM(H69:H76)</f>
        <v>60562.5517294101</v>
      </c>
      <c r="I77" s="40" t="n">
        <f aca="false">SUM(I69:I76)</f>
        <v>79043.4947347799</v>
      </c>
      <c r="J77" s="40" t="n">
        <f aca="false">SUM(J69:J76)</f>
        <v>83983.5679314302</v>
      </c>
      <c r="K77" s="40" t="n">
        <f aca="false">SUM(K69:K76)</f>
        <v>79387.4147195684</v>
      </c>
      <c r="L77" s="40" t="n">
        <f aca="false">SUM(L69:L76)</f>
        <v>73123.4197129266</v>
      </c>
      <c r="M77" s="40" t="n">
        <f aca="false">SUM(M69:M76)</f>
        <v>72027.5779181468</v>
      </c>
      <c r="N77" s="40" t="n">
        <f aca="false">SUM(N69:N76)</f>
        <v>71225.3162312806</v>
      </c>
      <c r="O77" s="11" t="n">
        <f aca="false">SUM(C77:N77)</f>
        <v>738006.358511839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32584.3827471187</v>
      </c>
      <c r="D78" s="40" t="n">
        <f aca="false">D66-D77</f>
        <v>45370.4483410768</v>
      </c>
      <c r="E78" s="40" t="n">
        <f aca="false">E66-E77</f>
        <v>77730.2576128227</v>
      </c>
      <c r="F78" s="40" t="n">
        <f aca="false">F66-F77</f>
        <v>101825.379734796</v>
      </c>
      <c r="G78" s="40" t="n">
        <f aca="false">G66-G77</f>
        <v>70819.4188883569</v>
      </c>
      <c r="H78" s="40" t="n">
        <f aca="false">H66-H77</f>
        <v>79992.8182681512</v>
      </c>
      <c r="I78" s="40" t="n">
        <f aca="false">I66-I77</f>
        <v>99416.9586739508</v>
      </c>
      <c r="J78" s="40" t="n">
        <f aca="false">J66-J77</f>
        <v>104449.490910174</v>
      </c>
      <c r="K78" s="40" t="n">
        <f aca="false">K66-K77</f>
        <v>99620.844821951</v>
      </c>
      <c r="L78" s="40" t="n">
        <f aca="false">L66-L77</f>
        <v>96258.744707266</v>
      </c>
      <c r="M78" s="40" t="n">
        <f aca="false">M66-M77</f>
        <v>99695.6635621605</v>
      </c>
      <c r="N78" s="40" t="n">
        <f aca="false">N66-N77</f>
        <v>103166.797699947</v>
      </c>
      <c r="O78" s="11" t="n">
        <f aca="false">SUM(C78:N78)</f>
        <v>1010931.20596777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0.592643122852512</v>
      </c>
      <c r="D79" s="8" t="n">
        <f aca="false">IFERROR(D78/D66,0)</f>
        <v>0.6089331059702</v>
      </c>
      <c r="E79" s="8" t="n">
        <f aca="false">IFERROR(E78/E66,0)</f>
        <v>0.616638120839343</v>
      </c>
      <c r="F79" s="8" t="n">
        <f aca="false">IFERROR(F78/F66,0)</f>
        <v>0.606738067659427</v>
      </c>
      <c r="G79" s="8" t="n">
        <f aca="false">IFERROR(G78/G66,0)</f>
        <v>0.572906993424921</v>
      </c>
      <c r="H79" s="8" t="n">
        <f aca="false">IFERROR(H78/H66,0)</f>
        <v>0.56911961648665</v>
      </c>
      <c r="I79" s="8" t="n">
        <f aca="false">IFERROR(I78/I66,0)</f>
        <v>0.557081172747301</v>
      </c>
      <c r="J79" s="8" t="n">
        <f aca="false">IFERROR(J78/J66,0)</f>
        <v>0.554305553135312</v>
      </c>
      <c r="K79" s="8" t="n">
        <f aca="false">IFERROR(K78/K66,0)</f>
        <v>0.556515353409404</v>
      </c>
      <c r="L79" s="8" t="n">
        <f aca="false">IFERROR(L78/L66,0)</f>
        <v>0.56829327359682</v>
      </c>
      <c r="M79" s="8" t="n">
        <f aca="false">IFERROR(M78/M66,0)</f>
        <v>0.580560107663664</v>
      </c>
      <c r="N79" s="8" t="n">
        <f aca="false">IFERROR(N78/N66,0)</f>
        <v>0.591579489314703</v>
      </c>
      <c r="O79" s="13" t="n">
        <f aca="false">IFERROR(O78/O66,0)</f>
        <v>0.578025897836193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1</v>
      </c>
      <c r="I81" s="10" t="n">
        <f aca="false">ROUNDUP(I42/(INDEX(Assumptions!$C$102:$E$102,$B$3)*$J$3),0)</f>
        <v>1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1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0.333333333333333</v>
      </c>
      <c r="H82" s="6" t="n">
        <f aca="false">H81*(1-H12)</f>
        <v>0.4</v>
      </c>
      <c r="I82" s="6" t="n">
        <f aca="false">I81*(1-I12)</f>
        <v>0.433333333333333</v>
      </c>
      <c r="J82" s="6" t="n">
        <f aca="false">J81*(1-J12)</f>
        <v>0.933333333333333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0.6</v>
      </c>
      <c r="O82" s="41" t="n">
        <f aca="false">MAX(C82:N82)</f>
        <v>1.13333333333333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0.5</v>
      </c>
      <c r="H83" s="6" t="n">
        <f aca="false">IF(6&gt;=INDEX(Assumptions!$C$161:$E$161,H$9),INDEX(Assumptions!$C$203:$E$203,H$9),0)</f>
        <v>0.5</v>
      </c>
      <c r="I83" s="6" t="n">
        <f aca="false">IF(7&gt;=INDEX(Assumptions!$C$161:$E$161,I$9),INDEX(Assumptions!$C$203:$E$203,I$9),0)</f>
        <v>0.5</v>
      </c>
      <c r="J83" s="6" t="n">
        <f aca="false">IF(8&gt;=INDEX(Assumptions!$C$161:$E$161,J$9),INDEX(Assumptions!$C$203:$E$203,J$9),0)</f>
        <v>0.5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95000</v>
      </c>
      <c r="E86" s="10" t="n">
        <f aca="false">E83*INDEX(Assumptions!$C$98:$E$98,$B$3)*$W$4+E84*INDEX(Assumptions!$C$99:$E$99,$B$3)+E85*INDEX(Assumptions!$C$100:$E$100,$B$3)</f>
        <v>95000</v>
      </c>
      <c r="F86" s="10" t="n">
        <f aca="false">F83*INDEX(Assumptions!$C$98:$E$98,$B$3)*$W$4+F84*INDEX(Assumptions!$C$99:$E$99,$B$3)+F85*INDEX(Assumptions!$C$100:$E$100,$B$3)</f>
        <v>95000</v>
      </c>
      <c r="G86" s="10" t="n">
        <f aca="false">G83*INDEX(Assumptions!$C$98:$E$98,$B$3)*$W$4+G84*INDEX(Assumptions!$C$99:$E$99,$B$3)+G85*INDEX(Assumptions!$C$100:$E$100,$B$3)</f>
        <v>57500</v>
      </c>
      <c r="H86" s="10" t="n">
        <f aca="false">H83*INDEX(Assumptions!$C$98:$E$98,$B$3)*$W$4+H84*INDEX(Assumptions!$C$99:$E$99,$B$3)+H85*INDEX(Assumptions!$C$100:$E$100,$B$3)</f>
        <v>57500</v>
      </c>
      <c r="I86" s="10" t="n">
        <f aca="false">I83*INDEX(Assumptions!$C$98:$E$98,$B$3)*$W$4+I84*INDEX(Assumptions!$C$99:$E$99,$B$3)+I85*INDEX(Assumptions!$C$100:$E$100,$B$3)</f>
        <v>57500</v>
      </c>
      <c r="J86" s="10" t="n">
        <f aca="false">J83*INDEX(Assumptions!$C$98:$E$98,$B$3)*$W$4+J84*INDEX(Assumptions!$C$99:$E$99,$B$3)+J85*INDEX(Assumptions!$C$100:$E$100,$B$3)</f>
        <v>57500</v>
      </c>
      <c r="K86" s="10" t="n">
        <f aca="false">K83*INDEX(Assumptions!$C$98:$E$98,$B$3)*$W$4+K84*INDEX(Assumptions!$C$99:$E$99,$B$3)+K85*INDEX(Assumptions!$C$100:$E$100,$B$3)</f>
        <v>57500</v>
      </c>
      <c r="L86" s="10" t="n">
        <f aca="false">L83*INDEX(Assumptions!$C$98:$E$98,$B$3)*$W$4+L84*INDEX(Assumptions!$C$99:$E$99,$B$3)+L85*INDEX(Assumptions!$C$100:$E$100,$B$3)</f>
        <v>57500</v>
      </c>
      <c r="M86" s="10" t="n">
        <f aca="false">M83*INDEX(Assumptions!$C$98:$E$98,$B$3)*$W$4+M84*INDEX(Assumptions!$C$99:$E$99,$B$3)+M85*INDEX(Assumptions!$C$100:$E$100,$B$3)</f>
        <v>57500</v>
      </c>
      <c r="N86" s="10" t="n">
        <f aca="false">N83*INDEX(Assumptions!$C$98:$E$98,$B$3)*$W$4+N84*INDEX(Assumptions!$C$99:$E$99,$B$3)+N85*INDEX(Assumptions!$C$100:$E$100,$B$3)</f>
        <v>57500</v>
      </c>
      <c r="O86" s="40" t="n">
        <f aca="false">SUM(C86:N86)</f>
        <v>765000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260000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12000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12000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12000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12000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12000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12000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12000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12000</v>
      </c>
      <c r="O88" s="40" t="n">
        <f aca="false">SUM(C88:N88)</f>
        <v>351000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60000</v>
      </c>
      <c r="D92" s="40" t="n">
        <f aca="false">SUM(D86:D91)</f>
        <v>210000</v>
      </c>
      <c r="E92" s="40" t="n">
        <f aca="false">SUM(E86:E91)</f>
        <v>225000</v>
      </c>
      <c r="F92" s="40" t="n">
        <f aca="false">SUM(F86:F91)</f>
        <v>225000</v>
      </c>
      <c r="G92" s="40" t="n">
        <f aca="false">SUM(G86:G91)</f>
        <v>104500</v>
      </c>
      <c r="H92" s="40" t="n">
        <f aca="false">SUM(H86:H91)</f>
        <v>104500</v>
      </c>
      <c r="I92" s="40" t="n">
        <f aca="false">SUM(I86:I91)</f>
        <v>104500</v>
      </c>
      <c r="J92" s="40" t="n">
        <f aca="false">SUM(J86:J91)</f>
        <v>104500</v>
      </c>
      <c r="K92" s="40" t="n">
        <f aca="false">SUM(K86:K91)</f>
        <v>104500</v>
      </c>
      <c r="L92" s="40" t="n">
        <f aca="false">SUM(L86:L91)</f>
        <v>104500</v>
      </c>
      <c r="M92" s="40" t="n">
        <f aca="false">SUM(M86:M91)</f>
        <v>104500</v>
      </c>
      <c r="N92" s="40" t="n">
        <f aca="false">SUM(N86:N91)</f>
        <v>104500</v>
      </c>
      <c r="O92" s="11" t="n">
        <f aca="false">SUM(C92:N92)</f>
        <v>1556000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22000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22000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22000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22000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22000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22000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22000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22000</v>
      </c>
      <c r="O95" s="40" t="n">
        <f aca="false">SUM(C95:N95)</f>
        <v>224000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8000</v>
      </c>
      <c r="H96" s="10" t="n">
        <f aca="false">INDEX(Assumptions!$C$107:$E$107,H$9)+IF(6&gt;=IF($Q$3=1,MAX(INDEX(Assumptions!$C$231:$E$231,H$9),$Q$4+1),INDEX(Assumptions!$C$231:$E$231,H$9))-1,INDEX(Assumptions!$C$230:$E$230,H$9),0)</f>
        <v>8000</v>
      </c>
      <c r="I96" s="10" t="n">
        <f aca="false">INDEX(Assumptions!$C$107:$E$107,I$9)+IF(7&gt;=IF($Q$3=1,MAX(INDEX(Assumptions!$C$231:$E$231,I$9),$Q$4+1),INDEX(Assumptions!$C$231:$E$231,I$9))-1,INDEX(Assumptions!$C$230:$E$230,I$9),0)</f>
        <v>8000</v>
      </c>
      <c r="J96" s="10" t="n">
        <f aca="false">INDEX(Assumptions!$C$107:$E$107,J$9)+IF(8&gt;=IF($Q$3=1,MAX(INDEX(Assumptions!$C$231:$E$231,J$9),$Q$4+1),INDEX(Assumptions!$C$231:$E$231,J$9))-1,INDEX(Assumptions!$C$230:$E$230,J$9),0)</f>
        <v>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136000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40000</v>
      </c>
      <c r="H97" s="10" t="n">
        <f aca="false">H18</f>
        <v>40000</v>
      </c>
      <c r="I97" s="10" t="n">
        <f aca="false">I18</f>
        <v>40000</v>
      </c>
      <c r="J97" s="10" t="n">
        <f aca="false">J18</f>
        <v>40000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440000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3333</v>
      </c>
      <c r="H98" s="10" t="n">
        <f aca="false">INDEX(Assumptions!$C$212:$E$212,H$9)</f>
        <v>3333</v>
      </c>
      <c r="I98" s="10" t="n">
        <f aca="false">INDEX(Assumptions!$C$212:$E$212,I$9)</f>
        <v>3333</v>
      </c>
      <c r="J98" s="10" t="n">
        <f aca="false">INDEX(Assumptions!$C$212:$E$212,J$9)</f>
        <v>3333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12000</v>
      </c>
      <c r="H99" s="10" t="n">
        <f aca="false">INDEX(Assumptions!$C$237:$E$237,H$9)</f>
        <v>12000</v>
      </c>
      <c r="I99" s="10" t="n">
        <f aca="false">INDEX(Assumptions!$C$237:$E$237,I$9)</f>
        <v>12000</v>
      </c>
      <c r="J99" s="10" t="n">
        <f aca="false">INDEX(Assumptions!$C$237:$E$237,J$9)</f>
        <v>12000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156000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120500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120500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300833</v>
      </c>
      <c r="D102" s="40" t="n">
        <f aca="false">D92+SUM(D94:D101)</f>
        <v>330833</v>
      </c>
      <c r="E102" s="40" t="n">
        <f aca="false">E92+SUM(E94:E101)</f>
        <v>520833</v>
      </c>
      <c r="F102" s="40" t="n">
        <f aca="false">F92+SUM(F94:F101)</f>
        <v>380833</v>
      </c>
      <c r="G102" s="40" t="n">
        <f aca="false">G92+SUM(G94:G101)</f>
        <v>355333</v>
      </c>
      <c r="H102" s="40" t="n">
        <f aca="false">H92+SUM(H94:H101)</f>
        <v>234833</v>
      </c>
      <c r="I102" s="40" t="n">
        <f aca="false">I92+SUM(I94:I101)</f>
        <v>234833</v>
      </c>
      <c r="J102" s="40" t="n">
        <f aca="false">J92+SUM(J94:J101)</f>
        <v>234833</v>
      </c>
      <c r="K102" s="40" t="n">
        <f aca="false">K92+SUM(K94:K101)</f>
        <v>234833</v>
      </c>
      <c r="L102" s="40" t="n">
        <f aca="false">L92+SUM(L94:L101)</f>
        <v>234833</v>
      </c>
      <c r="M102" s="40" t="n">
        <f aca="false">M92+SUM(M94:M101)</f>
        <v>234833</v>
      </c>
      <c r="N102" s="40" t="n">
        <f aca="false">N92+SUM(N94:N101)</f>
        <v>234833</v>
      </c>
      <c r="O102" s="11" t="n">
        <f aca="false">SUM(C102:N102)</f>
        <v>3532496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-268248.617252881</v>
      </c>
      <c r="D103" s="40" t="n">
        <f aca="false">D78-D102</f>
        <v>-285462.551658923</v>
      </c>
      <c r="E103" s="40" t="n">
        <f aca="false">E78-E102</f>
        <v>-443102.742387177</v>
      </c>
      <c r="F103" s="40" t="n">
        <f aca="false">F78-F102</f>
        <v>-279007.620265204</v>
      </c>
      <c r="G103" s="40" t="n">
        <f aca="false">G78-G102</f>
        <v>-284513.581111643</v>
      </c>
      <c r="H103" s="40" t="n">
        <f aca="false">H78-H102</f>
        <v>-154840.181731849</v>
      </c>
      <c r="I103" s="40" t="n">
        <f aca="false">I78-I102</f>
        <v>-135416.041326049</v>
      </c>
      <c r="J103" s="40" t="n">
        <f aca="false">J78-J102</f>
        <v>-130383.509089826</v>
      </c>
      <c r="K103" s="40" t="n">
        <f aca="false">K78-K102</f>
        <v>-135212.155178049</v>
      </c>
      <c r="L103" s="40" t="n">
        <f aca="false">L78-L102</f>
        <v>-138574.255292734</v>
      </c>
      <c r="M103" s="40" t="n">
        <f aca="false">M78-M102</f>
        <v>-135137.33643784</v>
      </c>
      <c r="N103" s="40" t="n">
        <f aca="false">N78-N102</f>
        <v>-131666.202300053</v>
      </c>
      <c r="O103" s="11" t="n">
        <f aca="false">SUM(C103:N103)</f>
        <v>-2521564.79403223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-4.87889242719117</v>
      </c>
      <c r="D104" s="8" t="n">
        <f aca="false">IFERROR(D103/D66,0)</f>
        <v>-3.83129558061848</v>
      </c>
      <c r="E104" s="8" t="n">
        <f aca="false">IFERROR(E103/E66,0)</f>
        <v>-3.51515678444522</v>
      </c>
      <c r="F104" s="8" t="n">
        <f aca="false">IFERROR(F103/F66,0)</f>
        <v>-1.66249853251583</v>
      </c>
      <c r="G104" s="8" t="n">
        <f aca="false">IFERROR(G103/G66,0)</f>
        <v>-2.30162606389343</v>
      </c>
      <c r="H104" s="8" t="n">
        <f aca="false">IFERROR(H103/H66,0)</f>
        <v>-1.10163120579837</v>
      </c>
      <c r="I104" s="8" t="n">
        <f aca="false">IFERROR(I103/I66,0)</f>
        <v>-0.758801396833302</v>
      </c>
      <c r="J104" s="8" t="n">
        <f aca="false">IFERROR(J103/J66,0)</f>
        <v>-0.691935427314932</v>
      </c>
      <c r="K104" s="8" t="n">
        <f aca="false">IFERROR(K103/K66,0)</f>
        <v>-0.755340315158406</v>
      </c>
      <c r="L104" s="8" t="n">
        <f aca="false">IFERROR(L103/L66,0)</f>
        <v>-0.818115979135605</v>
      </c>
      <c r="M104" s="8" t="n">
        <f aca="false">IFERROR(M103/M66,0)</f>
        <v>-0.786948436757389</v>
      </c>
      <c r="N104" s="8" t="n">
        <f aca="false">IFERROR(N103/N66,0)</f>
        <v>-0.755000896152768</v>
      </c>
      <c r="O104" s="8" t="n">
        <f aca="false">IFERROR(O103/O66,0)</f>
        <v>-1.44176947493406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-343248.617252881</v>
      </c>
      <c r="D105" s="10" t="n">
        <f aca="false">D103-INDEX(Assumptions!$C$204:$E$204,$B$3)</f>
        <v>-360462.551658923</v>
      </c>
      <c r="E105" s="10" t="n">
        <f aca="false">E103-INDEX(Assumptions!$C$204:$E$204,$B$3)</f>
        <v>-518102.742387177</v>
      </c>
      <c r="F105" s="10" t="n">
        <f aca="false">F103-INDEX(Assumptions!$C$204:$E$204,$B$3)</f>
        <v>-354007.620265204</v>
      </c>
      <c r="G105" s="10" t="n">
        <f aca="false">G103-INDEX(Assumptions!$C$204:$E$204,$B$3)</f>
        <v>-359513.581111643</v>
      </c>
      <c r="H105" s="10" t="n">
        <f aca="false">H103-INDEX(Assumptions!$C$204:$E$204,$B$3)</f>
        <v>-229840.181731849</v>
      </c>
      <c r="I105" s="10" t="n">
        <f aca="false">I103-INDEX(Assumptions!$C$204:$E$204,$B$3)</f>
        <v>-210416.041326049</v>
      </c>
      <c r="J105" s="10" t="n">
        <f aca="false">J103-INDEX(Assumptions!$C$204:$E$204,$B$3)</f>
        <v>-205383.509089826</v>
      </c>
      <c r="K105" s="10" t="n">
        <f aca="false">K103-INDEX(Assumptions!$C$204:$E$204,$B$3)</f>
        <v>-210212.155178049</v>
      </c>
      <c r="L105" s="10" t="n">
        <f aca="false">L103-INDEX(Assumptions!$C$204:$E$204,$B$3)</f>
        <v>-213574.255292734</v>
      </c>
      <c r="M105" s="10" t="n">
        <f aca="false">M103-INDEX(Assumptions!$C$204:$E$204,$B$3)</f>
        <v>-210137.33643784</v>
      </c>
      <c r="N105" s="10" t="n">
        <f aca="false">N103-INDEX(Assumptions!$C$204:$E$204,$B$3)</f>
        <v>-206666.202300053</v>
      </c>
      <c r="O105" s="40" t="n">
        <f aca="false">SUM(C105:N105)</f>
        <v>-3421564.79403223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250000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-16249.4030199569</v>
      </c>
      <c r="E113" s="10" t="n">
        <f aca="false">((E67+IF(INDEX(Assumptions!$C$87:$E$87,$B$3)&gt;=2,D67,0)+IF(INDEX(Assumptions!$C$87:$E$87,$B$3)&gt;=3,C67,0))/INDEX(Assumptions!$C$87:$E$87,$B$3))-E67</f>
        <v>-16961.6304837486</v>
      </c>
      <c r="F113" s="10" t="n">
        <f aca="false">((F67+IF(INDEX(Assumptions!$C$87:$E$87,$B$3)&gt;=2,E67,0)+IF(INDEX(Assumptions!$C$87:$E$87,$B$3)&gt;=3,D67,0))/INDEX(Assumptions!$C$87:$E$87,$B$3))-F67</f>
        <v>-23232.0498474102</v>
      </c>
      <c r="G113" s="10" t="n">
        <f aca="false">((G67+IF(INDEX(Assumptions!$C$87:$E$87,$B$3)&gt;=2,F67,0)+IF(INDEX(Assumptions!$C$87:$E$87,$B$3)&gt;=3,E67,0))/INDEX(Assumptions!$C$87:$E$87,$B$3))-G67</f>
        <v>-968.018276057119</v>
      </c>
      <c r="H113" s="10" t="n">
        <f aca="false">((H67+IF(INDEX(Assumptions!$C$87:$E$87,$B$3)&gt;=2,G67,0)+IF(INDEX(Assumptions!$C$87:$E$87,$B$3)&gt;=3,F67,0))/INDEX(Assumptions!$C$87:$E$87,$B$3))-H67</f>
        <v>-4745.9015838177</v>
      </c>
      <c r="I113" s="10" t="n">
        <f aca="false">((I67+IF(INDEX(Assumptions!$C$87:$E$87,$B$3)&gt;=2,H67,0)+IF(INDEX(Assumptions!$C$87:$E$87,$B$3)&gt;=3,G67,0))/INDEX(Assumptions!$C$87:$E$87,$B$3))-I67</f>
        <v>-25737.8012843962</v>
      </c>
      <c r="J113" s="10" t="n">
        <f aca="false">((J67+IF(INDEX(Assumptions!$C$87:$E$87,$B$3)&gt;=2,I67,0)+IF(INDEX(Assumptions!$C$87:$E$87,$B$3)&gt;=3,H67,0))/INDEX(Assumptions!$C$87:$E$87,$B$3))-J67</f>
        <v>-14633.9064341747</v>
      </c>
      <c r="K113" s="10" t="n">
        <f aca="false">((K67+IF(INDEX(Assumptions!$C$87:$E$87,$B$3)&gt;=2,J67,0)+IF(INDEX(Assumptions!$C$87:$E$87,$B$3)&gt;=3,I67,0))/INDEX(Assumptions!$C$87:$E$87,$B$3))-K67</f>
        <v>4099.10884851441</v>
      </c>
      <c r="L113" s="10" t="n">
        <f aca="false">((L67+IF(INDEX(Assumptions!$C$87:$E$87,$B$3)&gt;=2,K67,0)+IF(INDEX(Assumptions!$C$87:$E$87,$B$3)&gt;=3,J67,0))/INDEX(Assumptions!$C$87:$E$87,$B$3))-L67</f>
        <v>12401.5922854937</v>
      </c>
      <c r="M113" s="10" t="n">
        <f aca="false">((M67+IF(INDEX(Assumptions!$C$87:$E$87,$B$3)&gt;=2,L67,0)+IF(INDEX(Assumptions!$C$87:$E$87,$B$3)&gt;=3,K67,0))/INDEX(Assumptions!$C$87:$E$87,$B$3))-M67</f>
        <v>8085.61963988132</v>
      </c>
      <c r="N113" s="10" t="n">
        <f aca="false">((N67+IF(INDEX(Assumptions!$C$87:$E$87,$B$3)&gt;=2,M67,0)+IF(INDEX(Assumptions!$C$87:$E$87,$B$3)&gt;=3,L67,0))/INDEX(Assumptions!$C$87:$E$87,$B$3))-N67</f>
        <v>4862.29829695565</v>
      </c>
      <c r="O113" s="40" t="n">
        <f aca="false">SUM(C113:N113)</f>
        <v>-96808.9054180384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-441977.430812203</v>
      </c>
      <c r="D114" s="40" t="n">
        <f aca="false">D103+D113-D112</f>
        <v>-301711.95467888</v>
      </c>
      <c r="E114" s="40" t="n">
        <f aca="false">E103+E113-E112</f>
        <v>-560064.372870926</v>
      </c>
      <c r="F114" s="40" t="n">
        <f aca="false">F103+F113-F112</f>
        <v>-302239.670112614</v>
      </c>
      <c r="G114" s="40" t="n">
        <f aca="false">G103+G113-G112</f>
        <v>-285481.5993877</v>
      </c>
      <c r="H114" s="40" t="n">
        <f aca="false">H103+H113-H112</f>
        <v>-159586.083315667</v>
      </c>
      <c r="I114" s="40" t="n">
        <f aca="false">I103+I113-I112</f>
        <v>-161153.842610445</v>
      </c>
      <c r="J114" s="40" t="n">
        <f aca="false">J103+J113-J112</f>
        <v>-145017.415524</v>
      </c>
      <c r="K114" s="40" t="n">
        <f aca="false">K103+K113-K112</f>
        <v>-131113.046329535</v>
      </c>
      <c r="L114" s="40" t="n">
        <f aca="false">L103+L113-L112</f>
        <v>-126172.66300724</v>
      </c>
      <c r="M114" s="40" t="n">
        <f aca="false">M103+M113-M112</f>
        <v>-127051.716797958</v>
      </c>
      <c r="N114" s="40" t="n">
        <f aca="false">N103+N113-N112</f>
        <v>-126803.904003097</v>
      </c>
      <c r="O114" s="11" t="n">
        <f aca="false">SUM(C114:N114)</f>
        <v>-2868373.69945027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-441977.430812203</v>
      </c>
      <c r="D115" s="40" t="n">
        <f aca="false">C115+D114</f>
        <v>-743689.385491084</v>
      </c>
      <c r="E115" s="40" t="n">
        <f aca="false">D115+E114</f>
        <v>-1303753.75836201</v>
      </c>
      <c r="F115" s="40" t="n">
        <f aca="false">E115+F114</f>
        <v>-1605993.42847462</v>
      </c>
      <c r="G115" s="40" t="n">
        <f aca="false">F115+G114</f>
        <v>-1891475.02786232</v>
      </c>
      <c r="H115" s="40" t="n">
        <f aca="false">G115+H114</f>
        <v>-2051061.11117799</v>
      </c>
      <c r="I115" s="40" t="n">
        <f aca="false">H115+I114</f>
        <v>-2212214.95378844</v>
      </c>
      <c r="J115" s="40" t="n">
        <f aca="false">I115+J114</f>
        <v>-2357232.36931244</v>
      </c>
      <c r="K115" s="40" t="n">
        <f aca="false">J115+K114</f>
        <v>-2488345.41564197</v>
      </c>
      <c r="L115" s="40" t="n">
        <f aca="false">K115+L114</f>
        <v>-2614518.07864921</v>
      </c>
      <c r="M115" s="40" t="n">
        <f aca="false">L115+M114</f>
        <v>-2741569.79544717</v>
      </c>
      <c r="N115" s="40" t="n">
        <f aca="false">M115+N114</f>
        <v>-2868373.69945027</v>
      </c>
      <c r="O115" s="11" t="n">
        <f aca="false">N115</f>
        <v>-2868373.69945027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441977.430812203</v>
      </c>
      <c r="D116" s="40" t="n">
        <f aca="false">-MIN(0,MIN($C$115:D115))</f>
        <v>743689.385491084</v>
      </c>
      <c r="E116" s="40" t="n">
        <f aca="false">-MIN(0,MIN($C$115:E115))</f>
        <v>1303753.75836201</v>
      </c>
      <c r="F116" s="40" t="n">
        <f aca="false">-MIN(0,MIN($C$115:F115))</f>
        <v>1605993.42847462</v>
      </c>
      <c r="G116" s="40" t="n">
        <f aca="false">-MIN(0,MIN($C$115:G115))</f>
        <v>1891475.02786232</v>
      </c>
      <c r="H116" s="40" t="n">
        <f aca="false">-MIN(0,MIN($C$115:H115))</f>
        <v>2051061.11117799</v>
      </c>
      <c r="I116" s="40" t="n">
        <f aca="false">-MIN(0,MIN($C$115:I115))</f>
        <v>2212214.95378844</v>
      </c>
      <c r="J116" s="40" t="n">
        <f aca="false">-MIN(0,MIN($C$115:J115))</f>
        <v>2357232.36931244</v>
      </c>
      <c r="K116" s="40" t="n">
        <f aca="false">-MIN(0,MIN($C$115:K115))</f>
        <v>2488345.41564197</v>
      </c>
      <c r="L116" s="40" t="n">
        <f aca="false">-MIN(0,MIN($C$115:L115))</f>
        <v>2614518.07864921</v>
      </c>
      <c r="M116" s="40" t="n">
        <f aca="false">-MIN(0,MIN($C$115:M115))</f>
        <v>2741569.79544717</v>
      </c>
      <c r="N116" s="40" t="n">
        <f aca="false">-MIN(0,MIN($C$115:N115))</f>
        <v>2868373.69945027</v>
      </c>
      <c r="O116" s="11" t="n">
        <f aca="false">MAX(C116:N116)</f>
        <v>2868373.69945027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1.56265568420264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2.82097834607314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2.28030167266187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2.88629145683453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3.52949685251799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3.18586634892086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2.91994233812949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1.56265568420264</v>
      </c>
      <c r="D129" s="8" t="n">
        <f aca="false">C129/INDEX(Assumptions!$C$179:$E$179,$B$3)</f>
        <v>0.130221307016887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2.82097834607314</v>
      </c>
      <c r="D130" s="8" t="n">
        <f aca="false">C130/INDEX(Assumptions!$C$179:$E$179,$B$3)</f>
        <v>0.235081528839428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2.28030167266187</v>
      </c>
      <c r="D131" s="8" t="n">
        <f aca="false">C131/INDEX(Assumptions!$C$179:$E$179,$B$3)</f>
        <v>0.190025139388489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2.88629145683453</v>
      </c>
      <c r="D132" s="8" t="n">
        <f aca="false">C132/INDEX(Assumptions!$C$179:$E$179,$B$3)</f>
        <v>0.240524288069544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3.52949685251799</v>
      </c>
      <c r="D133" s="8" t="n">
        <f aca="false">C133/INDEX(Assumptions!$C$179:$E$179,$B$3)</f>
        <v>0.294124737709832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0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3.18586634892086</v>
      </c>
      <c r="D134" s="8" t="n">
        <f aca="false">C134/INDEX(Assumptions!$C$179:$E$179,$B$3)</f>
        <v>0.265488862410072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2.91994233812949</v>
      </c>
      <c r="D135" s="8" t="n">
        <f aca="false">C135/INDEX(Assumptions!$C$179:$E$179,$B$3)</f>
        <v>0.243328528177458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1.56265568420264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2.82097834607314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3.1021206294964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4.41945552158273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4.36038017985612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3.83104634892086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1.56265568420264</v>
      </c>
      <c r="D143" s="8" t="n">
        <f aca="false">C143/INDEX(Assumptions!$C$179:$E$179,$B$3)</f>
        <v>0.130221307016887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2.82097834607314</v>
      </c>
      <c r="D144" s="8" t="n">
        <f aca="false">C144/INDEX(Assumptions!$C$179:$E$179,$B$3)</f>
        <v>0.235081528839428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3.1021206294964</v>
      </c>
      <c r="D145" s="8" t="n">
        <f aca="false">C145/INDEX(Assumptions!$C$179:$E$179,$B$3)</f>
        <v>0.258510052458034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0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4.41945552158273</v>
      </c>
      <c r="D146" s="8" t="n">
        <f aca="false">C146/INDEX(Assumptions!$C$179:$E$179,$B$3)</f>
        <v>0.368287960131895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0</v>
      </c>
      <c r="H146" s="10" t="n">
        <f aca="false">IF(C146&gt;=INDEX(Assumptions!$C$180:$E$180,$B$3)*INDEX($C$25:$N$25,MIN(12,F146)),1,0)</f>
        <v>0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4.36038017985612</v>
      </c>
      <c r="D147" s="8" t="n">
        <f aca="false">C147/INDEX(Assumptions!$C$179:$E$179,$B$3)</f>
        <v>0.36336501498801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3.83104634892086</v>
      </c>
      <c r="D148" s="8" t="n">
        <f aca="false">C148/INDEX(Assumptions!$C$179:$E$179,$B$3)</f>
        <v>0.319253862410072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1748937.56447961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-2521564.79403223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-1.44176947493406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-3421564.79403223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250000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2868373.69945027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131626.300549734</v>
      </c>
    </row>
    <row r="160" customFormat="false" ht="15" hidden="false" customHeight="false" outlineLevel="0" collapsed="false">
      <c r="A160" s="3" t="s">
        <v>51</v>
      </c>
      <c r="B160" s="7" t="n">
        <f aca="false">O38</f>
        <v>34.8674691247002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3.63590647482014</v>
      </c>
    </row>
    <row r="162" customFormat="false" ht="15" hidden="false" customHeight="false" outlineLevel="0" collapsed="false">
      <c r="A162" s="3" t="s">
        <v>53</v>
      </c>
      <c r="B162" s="11" t="n">
        <f aca="false">O46</f>
        <v>72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0.386798561151079</v>
      </c>
    </row>
    <row r="164" customFormat="false" ht="15" hidden="false" customHeight="false" outlineLevel="0" collapsed="false">
      <c r="A164" s="3" t="s">
        <v>55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14987.1175847458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234833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56790.8335592937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11.8796803610803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142.556164332964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34317.6587808943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1.01237093403638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0.771748886552144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10.8008403075818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-405377.794030626</v>
      </c>
    </row>
    <row r="177" customFormat="false" ht="15" hidden="false" customHeight="false" outlineLevel="0" collapsed="false">
      <c r="A177" s="3" t="s">
        <v>68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-2868373.69945027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4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2868373.69945027</v>
      </c>
    </row>
    <row r="182" customFormat="false" ht="15" hidden="false" customHeight="false" outlineLevel="0" collapsed="false">
      <c r="A182" s="3" t="s">
        <v>73</v>
      </c>
      <c r="B182" s="11" t="n">
        <f aca="false">O86</f>
        <v>765000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40000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1511863.4691247</v>
      </c>
    </row>
    <row r="187" customFormat="false" ht="15" hidden="false" customHeight="false" outlineLevel="0" collapsed="false">
      <c r="A187" s="3" t="s">
        <v>78</v>
      </c>
      <c r="B187" s="11" t="n">
        <f aca="false">O97</f>
        <v>440000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5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120500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0.130221307016887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0.235081528839428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0.228399198801673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2.91994233812949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2" t="str">
        <f aca="false">IFERROR(INDEX(F143:F148,MATCH(1,G143:G148,0)),"not in Y1")</f>
        <v>not in Y1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0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0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0.330054342525979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4.89543884892087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40323.2490675508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0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299121.205969374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1572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1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1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99</v>
      </c>
      <c r="R4" s="2" t="s">
        <v>1403</v>
      </c>
      <c r="S4" s="37" t="n">
        <v>2</v>
      </c>
      <c r="T4" s="2" t="s">
        <v>1404</v>
      </c>
      <c r="U4" s="37" t="n">
        <v>5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1</v>
      </c>
      <c r="H9" s="10" t="n">
        <f aca="false">IF(6&gt;=$U$4,1,$D$3)</f>
        <v>1</v>
      </c>
      <c r="I9" s="10" t="n">
        <f aca="false">IF(7&gt;=$U$4,1,$D$3)</f>
        <v>1</v>
      </c>
      <c r="J9" s="10" t="n">
        <f aca="false">IF(8&gt;=$U$4,1,$D$3)</f>
        <v>1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0.666666666666667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0.6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0.566666666666667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0.533333333333333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1.91666666666667</v>
      </c>
      <c r="E15" s="16" t="n">
        <f aca="false">E14+(INDEX(Assumptions!$C$25:$E$25,E$9)*(1-(INDEX(Assumptions!$C$27:$E$27,$B$3)+INDEX(Assumptions!$C$28:$E$28,$B$3)+INDEX(Assumptions!$C$31:$E$31,$B$3)))-E14)*MIN(1,(3-1)/6)*$N$4</f>
        <v>2.33333333333333</v>
      </c>
      <c r="F15" s="16" t="n">
        <f aca="false">F14+(INDEX(Assumptions!$C$25:$E$25,F$9)*(1-(INDEX(Assumptions!$C$27:$E$27,$B$3)+INDEX(Assumptions!$C$28:$E$28,$B$3)+INDEX(Assumptions!$C$31:$E$31,$B$3)))-F14)*MIN(1,(4-1)/6)*$N$4</f>
        <v>2.75</v>
      </c>
      <c r="G15" s="16" t="n">
        <f aca="false">G14+(INDEX(Assumptions!$C$25:$E$25,G$9)*(1-(INDEX(Assumptions!$C$27:$E$27,$B$3)+INDEX(Assumptions!$C$28:$E$28,$B$3)+INDEX(Assumptions!$C$31:$E$31,$B$3)))-G14)*MIN(1,(5-1)/6)*$N$4</f>
        <v>2.1</v>
      </c>
      <c r="H15" s="16" t="n">
        <f aca="false">H14+(INDEX(Assumptions!$C$25:$E$25,H$9)*(1-(INDEX(Assumptions!$C$27:$E$27,$B$3)+INDEX(Assumptions!$C$28:$E$28,$B$3)+INDEX(Assumptions!$C$31:$E$31,$B$3)))-H14)*MIN(1,(6-1)/6)*$N$4</f>
        <v>2.25</v>
      </c>
      <c r="I15" s="16" t="n">
        <f aca="false">I14+(INDEX(Assumptions!$C$25:$E$25,I$9)*(1-(INDEX(Assumptions!$C$27:$E$27,$B$3)+INDEX(Assumptions!$C$28:$E$28,$B$3)+INDEX(Assumptions!$C$31:$E$31,$B$3)))-I14)*MIN(1,(7-1)/6)*$N$4</f>
        <v>2.4</v>
      </c>
      <c r="J15" s="16" t="n">
        <f aca="false">J14+(INDEX(Assumptions!$C$25:$E$25,J$9)*(1-(INDEX(Assumptions!$C$27:$E$27,$B$3)+INDEX(Assumptions!$C$28:$E$28,$B$3)+INDEX(Assumptions!$C$31:$E$31,$B$3)))-J14)*MIN(1,(8-1)/6)*$N$4</f>
        <v>2.4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27.25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2.4</v>
      </c>
      <c r="H16" s="16" t="n">
        <f aca="false">INDEX(Assumptions!$C$25:$E$25,H$9)*(INDEX(Assumptions!$C$27:$E$27,$B$3)+INDEX(Assumptions!$C$28:$E$28,$B$3)+INDEX(Assumptions!$C$31:$E$31,$B$3))*MIN(1,(6-1)/6)</f>
        <v>3</v>
      </c>
      <c r="I16" s="16" t="n">
        <f aca="false">INDEX(Assumptions!$C$25:$E$25,I$9)*(INDEX(Assumptions!$C$27:$E$27,$B$3)+INDEX(Assumptions!$C$28:$E$28,$B$3)+INDEX(Assumptions!$C$31:$E$31,$B$3))*MIN(1,(7-1)/6)</f>
        <v>3.6</v>
      </c>
      <c r="J16" s="16" t="n">
        <f aca="false">INDEX(Assumptions!$C$25:$E$25,J$9)*(INDEX(Assumptions!$C$27:$E$27,$B$3)+INDEX(Assumptions!$C$28:$E$28,$B$3)+INDEX(Assumptions!$C$31:$E$31,$B$3))*MIN(1,(8-1)/6)</f>
        <v>3.6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33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1.5</v>
      </c>
      <c r="D17" s="16" t="n">
        <f aca="false">D15+D16</f>
        <v>2.91666666666667</v>
      </c>
      <c r="E17" s="16" t="n">
        <f aca="false">E15+E16</f>
        <v>4.33333333333333</v>
      </c>
      <c r="F17" s="16" t="n">
        <f aca="false">F15+F16</f>
        <v>5.75</v>
      </c>
      <c r="G17" s="16" t="n">
        <f aca="false">G15+G16</f>
        <v>4.5</v>
      </c>
      <c r="H17" s="16" t="n">
        <f aca="false">H15+H16</f>
        <v>5.25</v>
      </c>
      <c r="I17" s="16" t="n">
        <f aca="false">I15+I16</f>
        <v>6</v>
      </c>
      <c r="J17" s="16" t="n">
        <f aca="false">J15+J16</f>
        <v>6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60.25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0</v>
      </c>
      <c r="O18" s="40" t="n">
        <f aca="false">SUM(C18:N18)</f>
        <v>120000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0.916666666666667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0.260395683453237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0.694388489208633</v>
      </c>
      <c r="F21" s="16" t="n">
        <f aca="false">F18*INDEX(Assumptions!$C$119:$E$119,$B$3)/F19</f>
        <v>0.867985611510791</v>
      </c>
      <c r="G21" s="16" t="n">
        <f aca="false">G18*INDEX(Assumptions!$C$119:$E$119,$B$3)/G19</f>
        <v>0</v>
      </c>
      <c r="H21" s="16" t="n">
        <f aca="false">H18*INDEX(Assumptions!$C$119:$E$119,$B$3)/H19</f>
        <v>0</v>
      </c>
      <c r="I21" s="16" t="n">
        <f aca="false">I18*INDEX(Assumptions!$C$119:$E$119,$B$3)/I19</f>
        <v>0</v>
      </c>
      <c r="J21" s="16" t="n">
        <f aca="false">J18*INDEX(Assumptions!$C$119:$E$119,$B$3)/J19</f>
        <v>0</v>
      </c>
      <c r="K21" s="16" t="n">
        <f aca="false">K18*INDEX(Assumptions!$C$119:$E$119,$B$3)/K19</f>
        <v>0</v>
      </c>
      <c r="L21" s="16" t="n">
        <f aca="false">L18*INDEX(Assumptions!$C$119:$E$119,$B$3)/L19</f>
        <v>0</v>
      </c>
      <c r="M21" s="16" t="n">
        <f aca="false">M18*INDEX(Assumptions!$C$119:$E$119,$B$3)/M19</f>
        <v>0</v>
      </c>
      <c r="N21" s="16" t="n">
        <f aca="false">N18*INDEX(Assumptions!$C$119:$E$119,$B$3)/N19</f>
        <v>0</v>
      </c>
      <c r="O21" s="38" t="n">
        <f aca="false">SUM(C21:N21)</f>
        <v>2.0831654676259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1.37889838129496</v>
      </c>
      <c r="E24" s="38" t="n">
        <f aca="false">E10*(E14*$F$3+(E15-E14)*$F$3*E20+MIN(E16,E21*E20))*E22*E23</f>
        <v>2.11940527577938</v>
      </c>
      <c r="F24" s="38" t="n">
        <f aca="false">F10*(F14*$F$3+(F15-F14)*$F$3*F20+MIN(F16,F21*F20))*F22*F23</f>
        <v>2.89438848920863</v>
      </c>
      <c r="G24" s="38" t="n">
        <f aca="false">G10*(G14*$F$3+(G15-G14)*$F$3*G20+MIN(G16,G21*G20))*G22*G23</f>
        <v>1.89</v>
      </c>
      <c r="H24" s="38" t="n">
        <f aca="false">H10*(H14*$F$3+(H15-H14)*$F$3*H20+MIN(H16,H21*H20))*H22*H23</f>
        <v>2.25</v>
      </c>
      <c r="I24" s="38" t="n">
        <f aca="false">I10*(I14*$F$3+(I15-I14)*$F$3*I20+MIN(I16,I21*I20))*I22*I23</f>
        <v>3.12</v>
      </c>
      <c r="J24" s="38" t="n">
        <f aca="false">J10*(J14*$F$3+(J15-J14)*$F$3*J20+MIN(J16,J21*J20))*J22*J23</f>
        <v>3.24</v>
      </c>
      <c r="K24" s="38" t="n">
        <f aca="false">K10*(K14*$F$3+(K15-K14)*$F$3*K20+MIN(K16,K21*K20))*K22*K23</f>
        <v>3</v>
      </c>
      <c r="L24" s="38" t="n">
        <f aca="false">L10*(L14*$F$3+(L15-L14)*$F$3*L20+MIN(L16,L21*L20))*L22*L23</f>
        <v>2.64</v>
      </c>
      <c r="M24" s="38" t="n">
        <f aca="false">M10*(M14*$F$3+(M15-M14)*$F$3*M20+MIN(M16,M21*M20))*M22*M23</f>
        <v>2.52</v>
      </c>
      <c r="N24" s="38" t="n">
        <f aca="false">N10*(N14*$F$3+(N15-N14)*$F$3*N20+MIN(N16,N21*N20))*N22*N23</f>
        <v>2.4</v>
      </c>
      <c r="O24" s="17" t="n">
        <f aca="false">SUM(C24:N24)</f>
        <v>28.652692146283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18</v>
      </c>
      <c r="M27" s="6" t="n">
        <f aca="false">M25*M26*INDEX(Assumptions!$C$220:$E$220,$B$3)</f>
        <v>18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1.43944919064748</v>
      </c>
      <c r="F31" s="6" t="n">
        <f aca="false">E34+D34+E37+D37+1.25*E35</f>
        <v>2.07151412619904</v>
      </c>
      <c r="G31" s="6" t="n">
        <f aca="false">F34+E34+F37+E37+1.25*F35</f>
        <v>2.9441848396283</v>
      </c>
      <c r="H31" s="6" t="n">
        <f aca="false">G34+F34+G37+F37+1.25*G35</f>
        <v>3.01891846522782</v>
      </c>
      <c r="I31" s="6" t="n">
        <f aca="false">H34+G34+H37+G37+1.25*H35</f>
        <v>2.66804856115108</v>
      </c>
      <c r="J31" s="6" t="n">
        <f aca="false">I34+H34+I37+H37+1.25*I35</f>
        <v>3.2025</v>
      </c>
      <c r="K31" s="6" t="n">
        <f aca="false">J34+I34+J37+I37+1.25*J35</f>
        <v>3.85125</v>
      </c>
      <c r="L31" s="6" t="n">
        <f aca="false">K34+J34+K37+J37+1.25*K35</f>
        <v>3.915</v>
      </c>
      <c r="M31" s="6" t="n">
        <f aca="false">L34+K34+L37+K37+1.25*L35</f>
        <v>3.6</v>
      </c>
      <c r="N31" s="6" t="n">
        <f aca="false">M34+L34+M37+L37+1.25*M35</f>
        <v>3.285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1.52889838129496</v>
      </c>
      <c r="E32" s="6" t="n">
        <f aca="false">E24*(INDEX(Assumptions!$C$26:$E$26,$B$3)*(1-E28)+(1-INDEX(Assumptions!$C$26:$E$26,$B$3)))+1.25*E30+D36*INDEX(Assumptions!$C$89:$E$89,$B$3)</f>
        <v>2.29176757344125</v>
      </c>
      <c r="F32" s="6" t="n">
        <f aca="false">F24*(INDEX(Assumptions!$C$26:$E$26,$B$3)*(1-F28)+(1-INDEX(Assumptions!$C$26:$E$26,$B$3)))+1.25*F30+E36*INDEX(Assumptions!$C$89:$E$89,$B$3)</f>
        <v>3.15931414868106</v>
      </c>
      <c r="G32" s="6" t="n">
        <f aca="false">G24*(INDEX(Assumptions!$C$26:$E$26,$B$3)*(1-G28)+(1-INDEX(Assumptions!$C$26:$E$26,$B$3)))+1.25*G30+F36*INDEX(Assumptions!$C$89:$E$89,$B$3)</f>
        <v>2.25179856115108</v>
      </c>
      <c r="H32" s="6" t="n">
        <f aca="false">H24*(INDEX(Assumptions!$C$26:$E$26,$B$3)*(1-H28)+(1-INDEX(Assumptions!$C$26:$E$26,$B$3)))+1.25*H30+G36*INDEX(Assumptions!$C$89:$E$89,$B$3)</f>
        <v>2.48625</v>
      </c>
      <c r="I32" s="6" t="n">
        <f aca="false">I24*(INDEX(Assumptions!$C$26:$E$26,$B$3)*(1-I28)+(1-INDEX(Assumptions!$C$26:$E$26,$B$3)))+1.25*I30+H36*INDEX(Assumptions!$C$89:$E$89,$B$3)</f>
        <v>3.40125</v>
      </c>
      <c r="J32" s="6" t="n">
        <f aca="false">J24*(INDEX(Assumptions!$C$26:$E$26,$B$3)*(1-J28)+(1-INDEX(Assumptions!$C$26:$E$26,$B$3)))+1.25*J30+I36*INDEX(Assumptions!$C$89:$E$89,$B$3)</f>
        <v>3.63</v>
      </c>
      <c r="K32" s="6" t="n">
        <f aca="false">K24*(INDEX(Assumptions!$C$26:$E$26,$B$3)*(1-K28)+(1-INDEX(Assumptions!$C$26:$E$26,$B$3)))+1.25*K30+J36*INDEX(Assumptions!$C$89:$E$89,$B$3)</f>
        <v>3.405</v>
      </c>
      <c r="L32" s="6" t="n">
        <f aca="false">L24*(INDEX(Assumptions!$C$26:$E$26,$B$3)*(1-L28)+(1-INDEX(Assumptions!$C$26:$E$26,$B$3)))+1.25*L30+K36*INDEX(Assumptions!$C$89:$E$89,$B$3)</f>
        <v>3.015</v>
      </c>
      <c r="M32" s="6" t="n">
        <f aca="false">M24*(INDEX(Assumptions!$C$26:$E$26,$B$3)*(1-M28)+(1-INDEX(Assumptions!$C$26:$E$26,$B$3)))+1.25*M30+L36*INDEX(Assumptions!$C$89:$E$89,$B$3)</f>
        <v>2.85</v>
      </c>
      <c r="N32" s="6" t="n">
        <f aca="false">N24*(INDEX(Assumptions!$C$26:$E$26,$B$3)*(1-N28)+(1-INDEX(Assumptions!$C$26:$E$26,$B$3)))+1.25*N30+M36*INDEX(Assumptions!$C$89:$E$89,$B$3)</f>
        <v>2.715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0.689449190647482</v>
      </c>
      <c r="E34" s="38" t="n">
        <f aca="false">E24*INDEX(Assumptions!$C$26:$E$26,$B$3)*(1-E28)*E33</f>
        <v>1.05970263788969</v>
      </c>
      <c r="F34" s="38" t="n">
        <f aca="false">F24*INDEX(Assumptions!$C$26:$E$26,$B$3)*(1-F28)*F33</f>
        <v>1.44719424460432</v>
      </c>
      <c r="G34" s="38" t="n">
        <f aca="false">G24*INDEX(Assumptions!$C$26:$E$26,$B$3)*(1-G28)*G33</f>
        <v>0.945</v>
      </c>
      <c r="H34" s="38" t="n">
        <f aca="false">H24*INDEX(Assumptions!$C$26:$E$26,$B$3)*(1-H28)*H33</f>
        <v>1.125</v>
      </c>
      <c r="I34" s="38" t="n">
        <f aca="false">I24*INDEX(Assumptions!$C$26:$E$26,$B$3)*(1-I28)*I33</f>
        <v>1.56</v>
      </c>
      <c r="J34" s="38" t="n">
        <f aca="false">J24*INDEX(Assumptions!$C$26:$E$26,$B$3)*(1-J28)*J33</f>
        <v>1.62</v>
      </c>
      <c r="K34" s="38" t="n">
        <f aca="false">K24*INDEX(Assumptions!$C$26:$E$26,$B$3)*(1-K28)*K33</f>
        <v>1.5</v>
      </c>
      <c r="L34" s="38" t="n">
        <f aca="false">L24*INDEX(Assumptions!$C$26:$E$26,$B$3)*(1-L28)*L33</f>
        <v>1.32</v>
      </c>
      <c r="M34" s="38" t="n">
        <f aca="false">M24*INDEX(Assumptions!$C$26:$E$26,$B$3)*(1-M28)*M33</f>
        <v>1.26</v>
      </c>
      <c r="N34" s="38" t="n">
        <f aca="false">N24*INDEX(Assumptions!$C$26:$E$26,$B$3)*(1-N28)*N33</f>
        <v>1.2</v>
      </c>
      <c r="O34" s="17" t="n">
        <f aca="false">SUM(C34:N34)</f>
        <v>14.3263460731415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0.6</v>
      </c>
      <c r="D36" s="16" t="n">
        <f aca="false">D24*(1-INDEX(Assumptions!$C$26:$E$26,$B$3))*D33</f>
        <v>0.689449190647482</v>
      </c>
      <c r="E36" s="16" t="n">
        <f aca="false">E24*(1-INDEX(Assumptions!$C$26:$E$26,$B$3))*E33</f>
        <v>1.05970263788969</v>
      </c>
      <c r="F36" s="16" t="n">
        <f aca="false">F24*(1-INDEX(Assumptions!$C$26:$E$26,$B$3))*F33</f>
        <v>1.44719424460432</v>
      </c>
      <c r="G36" s="16" t="n">
        <f aca="false">G24*(1-INDEX(Assumptions!$C$26:$E$26,$B$3))*G33</f>
        <v>0.945</v>
      </c>
      <c r="H36" s="16" t="n">
        <f aca="false">H24*(1-INDEX(Assumptions!$C$26:$E$26,$B$3))*H33</f>
        <v>1.125</v>
      </c>
      <c r="I36" s="16" t="n">
        <f aca="false">I24*(1-INDEX(Assumptions!$C$26:$E$26,$B$3))*I33</f>
        <v>1.56</v>
      </c>
      <c r="J36" s="16" t="n">
        <f aca="false">J24*(1-INDEX(Assumptions!$C$26:$E$26,$B$3))*J33</f>
        <v>1.62</v>
      </c>
      <c r="K36" s="16" t="n">
        <f aca="false">K24*(1-INDEX(Assumptions!$C$26:$E$26,$B$3))*K33</f>
        <v>1.5</v>
      </c>
      <c r="L36" s="16" t="n">
        <f aca="false">L24*(1-INDEX(Assumptions!$C$26:$E$26,$B$3))*L33</f>
        <v>1.32</v>
      </c>
      <c r="M36" s="16" t="n">
        <f aca="false">M24*(1-INDEX(Assumptions!$C$26:$E$26,$B$3))*M33</f>
        <v>1.26</v>
      </c>
      <c r="N36" s="16" t="n">
        <f aca="false">N24*(1-INDEX(Assumptions!$C$26:$E$26,$B$3))*N33</f>
        <v>1.2</v>
      </c>
      <c r="O36" s="38" t="n">
        <f aca="false">SUM(C36:N36)</f>
        <v>14.3263460731415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0.172362297661871</v>
      </c>
      <c r="F37" s="16" t="n">
        <f aca="false">E36*INDEX(Assumptions!$C$89:$E$89,$B$3)*F33</f>
        <v>0.264925659472422</v>
      </c>
      <c r="G37" s="16" t="n">
        <f aca="false">F36*INDEX(Assumptions!$C$89:$E$89,$B$3)*G33</f>
        <v>0.361798561151079</v>
      </c>
      <c r="H37" s="16" t="n">
        <f aca="false">G36*INDEX(Assumptions!$C$89:$E$89,$B$3)*H33</f>
        <v>0.23625</v>
      </c>
      <c r="I37" s="16" t="n">
        <f aca="false">H36*INDEX(Assumptions!$C$89:$E$89,$B$3)*I33</f>
        <v>0.28125</v>
      </c>
      <c r="J37" s="16" t="n">
        <f aca="false">I36*INDEX(Assumptions!$C$89:$E$89,$B$3)*J33</f>
        <v>0.39</v>
      </c>
      <c r="K37" s="16" t="n">
        <f aca="false">J36*INDEX(Assumptions!$C$89:$E$89,$B$3)*K33</f>
        <v>0.405</v>
      </c>
      <c r="L37" s="16" t="n">
        <f aca="false">K36*INDEX(Assumptions!$C$89:$E$89,$B$3)*L33</f>
        <v>0.375</v>
      </c>
      <c r="M37" s="16" t="n">
        <f aca="false">L36*INDEX(Assumptions!$C$89:$E$89,$B$3)*M33</f>
        <v>0.33</v>
      </c>
      <c r="N37" s="16" t="n">
        <f aca="false">M36*INDEX(Assumptions!$C$89:$E$89,$B$3)*N33</f>
        <v>0.315</v>
      </c>
      <c r="O37" s="38" t="n">
        <f aca="false">SUM(C37:N37)</f>
        <v>3.28158651828537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1.2</v>
      </c>
      <c r="D38" s="38" t="n">
        <f aca="false">D34+D35+D36</f>
        <v>1.37889838129496</v>
      </c>
      <c r="E38" s="38" t="n">
        <f aca="false">E34+E35+E36</f>
        <v>2.11940527577938</v>
      </c>
      <c r="F38" s="38" t="n">
        <f aca="false">F34+F35+F36</f>
        <v>2.89438848920863</v>
      </c>
      <c r="G38" s="38" t="n">
        <f aca="false">G34+G35+G36</f>
        <v>1.89</v>
      </c>
      <c r="H38" s="38" t="n">
        <f aca="false">H34+H35+H36</f>
        <v>2.25</v>
      </c>
      <c r="I38" s="38" t="n">
        <f aca="false">I34+I35+I36</f>
        <v>3.12</v>
      </c>
      <c r="J38" s="38" t="n">
        <f aca="false">J34+J35+J36</f>
        <v>3.24</v>
      </c>
      <c r="K38" s="38" t="n">
        <f aca="false">K34+K35+K36</f>
        <v>3</v>
      </c>
      <c r="L38" s="38" t="n">
        <f aca="false">L34+L35+L36</f>
        <v>2.64</v>
      </c>
      <c r="M38" s="38" t="n">
        <f aca="false">M34+M35+M36</f>
        <v>2.52</v>
      </c>
      <c r="N38" s="38" t="n">
        <f aca="false">N34+N35+N36</f>
        <v>2.4</v>
      </c>
      <c r="O38" s="17" t="n">
        <f aca="false">SUM(C38:N38)</f>
        <v>28.652692146283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1.37889838129496</v>
      </c>
      <c r="E39" s="16" t="n">
        <f aca="false">IF(3&lt;IF($Q$3=1,$Q$4+1,INDEX(Assumptions!$C$215:$E$215,$D$3)),E24,E38)</f>
        <v>2.11940527577938</v>
      </c>
      <c r="F39" s="16" t="n">
        <f aca="false">IF(4&lt;IF($Q$3=1,$Q$4+1,INDEX(Assumptions!$C$215:$E$215,$D$3)),F24,F38)</f>
        <v>2.89438848920863</v>
      </c>
      <c r="G39" s="16" t="n">
        <f aca="false">IF(5&lt;IF($Q$3=1,$Q$4+1,INDEX(Assumptions!$C$215:$E$215,$D$3)),G24,G38)</f>
        <v>1.89</v>
      </c>
      <c r="H39" s="16" t="n">
        <f aca="false">IF(6&lt;IF($Q$3=1,$Q$4+1,INDEX(Assumptions!$C$215:$E$215,$D$3)),H24,H38)</f>
        <v>2.25</v>
      </c>
      <c r="I39" s="16" t="n">
        <f aca="false">IF(7&lt;IF($Q$3=1,$Q$4+1,INDEX(Assumptions!$C$215:$E$215,$D$3)),I24,I38)</f>
        <v>3.12</v>
      </c>
      <c r="J39" s="16" t="n">
        <f aca="false">IF(8&lt;IF($Q$3=1,$Q$4+1,INDEX(Assumptions!$C$215:$E$215,$D$3)),J24,J38)</f>
        <v>3.24</v>
      </c>
      <c r="K39" s="16" t="n">
        <f aca="false">IF(9&lt;IF($Q$3=1,$Q$4+1,INDEX(Assumptions!$C$215:$E$215,$D$3)),K24,K38)</f>
        <v>3</v>
      </c>
      <c r="L39" s="16" t="n">
        <f aca="false">IF(10&lt;IF($Q$3=1,$Q$4+1,INDEX(Assumptions!$C$215:$E$215,$D$3)),L24,L38)</f>
        <v>2.64</v>
      </c>
      <c r="M39" s="16" t="n">
        <f aca="false">IF(11&lt;IF($Q$3=1,$Q$4+1,INDEX(Assumptions!$C$215:$E$215,$D$3)),M24,M38)</f>
        <v>2.52</v>
      </c>
      <c r="N39" s="16" t="n">
        <f aca="false">IF(12&lt;IF($Q$3=1,$Q$4+1,INDEX(Assumptions!$C$215:$E$215,$D$3)),N24,N38)</f>
        <v>2.4</v>
      </c>
      <c r="O39" s="38" t="n">
        <f aca="false">SUM(C39:N39)</f>
        <v>28.652692146283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0.18</v>
      </c>
      <c r="D40" s="16" t="n">
        <f aca="false">D38*INDEX(Assumptions!$C$74:$E$74,$B$3)</f>
        <v>0.206834757194245</v>
      </c>
      <c r="E40" s="16" t="n">
        <f aca="false">E38*INDEX(Assumptions!$C$74:$E$74,$B$3)</f>
        <v>0.317910791366906</v>
      </c>
      <c r="F40" s="16" t="n">
        <f aca="false">F38*INDEX(Assumptions!$C$74:$E$74,$B$3)</f>
        <v>0.434158273381295</v>
      </c>
      <c r="G40" s="16" t="n">
        <f aca="false">G38*INDEX(Assumptions!$C$74:$E$74,$B$3)</f>
        <v>0.2835</v>
      </c>
      <c r="H40" s="16" t="n">
        <f aca="false">H38*INDEX(Assumptions!$C$74:$E$74,$B$3)</f>
        <v>0.3375</v>
      </c>
      <c r="I40" s="16" t="n">
        <f aca="false">I38*INDEX(Assumptions!$C$74:$E$74,$B$3)</f>
        <v>0.468</v>
      </c>
      <c r="J40" s="16" t="n">
        <f aca="false">J38*INDEX(Assumptions!$C$74:$E$74,$B$3)</f>
        <v>0.486</v>
      </c>
      <c r="K40" s="16" t="n">
        <f aca="false">K38*INDEX(Assumptions!$C$74:$E$74,$B$3)</f>
        <v>0.45</v>
      </c>
      <c r="L40" s="16" t="n">
        <f aca="false">L38*INDEX(Assumptions!$C$74:$E$74,$B$3)</f>
        <v>0.396</v>
      </c>
      <c r="M40" s="16" t="n">
        <f aca="false">M38*INDEX(Assumptions!$C$74:$E$74,$B$3)</f>
        <v>0.378</v>
      </c>
      <c r="N40" s="16" t="n">
        <f aca="false">N38*INDEX(Assumptions!$C$74:$E$74,$B$3)</f>
        <v>0.36</v>
      </c>
      <c r="O40" s="38" t="n">
        <f aca="false">SUM(C40:N40)</f>
        <v>4.29790382194245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0.486071942446043</v>
      </c>
      <c r="F41" s="16" t="n">
        <f aca="false">F10*MIN(F16,F21*F20)*F22*F23*F33</f>
        <v>0.694388489208633</v>
      </c>
      <c r="G41" s="16" t="n">
        <f aca="false">G10*MIN(G16,G21*G20)*G22*G23*G33</f>
        <v>0</v>
      </c>
      <c r="H41" s="16" t="n">
        <f aca="false">H10*MIN(H16,H21*H20)*H22*H23*H33</f>
        <v>0</v>
      </c>
      <c r="I41" s="16" t="n">
        <f aca="false">I10*MIN(I16,I21*I20)*I22*I23*I33</f>
        <v>0</v>
      </c>
      <c r="J41" s="16" t="n">
        <f aca="false">J10*MIN(J16,J21*J20)*J22*J23*J33</f>
        <v>0</v>
      </c>
      <c r="K41" s="16" t="n">
        <f aca="false">K10*MIN(K16,K21*K20)*K22*K23*K33</f>
        <v>0</v>
      </c>
      <c r="L41" s="16" t="n">
        <f aca="false">L10*MIN(L16,L21*L20)*L22*L23*L33</f>
        <v>0</v>
      </c>
      <c r="M41" s="16" t="n">
        <f aca="false">M10*MIN(M16,M21*M20)*M22*M23*M33</f>
        <v>0</v>
      </c>
      <c r="N41" s="16" t="n">
        <f aca="false">N10*MIN(N16,N21*N20)*N22*N23*N33</f>
        <v>0</v>
      </c>
      <c r="O41" s="38" t="n">
        <f aca="false">SUM(C41:N41)</f>
        <v>1.27810881294964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1.2</v>
      </c>
      <c r="D42" s="6" t="n">
        <f aca="false">D31+D34+D37+D36+1.25*D35</f>
        <v>2.12889838129496</v>
      </c>
      <c r="E42" s="6" t="n">
        <f aca="false">E31+E34+E37+E36+1.25*E35</f>
        <v>3.73121676408873</v>
      </c>
      <c r="F42" s="6" t="n">
        <f aca="false">F31+F34+F37+F36+1.25*F35</f>
        <v>5.2308282748801</v>
      </c>
      <c r="G42" s="6" t="n">
        <f aca="false">G31+G34+G37+G36+1.25*G35</f>
        <v>5.19598340077938</v>
      </c>
      <c r="H42" s="6" t="n">
        <f aca="false">H31+H34+H37+H36+1.25*H35</f>
        <v>5.50516846522782</v>
      </c>
      <c r="I42" s="6" t="n">
        <f aca="false">I31+I34+I37+I36+1.25*I35</f>
        <v>6.06929856115108</v>
      </c>
      <c r="J42" s="6" t="n">
        <f aca="false">J31+J34+J37+J36+1.25*J35</f>
        <v>6.8325</v>
      </c>
      <c r="K42" s="6" t="n">
        <f aca="false">K31+K34+K37+K36+1.25*K35</f>
        <v>7.25625</v>
      </c>
      <c r="L42" s="6" t="n">
        <f aca="false">L31+L34+L37+L36+1.25*L35</f>
        <v>6.93</v>
      </c>
      <c r="M42" s="6" t="n">
        <f aca="false">M31+M34+M37+M36+1.25*M35</f>
        <v>6.45</v>
      </c>
      <c r="N42" s="6" t="n">
        <f aca="false">N31+N34+N37+N36+1.25*N35</f>
        <v>6</v>
      </c>
      <c r="O42" s="41" t="n">
        <f aca="false">AVERAGE(C42:N42)</f>
        <v>5.21084532061851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0.075</v>
      </c>
      <c r="D43" s="39" t="n">
        <f aca="false">D42/(D25*D26)</f>
        <v>0.133056148830935</v>
      </c>
      <c r="E43" s="39" t="n">
        <f aca="false">E42/(E25*E26)</f>
        <v>0.233201047755546</v>
      </c>
      <c r="F43" s="39" t="n">
        <f aca="false">F42/(F25*F26)</f>
        <v>0.326926767180006</v>
      </c>
      <c r="G43" s="39" t="n">
        <f aca="false">G42/(G25*G26)</f>
        <v>0.259799170038969</v>
      </c>
      <c r="H43" s="39" t="n">
        <f aca="false">H42/(H25*H26)</f>
        <v>0.275258423261391</v>
      </c>
      <c r="I43" s="39" t="n">
        <f aca="false">I42/(I25*I26)</f>
        <v>0.303464928057554</v>
      </c>
      <c r="J43" s="39" t="n">
        <f aca="false">J42/(J25*J26)</f>
        <v>0.341625</v>
      </c>
      <c r="K43" s="39" t="n">
        <f aca="false">K42/(K25*K26)</f>
        <v>0.3628125</v>
      </c>
      <c r="L43" s="39" t="n">
        <f aca="false">L42/(L25*L26)</f>
        <v>0.3465</v>
      </c>
      <c r="M43" s="39" t="n">
        <f aca="false">M42/(M25*M26)</f>
        <v>0.3225</v>
      </c>
      <c r="N43" s="39" t="n">
        <f aca="false">N42/(N25*N26)</f>
        <v>0.3</v>
      </c>
      <c r="O43" s="9" t="n">
        <f aca="false">N43</f>
        <v>0.3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</v>
      </c>
      <c r="F46" s="6" t="n">
        <f aca="false">IF(4&gt;=3,INDEX(Assumptions!$C$234:$E$234,F$9)*INDEX(Assumptions!$C$235:$E$235,$B$3)*MIN(1,(4-2)/6),0)*$F$3*F22*$W$3</f>
        <v>6</v>
      </c>
      <c r="G46" s="6" t="n">
        <f aca="false">IF(5&gt;=3,INDEX(Assumptions!$C$234:$E$234,G$9)*INDEX(Assumptions!$C$235:$E$235,$B$3)*MIN(1,(5-2)/6),0)*$F$3*G22*$W$3</f>
        <v>4.5</v>
      </c>
      <c r="H46" s="6" t="n">
        <f aca="false">IF(6&gt;=3,INDEX(Assumptions!$C$234:$E$234,H$9)*INDEX(Assumptions!$C$235:$E$235,$B$3)*MIN(1,(6-2)/6),0)*$F$3*H22*$W$3</f>
        <v>6</v>
      </c>
      <c r="I46" s="6" t="n">
        <f aca="false">IF(7&gt;=3,INDEX(Assumptions!$C$234:$E$234,I$9)*INDEX(Assumptions!$C$235:$E$235,$B$3)*MIN(1,(7-2)/6),0)*$F$3*I22*$W$3</f>
        <v>7.5</v>
      </c>
      <c r="J46" s="6" t="n">
        <f aca="false">IF(8&gt;=3,INDEX(Assumptions!$C$234:$E$234,J$9)*INDEX(Assumptions!$C$235:$E$235,$B$3)*MIN(1,(8-2)/6),0)*$F$3*J22*$W$3</f>
        <v>9</v>
      </c>
      <c r="K46" s="6" t="n">
        <f aca="false">IF(9&gt;=3,INDEX(Assumptions!$C$234:$E$234,K$9)*INDEX(Assumptions!$C$235:$E$235,$B$3)*MIN(1,(9-2)/6),0)*$F$3*K22*$W$3</f>
        <v>9</v>
      </c>
      <c r="L46" s="6" t="n">
        <f aca="false">IF(10&gt;=3,INDEX(Assumptions!$C$234:$E$234,L$9)*INDEX(Assumptions!$C$235:$E$235,$B$3)*MIN(1,(10-2)/6),0)*$F$3*L22*$W$3</f>
        <v>9</v>
      </c>
      <c r="M46" s="6" t="n">
        <f aca="false">IF(11&gt;=3,INDEX(Assumptions!$C$234:$E$234,M$9)*INDEX(Assumptions!$C$235:$E$235,$B$3)*MIN(1,(11-2)/6),0)*$F$3*M22*$W$3</f>
        <v>9</v>
      </c>
      <c r="N46" s="6" t="n">
        <f aca="false">IF(12&gt;=3,INDEX(Assumptions!$C$234:$E$234,N$9)*INDEX(Assumptions!$C$235:$E$235,$B$3)*MIN(1,(12-2)/6),0)*$F$3*N22*$W$3</f>
        <v>9</v>
      </c>
      <c r="O46" s="41" t="n">
        <f aca="false">SUM(C46:N46)</f>
        <v>72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9</v>
      </c>
      <c r="H47" s="6" t="n">
        <f aca="false">INDEX(Assumptions!$C$236:$E$236,H$9)*H11*MIN(1,6/3)*$F$3*H22</f>
        <v>8</v>
      </c>
      <c r="I47" s="6" t="n">
        <f aca="false">INDEX(Assumptions!$C$236:$E$236,I$9)*I11*MIN(1,7/3)*$F$3*I22</f>
        <v>7</v>
      </c>
      <c r="J47" s="6" t="n">
        <f aca="false">INDEX(Assumptions!$C$236:$E$236,J$9)*J11*MIN(1,8/3)*$F$3*J22</f>
        <v>6</v>
      </c>
      <c r="K47" s="6" t="n">
        <f aca="false">INDEX(Assumptions!$C$236:$E$236,K$9)*K11*MIN(1,9/3)*$F$3*K22</f>
        <v>6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125.5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2.29816396882494</v>
      </c>
      <c r="E48" s="6" t="n">
        <f aca="false">E24*INDEX(Assumptions!$C$31:$E$31,$B$3)/(INDEX(Assumptions!$C$56:$E$56,$B$3)*INDEX(Assumptions!$C$57:$E$57,$B$3)*INDEX(Assumptions!$C$58:$E$58,$B$3))</f>
        <v>3.53234212629896</v>
      </c>
      <c r="F48" s="6" t="n">
        <f aca="false">F24*INDEX(Assumptions!$C$31:$E$31,$B$3)/(INDEX(Assumptions!$C$56:$E$56,$B$3)*INDEX(Assumptions!$C$57:$E$57,$B$3)*INDEX(Assumptions!$C$58:$E$58,$B$3))</f>
        <v>4.82398081534772</v>
      </c>
      <c r="G48" s="6" t="n">
        <f aca="false">G24*INDEX(Assumptions!$C$31:$E$31,$B$3)/(INDEX(Assumptions!$C$56:$E$56,$B$3)*INDEX(Assumptions!$C$57:$E$57,$B$3)*INDEX(Assumptions!$C$58:$E$58,$B$3))</f>
        <v>3.15</v>
      </c>
      <c r="H48" s="6" t="n">
        <f aca="false">H24*INDEX(Assumptions!$C$31:$E$31,$B$3)/(INDEX(Assumptions!$C$56:$E$56,$B$3)*INDEX(Assumptions!$C$57:$E$57,$B$3)*INDEX(Assumptions!$C$58:$E$58,$B$3))</f>
        <v>3.75</v>
      </c>
      <c r="I48" s="6" t="n">
        <f aca="false">I24*INDEX(Assumptions!$C$31:$E$31,$B$3)/(INDEX(Assumptions!$C$56:$E$56,$B$3)*INDEX(Assumptions!$C$57:$E$57,$B$3)*INDEX(Assumptions!$C$58:$E$58,$B$3))</f>
        <v>5.2</v>
      </c>
      <c r="J48" s="6" t="n">
        <f aca="false">J24*INDEX(Assumptions!$C$31:$E$31,$B$3)/(INDEX(Assumptions!$C$56:$E$56,$B$3)*INDEX(Assumptions!$C$57:$E$57,$B$3)*INDEX(Assumptions!$C$58:$E$58,$B$3))</f>
        <v>5.4</v>
      </c>
      <c r="K48" s="6" t="n">
        <f aca="false">K24*INDEX(Assumptions!$C$31:$E$31,$B$3)/(INDEX(Assumptions!$C$56:$E$56,$B$3)*INDEX(Assumptions!$C$57:$E$57,$B$3)*INDEX(Assumptions!$C$58:$E$58,$B$3))</f>
        <v>5</v>
      </c>
      <c r="L48" s="6" t="n">
        <f aca="false">L24*INDEX(Assumptions!$C$31:$E$31,$B$3)/(INDEX(Assumptions!$C$56:$E$56,$B$3)*INDEX(Assumptions!$C$57:$E$57,$B$3)*INDEX(Assumptions!$C$58:$E$58,$B$3))</f>
        <v>4.4</v>
      </c>
      <c r="M48" s="6" t="n">
        <f aca="false">M24*INDEX(Assumptions!$C$31:$E$31,$B$3)/(INDEX(Assumptions!$C$56:$E$56,$B$3)*INDEX(Assumptions!$C$57:$E$57,$B$3)*INDEX(Assumptions!$C$58:$E$58,$B$3))</f>
        <v>4.2</v>
      </c>
      <c r="N48" s="6" t="n">
        <f aca="false">N24*INDEX(Assumptions!$C$31:$E$31,$B$3)/(INDEX(Assumptions!$C$56:$E$56,$B$3)*INDEX(Assumptions!$C$57:$E$57,$B$3)*INDEX(Assumptions!$C$58:$E$58,$B$3))</f>
        <v>4</v>
      </c>
      <c r="O48" s="41" t="n">
        <f aca="false">SUM(C48:N48)</f>
        <v>47.7544869104716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0.105</v>
      </c>
      <c r="F51" s="16" t="n">
        <f aca="false">F46*0.7*INDEX(Assumptions!$C$73:$E$73,$B$3)</f>
        <v>0.21</v>
      </c>
      <c r="G51" s="16" t="n">
        <f aca="false">G46*0.7*INDEX(Assumptions!$C$73:$E$73,$B$3)</f>
        <v>0.1575</v>
      </c>
      <c r="H51" s="16" t="n">
        <f aca="false">H46*0.7*INDEX(Assumptions!$C$73:$E$73,$B$3)</f>
        <v>0.21</v>
      </c>
      <c r="I51" s="16" t="n">
        <f aca="false">I46*0.7*INDEX(Assumptions!$C$73:$E$73,$B$3)</f>
        <v>0.2625</v>
      </c>
      <c r="J51" s="16" t="n">
        <f aca="false">J46*0.7*INDEX(Assumptions!$C$73:$E$73,$B$3)</f>
        <v>0.315</v>
      </c>
      <c r="K51" s="16" t="n">
        <f aca="false">K46*0.7*INDEX(Assumptions!$C$73:$E$73,$B$3)</f>
        <v>0.315</v>
      </c>
      <c r="L51" s="16" t="n">
        <f aca="false">L46*0.7*INDEX(Assumptions!$C$73:$E$73,$B$3)</f>
        <v>0.315</v>
      </c>
      <c r="M51" s="16" t="n">
        <f aca="false">M46*0.7*INDEX(Assumptions!$C$73:$E$73,$B$3)</f>
        <v>0.315</v>
      </c>
      <c r="N51" s="16" t="n">
        <f aca="false">N46*0.7*INDEX(Assumptions!$C$73:$E$73,$B$3)</f>
        <v>0.315</v>
      </c>
      <c r="O51" s="38" t="n">
        <f aca="false">SUM(C51:N51)</f>
        <v>2.52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O53" s="40" t="n">
        <f aca="false">AVERAGE(C53:N53)</f>
        <v>40000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1</v>
      </c>
      <c r="M54" s="10" t="n">
        <f aca="false">IF(AND(11&gt;=IF($Q$3=1,$Q$4+1,INDEX(Assumptions!$C$105:$E$105,$B$3)),NOT(AND($U$3=1,11=$Q$4+2))),0,1)</f>
        <v>1</v>
      </c>
      <c r="N54" s="10" t="n">
        <f aca="false">IF(AND(12&gt;=IF($Q$3=1,$Q$4+1,INDEX(Assumptions!$C$105:$E$105,$B$3)),NOT(AND($U$3=1,12=$Q$4+2))),0,1)</f>
        <v>1</v>
      </c>
      <c r="O54" s="40" t="n">
        <f aca="false">N54</f>
        <v>1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23371.1590049994</v>
      </c>
      <c r="E56" s="10" t="n">
        <f aca="false">E34*E53/(1+INDEX(Assumptions!$C$15:$E$15,$B$3)*$H$4)</f>
        <v>35922.1233182945</v>
      </c>
      <c r="F56" s="10" t="n">
        <f aca="false">F34*F53/(1+INDEX(Assumptions!$C$15:$E$15,$B$3)*$H$4)</f>
        <v>49057.4320204853</v>
      </c>
      <c r="G56" s="10" t="n">
        <f aca="false">G34*G53/(1+INDEX(Assumptions!$C$15:$E$15,$B$3)*$H$4)</f>
        <v>32033.8983050848</v>
      </c>
      <c r="H56" s="10" t="n">
        <f aca="false">H34*H53/(1+INDEX(Assumptions!$C$15:$E$15,$B$3)*$H$4)</f>
        <v>38135.593220339</v>
      </c>
      <c r="I56" s="10" t="n">
        <f aca="false">I34*I53/(1+INDEX(Assumptions!$C$15:$E$15,$B$3)*$H$4)</f>
        <v>52881.3559322034</v>
      </c>
      <c r="J56" s="10" t="n">
        <f aca="false">J34*J53/(1+INDEX(Assumptions!$C$15:$E$15,$B$3)*$H$4)</f>
        <v>54915.2542372882</v>
      </c>
      <c r="K56" s="10" t="n">
        <f aca="false">K34*K53/(1+INDEX(Assumptions!$C$15:$E$15,$B$3)*$H$4)</f>
        <v>50847.4576271187</v>
      </c>
      <c r="L56" s="10" t="n">
        <f aca="false">L34*L53/(1+INDEX(Assumptions!$C$15:$E$15,$B$3)*$H$4)</f>
        <v>44745.7627118644</v>
      </c>
      <c r="M56" s="10" t="n">
        <f aca="false">M34*M53/(1+INDEX(Assumptions!$C$15:$E$15,$B$3)*$H$4)</f>
        <v>42711.8644067797</v>
      </c>
      <c r="N56" s="10" t="n">
        <f aca="false">N34*N53/(1+INDEX(Assumptions!$C$15:$E$15,$B$3)*$H$4)</f>
        <v>40677.9661016949</v>
      </c>
      <c r="O56" s="40" t="n">
        <f aca="false">SUM(C56:N56)</f>
        <v>485638.849937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1460.69743781246</v>
      </c>
      <c r="F58" s="10" t="n">
        <f aca="false">F37*MAX(0,F53-INDEX(Assumptions!$C$18:$E$18,$B$3)*$H$3)/(1+INDEX(Assumptions!$C$15:$E$15,$B$3)*$H$4)</f>
        <v>2245.13270739341</v>
      </c>
      <c r="G58" s="10" t="n">
        <f aca="false">G37*MAX(0,G53-INDEX(Assumptions!$C$18:$E$18,$B$3)*$H$3)/(1+INDEX(Assumptions!$C$15:$E$15,$B$3)*$H$4)</f>
        <v>3066.08950128033</v>
      </c>
      <c r="H58" s="10" t="n">
        <f aca="false">H37*MAX(0,H53-INDEX(Assumptions!$C$18:$E$18,$B$3)*$H$3)/(1+INDEX(Assumptions!$C$15:$E$15,$B$3)*$H$4)</f>
        <v>2002.1186440678</v>
      </c>
      <c r="I58" s="10" t="n">
        <f aca="false">I37*MAX(0,I53-INDEX(Assumptions!$C$18:$E$18,$B$3)*$H$3)/(1+INDEX(Assumptions!$C$15:$E$15,$B$3)*$H$4)</f>
        <v>2383.47457627119</v>
      </c>
      <c r="J58" s="10" t="n">
        <f aca="false">J37*MAX(0,J53-INDEX(Assumptions!$C$18:$E$18,$B$3)*$H$3)/(1+INDEX(Assumptions!$C$15:$E$15,$B$3)*$H$4)</f>
        <v>3305.08474576271</v>
      </c>
      <c r="K58" s="10" t="n">
        <f aca="false">K37*MAX(0,K53-INDEX(Assumptions!$C$18:$E$18,$B$3)*$H$3)/(1+INDEX(Assumptions!$C$15:$E$15,$B$3)*$H$4)</f>
        <v>3432.20338983051</v>
      </c>
      <c r="L58" s="10" t="n">
        <f aca="false">L37*MAX(0,L53-INDEX(Assumptions!$C$18:$E$18,$B$3)*$H$3)/(1+INDEX(Assumptions!$C$15:$E$15,$B$3)*$H$4)</f>
        <v>3177.96610169492</v>
      </c>
      <c r="M58" s="10" t="n">
        <f aca="false">M37*MAX(0,M53-INDEX(Assumptions!$C$18:$E$18,$B$3)*$H$3)/(1+INDEX(Assumptions!$C$15:$E$15,$B$3)*$H$4)</f>
        <v>2796.61016949153</v>
      </c>
      <c r="N58" s="10" t="n">
        <f aca="false">N37*MAX(0,N53-INDEX(Assumptions!$C$18:$E$18,$B$3)*$H$3)/(1+INDEX(Assumptions!$C$15:$E$15,$B$3)*$H$4)</f>
        <v>2669.49152542373</v>
      </c>
      <c r="O58" s="40" t="n">
        <f aca="false">SUM(C58:N58)</f>
        <v>27810.0552397065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17528.3692537495</v>
      </c>
      <c r="E59" s="10" t="n">
        <f aca="false">E36*INDEX(Assumptions!$C$18:$E$18,$B$3)*$H$3/(1+INDEX(Assumptions!$C$15:$E$15,$B$3)*$H$4)</f>
        <v>26941.5924887209</v>
      </c>
      <c r="F59" s="10" t="n">
        <f aca="false">F36*INDEX(Assumptions!$C$18:$E$18,$B$3)*$H$3/(1+INDEX(Assumptions!$C$15:$E$15,$B$3)*$H$4)</f>
        <v>36793.074015364</v>
      </c>
      <c r="G59" s="10" t="n">
        <f aca="false">G36*INDEX(Assumptions!$C$18:$E$18,$B$3)*$H$3/(1+INDEX(Assumptions!$C$15:$E$15,$B$3)*$H$4)</f>
        <v>24025.4237288136</v>
      </c>
      <c r="H59" s="10" t="n">
        <f aca="false">H36*INDEX(Assumptions!$C$18:$E$18,$B$3)*$H$3/(1+INDEX(Assumptions!$C$15:$E$15,$B$3)*$H$4)</f>
        <v>28601.6949152542</v>
      </c>
      <c r="I59" s="10" t="n">
        <f aca="false">I36*INDEX(Assumptions!$C$18:$E$18,$B$3)*$H$3/(1+INDEX(Assumptions!$C$15:$E$15,$B$3)*$H$4)</f>
        <v>39661.0169491526</v>
      </c>
      <c r="J59" s="10" t="n">
        <f aca="false">J36*INDEX(Assumptions!$C$18:$E$18,$B$3)*$H$3/(1+INDEX(Assumptions!$C$15:$E$15,$B$3)*$H$4)</f>
        <v>41186.4406779661</v>
      </c>
      <c r="K59" s="10" t="n">
        <f aca="false">K36*INDEX(Assumptions!$C$18:$E$18,$B$3)*$H$3/(1+INDEX(Assumptions!$C$15:$E$15,$B$3)*$H$4)</f>
        <v>38135.593220339</v>
      </c>
      <c r="L59" s="10" t="n">
        <f aca="false">L36*INDEX(Assumptions!$C$18:$E$18,$B$3)*$H$3/(1+INDEX(Assumptions!$C$15:$E$15,$B$3)*$H$4)</f>
        <v>33559.3220338983</v>
      </c>
      <c r="M59" s="10" t="n">
        <f aca="false">M36*INDEX(Assumptions!$C$18:$E$18,$B$3)*$H$3/(1+INDEX(Assumptions!$C$15:$E$15,$B$3)*$H$4)</f>
        <v>32033.8983050848</v>
      </c>
      <c r="N59" s="10" t="n">
        <f aca="false">N36*INDEX(Assumptions!$C$18:$E$18,$B$3)*$H$3/(1+INDEX(Assumptions!$C$15:$E$15,$B$3)*$H$4)</f>
        <v>30508.4745762712</v>
      </c>
      <c r="O59" s="40" t="n">
        <f aca="false">SUM(C59:N59)</f>
        <v>364229.13745275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1828.91004793623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2811.08576027314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3838.98934276308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2506.81271186441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2984.30084745763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4138.23050847458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4297.39322033898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3979.06779661017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3501.57966101695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3342.41694915254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3183.25423728814</v>
      </c>
      <c r="O60" s="40" t="n">
        <f aca="false">SUM(C60:N60)</f>
        <v>38003.6682018199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12711.8644067797</v>
      </c>
      <c r="F61" s="10" t="n">
        <f aca="false">F46*INDEX(Assumptions!$C$21:$E$21,$B$3)*$H$3/(1+INDEX(Assumptions!$C$15:$E$15,$B$3)*$H$4)</f>
        <v>25423.7288135593</v>
      </c>
      <c r="G61" s="10" t="n">
        <f aca="false">G46*INDEX(Assumptions!$C$21:$E$21,$B$3)*$H$3/(1+INDEX(Assumptions!$C$15:$E$15,$B$3)*$H$4)</f>
        <v>19067.7966101695</v>
      </c>
      <c r="H61" s="10" t="n">
        <f aca="false">H46*INDEX(Assumptions!$C$21:$E$21,$B$3)*$H$3/(1+INDEX(Assumptions!$C$15:$E$15,$B$3)*$H$4)</f>
        <v>25423.7288135593</v>
      </c>
      <c r="I61" s="10" t="n">
        <f aca="false">I46*INDEX(Assumptions!$C$21:$E$21,$B$3)*$H$3/(1+INDEX(Assumptions!$C$15:$E$15,$B$3)*$H$4)</f>
        <v>31779.6610169492</v>
      </c>
      <c r="J61" s="10" t="n">
        <f aca="false">J46*INDEX(Assumptions!$C$21:$E$21,$B$3)*$H$3/(1+INDEX(Assumptions!$C$15:$E$15,$B$3)*$H$4)</f>
        <v>38135.593220339</v>
      </c>
      <c r="K61" s="10" t="n">
        <f aca="false">K46*INDEX(Assumptions!$C$21:$E$21,$B$3)*$H$3/(1+INDEX(Assumptions!$C$15:$E$15,$B$3)*$H$4)</f>
        <v>38135.593220339</v>
      </c>
      <c r="L61" s="10" t="n">
        <f aca="false">L46*INDEX(Assumptions!$C$21:$E$21,$B$3)*$H$3/(1+INDEX(Assumptions!$C$15:$E$15,$B$3)*$H$4)</f>
        <v>38135.593220339</v>
      </c>
      <c r="M61" s="10" t="n">
        <f aca="false">M46*INDEX(Assumptions!$C$21:$E$21,$B$3)*$H$3/(1+INDEX(Assumptions!$C$15:$E$15,$B$3)*$H$4)</f>
        <v>38135.593220339</v>
      </c>
      <c r="N61" s="10" t="n">
        <f aca="false">N46*INDEX(Assumptions!$C$21:$E$21,$B$3)*$H$3/(1+INDEX(Assumptions!$C$15:$E$15,$B$3)*$H$4)</f>
        <v>38135.593220339</v>
      </c>
      <c r="O61" s="40" t="n">
        <f aca="false">SUM(C61:N61)</f>
        <v>305084.745762712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17796.6101694915</v>
      </c>
      <c r="D62" s="10" t="n">
        <f aca="false">D47*INDEX(Assumptions!$C$22:$E$22,$B$3)*$H$3/(1+INDEX(Assumptions!$C$15:$E$15,$B$3)*$H$4)</f>
        <v>30508.4745762712</v>
      </c>
      <c r="E62" s="10" t="n">
        <f aca="false">E47*INDEX(Assumptions!$C$22:$E$22,$B$3)*$H$3/(1+INDEX(Assumptions!$C$15:$E$15,$B$3)*$H$4)</f>
        <v>45762.7118644068</v>
      </c>
      <c r="F62" s="10" t="n">
        <f aca="false">F47*INDEX(Assumptions!$C$22:$E$22,$B$3)*$H$3/(1+INDEX(Assumptions!$C$15:$E$15,$B$3)*$H$4)</f>
        <v>49576.2711864407</v>
      </c>
      <c r="G62" s="10" t="n">
        <f aca="false">G47*INDEX(Assumptions!$C$22:$E$22,$B$3)*$H$3/(1+INDEX(Assumptions!$C$15:$E$15,$B$3)*$H$4)</f>
        <v>22881.3559322034</v>
      </c>
      <c r="H62" s="10" t="n">
        <f aca="false">H47*INDEX(Assumptions!$C$22:$E$22,$B$3)*$H$3/(1+INDEX(Assumptions!$C$15:$E$15,$B$3)*$H$4)</f>
        <v>20338.9830508475</v>
      </c>
      <c r="I62" s="10" t="n">
        <f aca="false">I47*INDEX(Assumptions!$C$22:$E$22,$B$3)*$H$3/(1+INDEX(Assumptions!$C$15:$E$15,$B$3)*$H$4)</f>
        <v>17796.6101694915</v>
      </c>
      <c r="J62" s="10" t="n">
        <f aca="false">J47*INDEX(Assumptions!$C$22:$E$22,$B$3)*$H$3/(1+INDEX(Assumptions!$C$15:$E$15,$B$3)*$H$4)</f>
        <v>15254.2372881356</v>
      </c>
      <c r="K62" s="10" t="n">
        <f aca="false">K47*INDEX(Assumptions!$C$22:$E$22,$B$3)*$H$3/(1+INDEX(Assumptions!$C$15:$E$15,$B$3)*$H$4)</f>
        <v>15254.2372881356</v>
      </c>
      <c r="L62" s="10" t="n">
        <f aca="false">L47*INDEX(Assumptions!$C$22:$E$22,$B$3)*$H$3/(1+INDEX(Assumptions!$C$15:$E$15,$B$3)*$H$4)</f>
        <v>20338.9830508475</v>
      </c>
      <c r="M62" s="10" t="n">
        <f aca="false">M47*INDEX(Assumptions!$C$22:$E$22,$B$3)*$H$3/(1+INDEX(Assumptions!$C$15:$E$15,$B$3)*$H$4)</f>
        <v>27966.1016949153</v>
      </c>
      <c r="N62" s="10" t="n">
        <f aca="false">N47*INDEX(Assumptions!$C$22:$E$22,$B$3)*$H$3/(1+INDEX(Assumptions!$C$15:$E$15,$B$3)*$H$4)</f>
        <v>35593.2203389831</v>
      </c>
      <c r="O62" s="40" t="n">
        <f aca="false">SUM(C62:N62)</f>
        <v>319067.79661017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444.826271186441</v>
      </c>
      <c r="F64" s="10" t="n">
        <f aca="false">F51*INDEX(Assumptions!$C$23:$E$23,$B$3)/(1+INDEX(Assumptions!$C$15:$E$15,$B$3)*$H$4)</f>
        <v>889.652542372881</v>
      </c>
      <c r="G64" s="10" t="n">
        <f aca="false">G51*INDEX(Assumptions!$C$23:$E$23,$B$3)/(1+INDEX(Assumptions!$C$15:$E$15,$B$3)*$H$4)</f>
        <v>667.239406779661</v>
      </c>
      <c r="H64" s="10" t="n">
        <f aca="false">H51*INDEX(Assumptions!$C$23:$E$23,$B$3)/(1+INDEX(Assumptions!$C$15:$E$15,$B$3)*$H$4)</f>
        <v>889.652542372881</v>
      </c>
      <c r="I64" s="10" t="n">
        <f aca="false">I51*INDEX(Assumptions!$C$23:$E$23,$B$3)/(1+INDEX(Assumptions!$C$15:$E$15,$B$3)*$H$4)</f>
        <v>1112.0656779661</v>
      </c>
      <c r="J64" s="10" t="n">
        <f aca="false">J51*INDEX(Assumptions!$C$23:$E$23,$B$3)/(1+INDEX(Assumptions!$C$15:$E$15,$B$3)*$H$4)</f>
        <v>1334.47881355932</v>
      </c>
      <c r="K64" s="10" t="n">
        <f aca="false">K51*INDEX(Assumptions!$C$23:$E$23,$B$3)/(1+INDEX(Assumptions!$C$15:$E$15,$B$3)*$H$4)</f>
        <v>1334.47881355932</v>
      </c>
      <c r="L64" s="10" t="n">
        <f aca="false">L51*INDEX(Assumptions!$C$23:$E$23,$B$3)/(1+INDEX(Assumptions!$C$15:$E$15,$B$3)*$H$4)</f>
        <v>1334.47881355932</v>
      </c>
      <c r="M64" s="10" t="n">
        <f aca="false">M51*INDEX(Assumptions!$C$23:$E$23,$B$3)/(1+INDEX(Assumptions!$C$15:$E$15,$B$3)*$H$4)</f>
        <v>1334.47881355932</v>
      </c>
      <c r="N64" s="10" t="n">
        <f aca="false">N51*INDEX(Assumptions!$C$23:$E$23,$B$3)/(1+INDEX(Assumptions!$C$15:$E$15,$B$3)*$H$4)</f>
        <v>1334.47881355932</v>
      </c>
      <c r="O64" s="40" t="n">
        <f aca="false">SUM(C64:N64)</f>
        <v>10675.8305084746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0</v>
      </c>
      <c r="M65" s="10" t="n">
        <f aca="false">(M34+M35)*(1-M54)*INDEX(Assumptions!$C$90:$E$90,$B$3)</f>
        <v>0</v>
      </c>
      <c r="N65" s="10" t="n">
        <f aca="false">(N34+N35)*(1-N54)*INDEX(Assumptions!$C$90:$E$90,$B$3)</f>
        <v>0</v>
      </c>
      <c r="O65" s="40" t="n">
        <f aca="false">SUM(C65:N65)</f>
        <v>0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54981.4576271187</v>
      </c>
      <c r="D66" s="40" t="n">
        <f aca="false">SUM(D56:D65)</f>
        <v>74508.0993236343</v>
      </c>
      <c r="E66" s="40" t="n">
        <f aca="false">SUM(E56:E65)</f>
        <v>126054.901547474</v>
      </c>
      <c r="F66" s="40" t="n">
        <f aca="false">SUM(F56:F65)</f>
        <v>167824.280628379</v>
      </c>
      <c r="G66" s="40" t="n">
        <f aca="false">SUM(G56:G65)</f>
        <v>104248.616196196</v>
      </c>
      <c r="H66" s="40" t="n">
        <f aca="false">SUM(H56:H65)</f>
        <v>118376.072033898</v>
      </c>
      <c r="I66" s="40" t="n">
        <f aca="false">SUM(I56:I65)</f>
        <v>149752.414830509</v>
      </c>
      <c r="J66" s="40" t="n">
        <f aca="false">SUM(J56:J65)</f>
        <v>158428.48220339</v>
      </c>
      <c r="K66" s="40" t="n">
        <f aca="false">SUM(K56:K65)</f>
        <v>151118.631355932</v>
      </c>
      <c r="L66" s="40" t="n">
        <f aca="false">SUM(L56:L65)</f>
        <v>144793.68559322</v>
      </c>
      <c r="M66" s="40" t="n">
        <f aca="false">SUM(M56:M65)</f>
        <v>148320.963559322</v>
      </c>
      <c r="N66" s="40" t="n">
        <f aca="false">SUM(N56:N65)</f>
        <v>152102.478813559</v>
      </c>
      <c r="O66" s="11" t="n">
        <f aca="false">SUM(C66:N66)</f>
        <v>1550510.08371263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35593.2203389831</v>
      </c>
      <c r="D67" s="10" t="n">
        <f aca="false">D56+D57+D58+D59</f>
        <v>42170.7146994269</v>
      </c>
      <c r="E67" s="10" t="n">
        <f aca="false">E56+E57+E58+E59</f>
        <v>64324.4132448279</v>
      </c>
      <c r="F67" s="10" t="n">
        <f aca="false">F56+F57+F58+F59</f>
        <v>88095.6387432427</v>
      </c>
      <c r="G67" s="10" t="n">
        <f aca="false">G56+G57+G58+G59</f>
        <v>59125.4115351786</v>
      </c>
      <c r="H67" s="10" t="n">
        <f aca="false">H56+H57+H58+H59</f>
        <v>68739.406779661</v>
      </c>
      <c r="I67" s="10" t="n">
        <f aca="false">I56+I57+I58+I59</f>
        <v>94925.8474576272</v>
      </c>
      <c r="J67" s="10" t="n">
        <f aca="false">J56+J57+J58+J59</f>
        <v>99406.779661017</v>
      </c>
      <c r="K67" s="10" t="n">
        <f aca="false">K56+K57+K58+K59</f>
        <v>92415.2542372881</v>
      </c>
      <c r="L67" s="10" t="n">
        <f aca="false">L56+L57+L58+L59</f>
        <v>81483.0508474577</v>
      </c>
      <c r="M67" s="10" t="n">
        <f aca="false">M56+M57+M58+M59</f>
        <v>77542.372881356</v>
      </c>
      <c r="N67" s="10" t="n">
        <f aca="false">N56+N57+N58+N59</f>
        <v>73855.9322033899</v>
      </c>
      <c r="O67" s="40" t="n">
        <f aca="false">SUM(C67:N67)</f>
        <v>877678.042629456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5876.14433453237</v>
      </c>
      <c r="E69" s="10" t="n">
        <f aca="false">((E34+E37)*INDEX(Assumptions!$C$91:$E$91,$B$3)+E35*(INDEX(Assumptions!$C$93:$E$93,$B$3)+IF($Q$3=1,INDEX(Assumptions!$C$282:$E$282,$B$3),0)))*$N$3</f>
        <v>8624.45454886091</v>
      </c>
      <c r="F69" s="10" t="n">
        <f aca="false">((F34+F37)*INDEX(Assumptions!$C$91:$E$91,$B$3)+F35*(INDEX(Assumptions!$C$93:$E$93,$B$3)+IF($Q$3=1,INDEX(Assumptions!$C$282:$E$282,$B$3),0)))*$N$3</f>
        <v>11984.8393285372</v>
      </c>
      <c r="G69" s="10" t="n">
        <f aca="false">((G34+G37)*INDEX(Assumptions!$C$91:$E$91,$B$3)+G35*(INDEX(Assumptions!$C$93:$E$93,$B$3)+IF($Q$3=1,INDEX(Assumptions!$C$282:$E$282,$B$3),0)))*$N$3</f>
        <v>9147.58992805756</v>
      </c>
      <c r="H69" s="10" t="n">
        <f aca="false">((H34+H37)*INDEX(Assumptions!$C$91:$E$91,$B$3)+H35*(INDEX(Assumptions!$C$93:$E$93,$B$3)+IF($Q$3=1,INDEX(Assumptions!$C$282:$E$282,$B$3),0)))*$N$3</f>
        <v>9528.75</v>
      </c>
      <c r="I69" s="10" t="n">
        <f aca="false">((I34+I37)*INDEX(Assumptions!$C$91:$E$91,$B$3)+I35*(INDEX(Assumptions!$C$93:$E$93,$B$3)+IF($Q$3=1,INDEX(Assumptions!$C$282:$E$282,$B$3),0)))*$N$3</f>
        <v>12888.75</v>
      </c>
      <c r="J69" s="10" t="n">
        <f aca="false">((J34+J37)*INDEX(Assumptions!$C$91:$E$91,$B$3)+J35*(INDEX(Assumptions!$C$93:$E$93,$B$3)+IF($Q$3=1,INDEX(Assumptions!$C$282:$E$282,$B$3),0)))*$N$3</f>
        <v>14070</v>
      </c>
      <c r="K69" s="10" t="n">
        <f aca="false">((K34+K37)*INDEX(Assumptions!$C$91:$E$91,$B$3)+K35*(INDEX(Assumptions!$C$93:$E$93,$B$3)+IF($Q$3=1,INDEX(Assumptions!$C$282:$E$282,$B$3),0)))*$N$3</f>
        <v>13335</v>
      </c>
      <c r="L69" s="10" t="n">
        <f aca="false">((L34+L37)*INDEX(Assumptions!$C$91:$E$91,$B$3)+L35*(INDEX(Assumptions!$C$93:$E$93,$B$3)+IF($Q$3=1,INDEX(Assumptions!$C$282:$E$282,$B$3),0)))*$N$3</f>
        <v>11865</v>
      </c>
      <c r="M69" s="10" t="n">
        <f aca="false">((M34+M37)*INDEX(Assumptions!$C$91:$E$91,$B$3)+M35*(INDEX(Assumptions!$C$93:$E$93,$B$3)+IF($Q$3=1,INDEX(Assumptions!$C$282:$E$282,$B$3),0)))*$N$3</f>
        <v>11130</v>
      </c>
      <c r="N69" s="10" t="n">
        <f aca="false">((N34+N37)*INDEX(Assumptions!$C$91:$E$91,$B$3)+N35*(INDEX(Assumptions!$C$93:$E$93,$B$3)+IF($Q$3=1,INDEX(Assumptions!$C$282:$E$282,$B$3),0)))*$N$3</f>
        <v>10605</v>
      </c>
      <c r="O69" s="40" t="n">
        <f aca="false">SUM(C69:N69)</f>
        <v>123255.528139988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10341.7378597122</v>
      </c>
      <c r="E70" s="10" t="n">
        <f aca="false">(E34+E35)*E54*INDEX(Assumptions!$C$14:$E$14,$B$3)*$N$3</f>
        <v>15895.5395683453</v>
      </c>
      <c r="F70" s="10" t="n">
        <f aca="false">(F34+F35)*F54*INDEX(Assumptions!$C$14:$E$14,$B$3)*$N$3</f>
        <v>21707.9136690648</v>
      </c>
      <c r="G70" s="10" t="n">
        <f aca="false">(G34+G35)*G54*INDEX(Assumptions!$C$14:$E$14,$B$3)*$N$3</f>
        <v>14175</v>
      </c>
      <c r="H70" s="10" t="n">
        <f aca="false">(H34+H35)*H54*INDEX(Assumptions!$C$14:$E$14,$B$3)*$N$3</f>
        <v>16875</v>
      </c>
      <c r="I70" s="10" t="n">
        <f aca="false">(I34+I35)*I54*INDEX(Assumptions!$C$14:$E$14,$B$3)*$N$3</f>
        <v>23400</v>
      </c>
      <c r="J70" s="10" t="n">
        <f aca="false">(J34+J35)*J54*INDEX(Assumptions!$C$14:$E$14,$B$3)*$N$3</f>
        <v>24300</v>
      </c>
      <c r="K70" s="10" t="n">
        <f aca="false">(K34+K35)*K54*INDEX(Assumptions!$C$14:$E$14,$B$3)*$N$3</f>
        <v>22500</v>
      </c>
      <c r="L70" s="10" t="n">
        <f aca="false">(L34+L35)*L54*INDEX(Assumptions!$C$14:$E$14,$B$3)*$N$3</f>
        <v>19800</v>
      </c>
      <c r="M70" s="10" t="n">
        <f aca="false">(M34+M35)*M54*INDEX(Assumptions!$C$14:$E$14,$B$3)*$N$3</f>
        <v>18900</v>
      </c>
      <c r="N70" s="10" t="n">
        <f aca="false">(N34+N35)*N54*INDEX(Assumptions!$C$14:$E$14,$B$3)*$N$3</f>
        <v>18000</v>
      </c>
      <c r="O70" s="40" t="n">
        <f aca="false">SUM(C70:N70)</f>
        <v>214895.191097122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1500</v>
      </c>
      <c r="D71" s="10" t="n">
        <f aca="false">D36*INDEX(Assumptions!$C$92:$E$92,$B$3)*$N$3</f>
        <v>1723.62297661871</v>
      </c>
      <c r="E71" s="10" t="n">
        <f aca="false">E36*INDEX(Assumptions!$C$92:$E$92,$B$3)*$N$3</f>
        <v>2649.25659472422</v>
      </c>
      <c r="F71" s="10" t="n">
        <f aca="false">F36*INDEX(Assumptions!$C$92:$E$92,$B$3)*$N$3</f>
        <v>3617.98561151079</v>
      </c>
      <c r="G71" s="10" t="n">
        <f aca="false">G36*INDEX(Assumptions!$C$92:$E$92,$B$3)*$N$3</f>
        <v>2362.5</v>
      </c>
      <c r="H71" s="10" t="n">
        <f aca="false">H36*INDEX(Assumptions!$C$92:$E$92,$B$3)*$N$3</f>
        <v>2812.5</v>
      </c>
      <c r="I71" s="10" t="n">
        <f aca="false">I36*INDEX(Assumptions!$C$92:$E$92,$B$3)*$N$3</f>
        <v>3900</v>
      </c>
      <c r="J71" s="10" t="n">
        <f aca="false">J36*INDEX(Assumptions!$C$92:$E$92,$B$3)*$N$3</f>
        <v>4050</v>
      </c>
      <c r="K71" s="10" t="n">
        <f aca="false">K36*INDEX(Assumptions!$C$92:$E$92,$B$3)*$N$3</f>
        <v>3750</v>
      </c>
      <c r="L71" s="10" t="n">
        <f aca="false">L36*INDEX(Assumptions!$C$92:$E$92,$B$3)*$N$3</f>
        <v>3300</v>
      </c>
      <c r="M71" s="10" t="n">
        <f aca="false">M36*INDEX(Assumptions!$C$92:$E$92,$B$3)*$N$3</f>
        <v>3150</v>
      </c>
      <c r="N71" s="10" t="n">
        <f aca="false">N36*INDEX(Assumptions!$C$92:$E$92,$B$3)*$N$3</f>
        <v>3000</v>
      </c>
      <c r="O71" s="40" t="n">
        <f aca="false">SUM(C71:N71)</f>
        <v>35815.8651828537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4100</v>
      </c>
      <c r="D72" s="10" t="n">
        <f aca="false">(D46*INDEX(Assumptions!$C$94:$E$94,$B$3)+D47*INDEX(Assumptions!$C$95:$E$95,$B$3)+D48*INDEX(Assumptions!$C$96:$E$96,$B$3))*$N$3</f>
        <v>6689.44919064748</v>
      </c>
      <c r="E72" s="10" t="n">
        <f aca="false">(E46*INDEX(Assumptions!$C$94:$E$94,$B$3)+E47*INDEX(Assumptions!$C$95:$E$95,$B$3)+E48*INDEX(Assumptions!$C$96:$E$96,$B$3))*$N$3</f>
        <v>13659.7026378897</v>
      </c>
      <c r="F72" s="10" t="n">
        <f aca="false">(F46*INDEX(Assumptions!$C$94:$E$94,$B$3)+F47*INDEX(Assumptions!$C$95:$E$95,$B$3)+F48*INDEX(Assumptions!$C$96:$E$96,$B$3))*$N$3</f>
        <v>18397.1942446043</v>
      </c>
      <c r="G72" s="10" t="n">
        <f aca="false">(G46*INDEX(Assumptions!$C$94:$E$94,$B$3)+G47*INDEX(Assumptions!$C$95:$E$95,$B$3)+G48*INDEX(Assumptions!$C$96:$E$96,$B$3))*$N$3</f>
        <v>10845</v>
      </c>
      <c r="H72" s="10" t="n">
        <f aca="false">(H46*INDEX(Assumptions!$C$94:$E$94,$B$3)+H47*INDEX(Assumptions!$C$95:$E$95,$B$3)+H48*INDEX(Assumptions!$C$96:$E$96,$B$3))*$N$3</f>
        <v>12325</v>
      </c>
      <c r="I72" s="10" t="n">
        <f aca="false">(I46*INDEX(Assumptions!$C$94:$E$94,$B$3)+I47*INDEX(Assumptions!$C$95:$E$95,$B$3)+I48*INDEX(Assumptions!$C$96:$E$96,$B$3))*$N$3</f>
        <v>14060</v>
      </c>
      <c r="J72" s="10" t="n">
        <f aca="false">(J46*INDEX(Assumptions!$C$94:$E$94,$B$3)+J47*INDEX(Assumptions!$C$95:$E$95,$B$3)+J48*INDEX(Assumptions!$C$96:$E$96,$B$3))*$N$3</f>
        <v>15420</v>
      </c>
      <c r="K72" s="10" t="n">
        <f aca="false">(K46*INDEX(Assumptions!$C$94:$E$94,$B$3)+K47*INDEX(Assumptions!$C$95:$E$95,$B$3)+K48*INDEX(Assumptions!$C$96:$E$96,$B$3))*$N$3</f>
        <v>15300</v>
      </c>
      <c r="L72" s="10" t="n">
        <f aca="false">(L46*INDEX(Assumptions!$C$94:$E$94,$B$3)+L47*INDEX(Assumptions!$C$95:$E$95,$B$3)+L48*INDEX(Assumptions!$C$96:$E$96,$B$3))*$N$3</f>
        <v>16120</v>
      </c>
      <c r="M72" s="10" t="n">
        <f aca="false">(M46*INDEX(Assumptions!$C$94:$E$94,$B$3)+M47*INDEX(Assumptions!$C$95:$E$95,$B$3)+M48*INDEX(Assumptions!$C$96:$E$96,$B$3))*$N$3</f>
        <v>17560</v>
      </c>
      <c r="N72" s="10" t="n">
        <f aca="false">(N46*INDEX(Assumptions!$C$94:$E$94,$B$3)+N47*INDEX(Assumptions!$C$95:$E$95,$B$3)+N48*INDEX(Assumptions!$C$96:$E$96,$B$3))*$N$3</f>
        <v>19000</v>
      </c>
      <c r="O72" s="40" t="n">
        <f aca="false">SUM(C72:N72)</f>
        <v>163476.346073142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262.5</v>
      </c>
      <c r="F74" s="10" t="n">
        <f aca="false">F51*INDEX(Assumptions!$C$97:$E$97,$B$3)</f>
        <v>525</v>
      </c>
      <c r="G74" s="10" t="n">
        <f aca="false">G51*INDEX(Assumptions!$C$97:$E$97,$B$3)</f>
        <v>393.75</v>
      </c>
      <c r="H74" s="10" t="n">
        <f aca="false">H51*INDEX(Assumptions!$C$97:$E$97,$B$3)</f>
        <v>525</v>
      </c>
      <c r="I74" s="10" t="n">
        <f aca="false">I51*INDEX(Assumptions!$C$97:$E$97,$B$3)</f>
        <v>656.25</v>
      </c>
      <c r="J74" s="10" t="n">
        <f aca="false">J51*INDEX(Assumptions!$C$97:$E$97,$B$3)</f>
        <v>787.5</v>
      </c>
      <c r="K74" s="10" t="n">
        <f aca="false">K51*INDEX(Assumptions!$C$97:$E$97,$B$3)</f>
        <v>787.5</v>
      </c>
      <c r="L74" s="10" t="n">
        <f aca="false">L51*INDEX(Assumptions!$C$97:$E$97,$B$3)</f>
        <v>787.5</v>
      </c>
      <c r="M74" s="10" t="n">
        <f aca="false">M51*INDEX(Assumptions!$C$97:$E$97,$B$3)</f>
        <v>787.5</v>
      </c>
      <c r="N74" s="10" t="n">
        <f aca="false">N51*INDEX(Assumptions!$C$97:$E$97,$B$3)</f>
        <v>787.5</v>
      </c>
      <c r="O74" s="40" t="n">
        <f aca="false">SUM(C74:N74)</f>
        <v>6300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2397.07488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3127.7982397518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5113.78530905168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6871.57955065708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4401.95030707914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5010.09786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6523.425888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6891.194616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6521.42964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6079.807176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6079.949688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6097.7922</v>
      </c>
      <c r="O75" s="40" t="n">
        <f aca="false">SUM(C75:N75)</f>
        <v>65115.8853545397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1378.89838129496</v>
      </c>
      <c r="E76" s="10" t="n">
        <f aca="false">E38*INDEX(Assumptions!$C$240:$E$240,$B$3)*INDEX(Assumptions!$C$69:$E$69,$B$3)</f>
        <v>2119.40527577938</v>
      </c>
      <c r="F76" s="10" t="n">
        <f aca="false">F38*INDEX(Assumptions!$C$240:$E$240,$B$3)*INDEX(Assumptions!$C$69:$E$69,$B$3)</f>
        <v>2894.38848920863</v>
      </c>
      <c r="G76" s="10" t="n">
        <f aca="false">G38*INDEX(Assumptions!$C$240:$E$240,$B$3)*INDEX(Assumptions!$C$69:$E$69,$B$3)</f>
        <v>1890</v>
      </c>
      <c r="H76" s="10" t="n">
        <f aca="false">H38*INDEX(Assumptions!$C$240:$E$240,$B$3)*INDEX(Assumptions!$C$69:$E$69,$B$3)</f>
        <v>2250</v>
      </c>
      <c r="I76" s="10" t="n">
        <f aca="false">I38*INDEX(Assumptions!$C$240:$E$240,$B$3)*INDEX(Assumptions!$C$69:$E$69,$B$3)</f>
        <v>3120</v>
      </c>
      <c r="J76" s="10" t="n">
        <f aca="false">J38*INDEX(Assumptions!$C$240:$E$240,$B$3)*INDEX(Assumptions!$C$69:$E$69,$B$3)</f>
        <v>3240</v>
      </c>
      <c r="K76" s="10" t="n">
        <f aca="false">K38*INDEX(Assumptions!$C$240:$E$240,$B$3)*INDEX(Assumptions!$C$69:$E$69,$B$3)</f>
        <v>3000</v>
      </c>
      <c r="L76" s="10" t="n">
        <f aca="false">L38*INDEX(Assumptions!$C$240:$E$240,$B$3)*INDEX(Assumptions!$C$69:$E$69,$B$3)</f>
        <v>2640</v>
      </c>
      <c r="M76" s="10" t="n">
        <f aca="false">M38*INDEX(Assumptions!$C$240:$E$240,$B$3)*INDEX(Assumptions!$C$69:$E$69,$B$3)</f>
        <v>2520</v>
      </c>
      <c r="N76" s="10" t="n">
        <f aca="false">N38*INDEX(Assumptions!$C$240:$E$240,$B$3)*INDEX(Assumptions!$C$69:$E$69,$B$3)</f>
        <v>2400</v>
      </c>
      <c r="O76" s="40" t="n">
        <f aca="false">SUM(C76:N76)</f>
        <v>28652.692146283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22397.07488</v>
      </c>
      <c r="D77" s="40" t="n">
        <f aca="false">SUM(D69:D76)</f>
        <v>29137.6509825576</v>
      </c>
      <c r="E77" s="40" t="n">
        <f aca="false">SUM(E69:E76)</f>
        <v>48324.6439346512</v>
      </c>
      <c r="F77" s="40" t="n">
        <f aca="false">SUM(F69:F76)</f>
        <v>65998.9008935827</v>
      </c>
      <c r="G77" s="40" t="n">
        <f aca="false">SUM(G69:G76)</f>
        <v>43215.7902351367</v>
      </c>
      <c r="H77" s="40" t="n">
        <f aca="false">SUM(H69:H76)</f>
        <v>49326.34786</v>
      </c>
      <c r="I77" s="40" t="n">
        <f aca="false">SUM(I69:I76)</f>
        <v>64548.425888</v>
      </c>
      <c r="J77" s="40" t="n">
        <f aca="false">SUM(J69:J76)</f>
        <v>68758.694616</v>
      </c>
      <c r="K77" s="40" t="n">
        <f aca="false">SUM(K69:K76)</f>
        <v>65193.92964</v>
      </c>
      <c r="L77" s="40" t="n">
        <f aca="false">SUM(L69:L76)</f>
        <v>60592.307176</v>
      </c>
      <c r="M77" s="40" t="n">
        <f aca="false">SUM(M69:M76)</f>
        <v>60127.449688</v>
      </c>
      <c r="N77" s="40" t="n">
        <f aca="false">SUM(N69:N76)</f>
        <v>59890.2922</v>
      </c>
      <c r="O77" s="11" t="n">
        <f aca="false">SUM(C77:N77)</f>
        <v>637511.507993928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32584.3827471187</v>
      </c>
      <c r="D78" s="40" t="n">
        <f aca="false">D66-D77</f>
        <v>45370.4483410768</v>
      </c>
      <c r="E78" s="40" t="n">
        <f aca="false">E66-E77</f>
        <v>77730.2576128227</v>
      </c>
      <c r="F78" s="40" t="n">
        <f aca="false">F66-F77</f>
        <v>101825.379734796</v>
      </c>
      <c r="G78" s="40" t="n">
        <f aca="false">G66-G77</f>
        <v>61032.8259610589</v>
      </c>
      <c r="H78" s="40" t="n">
        <f aca="false">H66-H77</f>
        <v>69049.7241738983</v>
      </c>
      <c r="I78" s="40" t="n">
        <f aca="false">I66-I77</f>
        <v>85203.9889425085</v>
      </c>
      <c r="J78" s="40" t="n">
        <f aca="false">J66-J77</f>
        <v>89669.7875873898</v>
      </c>
      <c r="K78" s="40" t="n">
        <f aca="false">K66-K77</f>
        <v>85924.7017159322</v>
      </c>
      <c r="L78" s="40" t="n">
        <f aca="false">L66-L77</f>
        <v>84201.3784172203</v>
      </c>
      <c r="M78" s="40" t="n">
        <f aca="false">M66-M77</f>
        <v>88193.513871322</v>
      </c>
      <c r="N78" s="40" t="n">
        <f aca="false">N66-N77</f>
        <v>92212.1866135593</v>
      </c>
      <c r="O78" s="11" t="n">
        <f aca="false">SUM(C78:N78)</f>
        <v>912998.575718703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0.592643122852512</v>
      </c>
      <c r="D79" s="8" t="n">
        <f aca="false">IFERROR(D78/D66,0)</f>
        <v>0.6089331059702</v>
      </c>
      <c r="E79" s="8" t="n">
        <f aca="false">IFERROR(E78/E66,0)</f>
        <v>0.616638120839343</v>
      </c>
      <c r="F79" s="8" t="n">
        <f aca="false">IFERROR(F78/F66,0)</f>
        <v>0.606738067659427</v>
      </c>
      <c r="G79" s="8" t="n">
        <f aca="false">IFERROR(G78/G66,0)</f>
        <v>0.585454543072258</v>
      </c>
      <c r="H79" s="8" t="n">
        <f aca="false">IFERROR(H78/H66,0)</f>
        <v>0.583308121206498</v>
      </c>
      <c r="I79" s="8" t="n">
        <f aca="false">IFERROR(I78/I66,0)</f>
        <v>0.568965709427413</v>
      </c>
      <c r="J79" s="8" t="n">
        <f aca="false">IFERROR(J78/J66,0)</f>
        <v>0.565995371162315</v>
      </c>
      <c r="K79" s="8" t="n">
        <f aca="false">IFERROR(K78/K66,0)</f>
        <v>0.568591052903016</v>
      </c>
      <c r="L79" s="8" t="n">
        <f aca="false">IFERROR(L78/L66,0)</f>
        <v>0.581526591247726</v>
      </c>
      <c r="M79" s="8" t="n">
        <f aca="false">IFERROR(M78/M66,0)</f>
        <v>0.59461260063921</v>
      </c>
      <c r="N79" s="8" t="n">
        <f aca="false">IFERROR(N78/N66,0)</f>
        <v>0.606250386797371</v>
      </c>
      <c r="O79" s="13" t="n">
        <f aca="false">IFERROR(O78/O66,0)</f>
        <v>0.588837560819061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1</v>
      </c>
      <c r="I81" s="10" t="n">
        <f aca="false">ROUNDUP(I42/(INDEX(Assumptions!$C$102:$E$102,$B$3)*$J$3),0)</f>
        <v>1</v>
      </c>
      <c r="J81" s="10" t="n">
        <f aca="false">ROUNDUP(J42/(INDEX(Assumptions!$C$102:$E$102,$B$3)*$J$3),0)</f>
        <v>1</v>
      </c>
      <c r="K81" s="10" t="n">
        <f aca="false">ROUNDUP(K42/(INDEX(Assumptions!$C$102:$E$102,$B$3)*$J$3),0)</f>
        <v>1</v>
      </c>
      <c r="L81" s="10" t="n">
        <f aca="false">ROUNDUP(L42/(INDEX(Assumptions!$C$102:$E$102,$B$3)*$J$3),0)</f>
        <v>1</v>
      </c>
      <c r="M81" s="10" t="n">
        <f aca="false">ROUNDUP(M42/(INDEX(Assumptions!$C$102:$E$102,$B$3)*$J$3),0)</f>
        <v>1</v>
      </c>
      <c r="N81" s="10" t="n">
        <f aca="false">ROUNDUP(N42/(INDEX(Assumptions!$C$102:$E$102,$B$3)*$J$3),0)</f>
        <v>1</v>
      </c>
      <c r="O81" s="40" t="n">
        <f aca="false">MAX(C81:N81)</f>
        <v>1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0.333333333333333</v>
      </c>
      <c r="H82" s="6" t="n">
        <f aca="false">H81*(1-H12)</f>
        <v>0.4</v>
      </c>
      <c r="I82" s="6" t="n">
        <f aca="false">I81*(1-I12)</f>
        <v>0.433333333333333</v>
      </c>
      <c r="J82" s="6" t="n">
        <f aca="false">J81*(1-J12)</f>
        <v>0.466666666666667</v>
      </c>
      <c r="K82" s="6" t="n">
        <f aca="false">K81*(1-K12)</f>
        <v>0.5</v>
      </c>
      <c r="L82" s="6" t="n">
        <f aca="false">L81*(1-L12)</f>
        <v>0.533333333333333</v>
      </c>
      <c r="M82" s="6" t="n">
        <f aca="false">M81*(1-M12)</f>
        <v>0.566666666666667</v>
      </c>
      <c r="N82" s="6" t="n">
        <f aca="false">N81*(1-N12)</f>
        <v>0.6</v>
      </c>
      <c r="O82" s="41" t="n">
        <f aca="false">MAX(C82:N82)</f>
        <v>0.6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0.5</v>
      </c>
      <c r="H83" s="6" t="n">
        <f aca="false">IF(6&gt;=INDEX(Assumptions!$C$161:$E$161,H$9),INDEX(Assumptions!$C$203:$E$203,H$9),0)</f>
        <v>0.5</v>
      </c>
      <c r="I83" s="6" t="n">
        <f aca="false">IF(7&gt;=INDEX(Assumptions!$C$161:$E$161,I$9),INDEX(Assumptions!$C$203:$E$203,I$9),0)</f>
        <v>0.5</v>
      </c>
      <c r="J83" s="6" t="n">
        <f aca="false">IF(8&gt;=INDEX(Assumptions!$C$161:$E$161,J$9),INDEX(Assumptions!$C$203:$E$203,J$9),0)</f>
        <v>0.5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95000</v>
      </c>
      <c r="E86" s="10" t="n">
        <f aca="false">E83*INDEX(Assumptions!$C$98:$E$98,$B$3)*$W$4+E84*INDEX(Assumptions!$C$99:$E$99,$B$3)+E85*INDEX(Assumptions!$C$100:$E$100,$B$3)</f>
        <v>95000</v>
      </c>
      <c r="F86" s="10" t="n">
        <f aca="false">F83*INDEX(Assumptions!$C$98:$E$98,$B$3)*$W$4+F84*INDEX(Assumptions!$C$99:$E$99,$B$3)+F85*INDEX(Assumptions!$C$100:$E$100,$B$3)</f>
        <v>95000</v>
      </c>
      <c r="G86" s="10" t="n">
        <f aca="false">G83*INDEX(Assumptions!$C$98:$E$98,$B$3)*$W$4+G84*INDEX(Assumptions!$C$99:$E$99,$B$3)+G85*INDEX(Assumptions!$C$100:$E$100,$B$3)</f>
        <v>57500</v>
      </c>
      <c r="H86" s="10" t="n">
        <f aca="false">H83*INDEX(Assumptions!$C$98:$E$98,$B$3)*$W$4+H84*INDEX(Assumptions!$C$99:$E$99,$B$3)+H85*INDEX(Assumptions!$C$100:$E$100,$B$3)</f>
        <v>57500</v>
      </c>
      <c r="I86" s="10" t="n">
        <f aca="false">I83*INDEX(Assumptions!$C$98:$E$98,$B$3)*$W$4+I84*INDEX(Assumptions!$C$99:$E$99,$B$3)+I85*INDEX(Assumptions!$C$100:$E$100,$B$3)</f>
        <v>57500</v>
      </c>
      <c r="J86" s="10" t="n">
        <f aca="false">J83*INDEX(Assumptions!$C$98:$E$98,$B$3)*$W$4+J84*INDEX(Assumptions!$C$99:$E$99,$B$3)+J85*INDEX(Assumptions!$C$100:$E$100,$B$3)</f>
        <v>57500</v>
      </c>
      <c r="K86" s="10" t="n">
        <f aca="false">K83*INDEX(Assumptions!$C$98:$E$98,$B$3)*$W$4+K84*INDEX(Assumptions!$C$99:$E$99,$B$3)+K85*INDEX(Assumptions!$C$100:$E$100,$B$3)</f>
        <v>57500</v>
      </c>
      <c r="L86" s="10" t="n">
        <f aca="false">L83*INDEX(Assumptions!$C$98:$E$98,$B$3)*$W$4+L84*INDEX(Assumptions!$C$99:$E$99,$B$3)+L85*INDEX(Assumptions!$C$100:$E$100,$B$3)</f>
        <v>57500</v>
      </c>
      <c r="M86" s="10" t="n">
        <f aca="false">M83*INDEX(Assumptions!$C$98:$E$98,$B$3)*$W$4+M84*INDEX(Assumptions!$C$99:$E$99,$B$3)+M85*INDEX(Assumptions!$C$100:$E$100,$B$3)</f>
        <v>57500</v>
      </c>
      <c r="N86" s="10" t="n">
        <f aca="false">N83*INDEX(Assumptions!$C$98:$E$98,$B$3)*$W$4+N84*INDEX(Assumptions!$C$99:$E$99,$B$3)+N85*INDEX(Assumptions!$C$100:$E$100,$B$3)</f>
        <v>57500</v>
      </c>
      <c r="O86" s="40" t="n">
        <f aca="false">SUM(C86:N86)</f>
        <v>765000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260000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0</v>
      </c>
      <c r="O88" s="40" t="n">
        <f aca="false">SUM(C88:N88)</f>
        <v>255000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60000</v>
      </c>
      <c r="D92" s="40" t="n">
        <f aca="false">SUM(D86:D91)</f>
        <v>210000</v>
      </c>
      <c r="E92" s="40" t="n">
        <f aca="false">SUM(E86:E91)</f>
        <v>225000</v>
      </c>
      <c r="F92" s="40" t="n">
        <f aca="false">SUM(F86:F91)</f>
        <v>225000</v>
      </c>
      <c r="G92" s="40" t="n">
        <f aca="false">SUM(G86:G91)</f>
        <v>92500</v>
      </c>
      <c r="H92" s="40" t="n">
        <f aca="false">SUM(H86:H91)</f>
        <v>92500</v>
      </c>
      <c r="I92" s="40" t="n">
        <f aca="false">SUM(I86:I91)</f>
        <v>92500</v>
      </c>
      <c r="J92" s="40" t="n">
        <f aca="false">SUM(J86:J91)</f>
        <v>92500</v>
      </c>
      <c r="K92" s="40" t="n">
        <f aca="false">SUM(K86:K91)</f>
        <v>92500</v>
      </c>
      <c r="L92" s="40" t="n">
        <f aca="false">SUM(L86:L91)</f>
        <v>92500</v>
      </c>
      <c r="M92" s="40" t="n">
        <f aca="false">SUM(M86:M91)</f>
        <v>92500</v>
      </c>
      <c r="N92" s="40" t="n">
        <f aca="false">SUM(N86:N91)</f>
        <v>92500</v>
      </c>
      <c r="O92" s="11" t="n">
        <f aca="false">SUM(C92:N92)</f>
        <v>1460000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22000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22000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22000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22000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22000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22000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22000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22000</v>
      </c>
      <c r="O95" s="40" t="n">
        <f aca="false">SUM(C95:N95)</f>
        <v>224000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8000</v>
      </c>
      <c r="H96" s="10" t="n">
        <f aca="false">INDEX(Assumptions!$C$107:$E$107,H$9)+IF(6&gt;=IF($Q$3=1,MAX(INDEX(Assumptions!$C$231:$E$231,H$9),$Q$4+1),INDEX(Assumptions!$C$231:$E$231,H$9))-1,INDEX(Assumptions!$C$230:$E$230,H$9),0)</f>
        <v>8000</v>
      </c>
      <c r="I96" s="10" t="n">
        <f aca="false">INDEX(Assumptions!$C$107:$E$107,I$9)+IF(7&gt;=IF($Q$3=1,MAX(INDEX(Assumptions!$C$231:$E$231,I$9),$Q$4+1),INDEX(Assumptions!$C$231:$E$231,I$9))-1,INDEX(Assumptions!$C$230:$E$230,I$9),0)</f>
        <v>8000</v>
      </c>
      <c r="J96" s="10" t="n">
        <f aca="false">INDEX(Assumptions!$C$107:$E$107,J$9)+IF(8&gt;=IF($Q$3=1,MAX(INDEX(Assumptions!$C$231:$E$231,J$9),$Q$4+1),INDEX(Assumptions!$C$231:$E$231,J$9))-1,INDEX(Assumptions!$C$230:$E$230,J$9),0)</f>
        <v>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136000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0</v>
      </c>
      <c r="H97" s="10" t="n">
        <f aca="false">H18</f>
        <v>0</v>
      </c>
      <c r="I97" s="10" t="n">
        <f aca="false">I18</f>
        <v>0</v>
      </c>
      <c r="J97" s="10" t="n">
        <f aca="false">J18</f>
        <v>0</v>
      </c>
      <c r="K97" s="10" t="n">
        <f aca="false">K18</f>
        <v>0</v>
      </c>
      <c r="L97" s="10" t="n">
        <f aca="false">L18</f>
        <v>0</v>
      </c>
      <c r="M97" s="10" t="n">
        <f aca="false">M18</f>
        <v>0</v>
      </c>
      <c r="N97" s="10" t="n">
        <f aca="false">N18</f>
        <v>0</v>
      </c>
      <c r="O97" s="40" t="n">
        <f aca="false">SUM(C97:N97)</f>
        <v>120000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3333</v>
      </c>
      <c r="H98" s="10" t="n">
        <f aca="false">INDEX(Assumptions!$C$212:$E$212,H$9)</f>
        <v>3333</v>
      </c>
      <c r="I98" s="10" t="n">
        <f aca="false">INDEX(Assumptions!$C$212:$E$212,I$9)</f>
        <v>3333</v>
      </c>
      <c r="J98" s="10" t="n">
        <f aca="false">INDEX(Assumptions!$C$212:$E$212,J$9)</f>
        <v>3333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12000</v>
      </c>
      <c r="H99" s="10" t="n">
        <f aca="false">INDEX(Assumptions!$C$237:$E$237,H$9)</f>
        <v>12000</v>
      </c>
      <c r="I99" s="10" t="n">
        <f aca="false">INDEX(Assumptions!$C$237:$E$237,I$9)</f>
        <v>12000</v>
      </c>
      <c r="J99" s="10" t="n">
        <f aca="false">INDEX(Assumptions!$C$237:$E$237,J$9)</f>
        <v>12000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156000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132500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132500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300833</v>
      </c>
      <c r="D102" s="40" t="n">
        <f aca="false">D92+SUM(D94:D101)</f>
        <v>330833</v>
      </c>
      <c r="E102" s="40" t="n">
        <f aca="false">E92+SUM(E94:E101)</f>
        <v>520833</v>
      </c>
      <c r="F102" s="40" t="n">
        <f aca="false">F92+SUM(F94:F101)</f>
        <v>380833</v>
      </c>
      <c r="G102" s="40" t="n">
        <f aca="false">G92+SUM(G94:G101)</f>
        <v>315333</v>
      </c>
      <c r="H102" s="40" t="n">
        <f aca="false">H92+SUM(H94:H101)</f>
        <v>182833</v>
      </c>
      <c r="I102" s="40" t="n">
        <f aca="false">I92+SUM(I94:I101)</f>
        <v>182833</v>
      </c>
      <c r="J102" s="40" t="n">
        <f aca="false">J92+SUM(J94:J101)</f>
        <v>182833</v>
      </c>
      <c r="K102" s="40" t="n">
        <f aca="false">K92+SUM(K94:K101)</f>
        <v>182833</v>
      </c>
      <c r="L102" s="40" t="n">
        <f aca="false">L92+SUM(L94:L101)</f>
        <v>182833</v>
      </c>
      <c r="M102" s="40" t="n">
        <f aca="false">M92+SUM(M94:M101)</f>
        <v>182833</v>
      </c>
      <c r="N102" s="40" t="n">
        <f aca="false">N92+SUM(N94:N101)</f>
        <v>182833</v>
      </c>
      <c r="O102" s="11" t="n">
        <f aca="false">SUM(C102:N102)</f>
        <v>3128496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-268248.617252881</v>
      </c>
      <c r="D103" s="40" t="n">
        <f aca="false">D78-D102</f>
        <v>-285462.551658923</v>
      </c>
      <c r="E103" s="40" t="n">
        <f aca="false">E78-E102</f>
        <v>-443102.742387177</v>
      </c>
      <c r="F103" s="40" t="n">
        <f aca="false">F78-F102</f>
        <v>-279007.620265204</v>
      </c>
      <c r="G103" s="40" t="n">
        <f aca="false">G78-G102</f>
        <v>-254300.174038941</v>
      </c>
      <c r="H103" s="40" t="n">
        <f aca="false">H78-H102</f>
        <v>-113783.275826102</v>
      </c>
      <c r="I103" s="40" t="n">
        <f aca="false">I78-I102</f>
        <v>-97629.0110574915</v>
      </c>
      <c r="J103" s="40" t="n">
        <f aca="false">J78-J102</f>
        <v>-93163.2124126102</v>
      </c>
      <c r="K103" s="40" t="n">
        <f aca="false">K78-K102</f>
        <v>-96908.2982840678</v>
      </c>
      <c r="L103" s="40" t="n">
        <f aca="false">L78-L102</f>
        <v>-98631.6215827797</v>
      </c>
      <c r="M103" s="40" t="n">
        <f aca="false">M78-M102</f>
        <v>-94639.486128678</v>
      </c>
      <c r="N103" s="40" t="n">
        <f aca="false">N78-N102</f>
        <v>-90620.8133864407</v>
      </c>
      <c r="O103" s="11" t="n">
        <f aca="false">SUM(C103:N103)</f>
        <v>-2215497.4242813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-4.87889242719117</v>
      </c>
      <c r="D104" s="8" t="n">
        <f aca="false">IFERROR(D103/D66,0)</f>
        <v>-3.83129558061848</v>
      </c>
      <c r="E104" s="8" t="n">
        <f aca="false">IFERROR(E103/E66,0)</f>
        <v>-3.51515678444522</v>
      </c>
      <c r="F104" s="8" t="n">
        <f aca="false">IFERROR(F103/F66,0)</f>
        <v>-1.66249853251583</v>
      </c>
      <c r="G104" s="8" t="n">
        <f aca="false">IFERROR(G103/G66,0)</f>
        <v>-2.43936258645725</v>
      </c>
      <c r="H104" s="8" t="n">
        <f aca="false">IFERROR(H103/H66,0)</f>
        <v>-0.961201650562612</v>
      </c>
      <c r="I104" s="8" t="n">
        <f aca="false">IFERROR(I103/I66,0)</f>
        <v>-0.651936138512285</v>
      </c>
      <c r="J104" s="8" t="n">
        <f aca="false">IFERROR(J103/J66,0)</f>
        <v>-0.58804585587715</v>
      </c>
      <c r="K104" s="8" t="n">
        <f aca="false">IFERROR(K103/K66,0)</f>
        <v>-0.641273001313902</v>
      </c>
      <c r="L104" s="8" t="n">
        <f aca="false">IFERROR(L103/L66,0)</f>
        <v>-0.68118731268346</v>
      </c>
      <c r="M104" s="8" t="n">
        <f aca="false">IFERROR(M103/M66,0)</f>
        <v>-0.638072217558284</v>
      </c>
      <c r="N104" s="8" t="n">
        <f aca="false">IFERROR(N103/N66,0)</f>
        <v>-0.595787879943231</v>
      </c>
      <c r="O104" s="8" t="n">
        <f aca="false">IFERROR(O103/O66,0)</f>
        <v>-1.42888295120041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-343248.617252881</v>
      </c>
      <c r="D105" s="10" t="n">
        <f aca="false">D103-INDEX(Assumptions!$C$204:$E$204,$B$3)</f>
        <v>-360462.551658923</v>
      </c>
      <c r="E105" s="10" t="n">
        <f aca="false">E103-INDEX(Assumptions!$C$204:$E$204,$B$3)</f>
        <v>-518102.742387177</v>
      </c>
      <c r="F105" s="10" t="n">
        <f aca="false">F103-INDEX(Assumptions!$C$204:$E$204,$B$3)</f>
        <v>-354007.620265204</v>
      </c>
      <c r="G105" s="10" t="n">
        <f aca="false">G103-INDEX(Assumptions!$C$204:$E$204,$B$3)</f>
        <v>-329300.174038941</v>
      </c>
      <c r="H105" s="10" t="n">
        <f aca="false">H103-INDEX(Assumptions!$C$204:$E$204,$B$3)</f>
        <v>-188783.275826102</v>
      </c>
      <c r="I105" s="10" t="n">
        <f aca="false">I103-INDEX(Assumptions!$C$204:$E$204,$B$3)</f>
        <v>-172629.011057492</v>
      </c>
      <c r="J105" s="10" t="n">
        <f aca="false">J103-INDEX(Assumptions!$C$204:$E$204,$B$3)</f>
        <v>-168163.21241261</v>
      </c>
      <c r="K105" s="10" t="n">
        <f aca="false">K103-INDEX(Assumptions!$C$204:$E$204,$B$3)</f>
        <v>-171908.298284068</v>
      </c>
      <c r="L105" s="10" t="n">
        <f aca="false">L103-INDEX(Assumptions!$C$204:$E$204,$B$3)</f>
        <v>-173631.62158278</v>
      </c>
      <c r="M105" s="10" t="n">
        <f aca="false">M103-INDEX(Assumptions!$C$204:$E$204,$B$3)</f>
        <v>-169639.486128678</v>
      </c>
      <c r="N105" s="10" t="n">
        <f aca="false">N103-INDEX(Assumptions!$C$204:$E$204,$B$3)</f>
        <v>-165620.813386441</v>
      </c>
      <c r="O105" s="40" t="n">
        <f aca="false">SUM(C105:N105)</f>
        <v>-3115497.4242813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250000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-16249.4030199569</v>
      </c>
      <c r="E113" s="10" t="n">
        <f aca="false">((E67+IF(INDEX(Assumptions!$C$87:$E$87,$B$3)&gt;=2,D67,0)+IF(INDEX(Assumptions!$C$87:$E$87,$B$3)&gt;=3,C67,0))/INDEX(Assumptions!$C$87:$E$87,$B$3))-E67</f>
        <v>-16961.6304837486</v>
      </c>
      <c r="F113" s="10" t="n">
        <f aca="false">((F67+IF(INDEX(Assumptions!$C$87:$E$87,$B$3)&gt;=2,E67,0)+IF(INDEX(Assumptions!$C$87:$E$87,$B$3)&gt;=3,D67,0))/INDEX(Assumptions!$C$87:$E$87,$B$3))-F67</f>
        <v>-23232.0498474102</v>
      </c>
      <c r="G113" s="10" t="n">
        <f aca="false">((G67+IF(INDEX(Assumptions!$C$87:$E$87,$B$3)&gt;=2,F67,0)+IF(INDEX(Assumptions!$C$87:$E$87,$B$3)&gt;=3,E67,0))/INDEX(Assumptions!$C$87:$E$87,$B$3))-G67</f>
        <v>11389.7429725711</v>
      </c>
      <c r="H113" s="10" t="n">
        <f aca="false">((H67+IF(INDEX(Assumptions!$C$87:$E$87,$B$3)&gt;=2,G67,0)+IF(INDEX(Assumptions!$C$87:$E$87,$B$3)&gt;=3,F67,0))/INDEX(Assumptions!$C$87:$E$87,$B$3))-H67</f>
        <v>3247.41223969977</v>
      </c>
      <c r="I113" s="10" t="n">
        <f aca="false">((I67+IF(INDEX(Assumptions!$C$87:$E$87,$B$3)&gt;=2,H67,0)+IF(INDEX(Assumptions!$C$87:$E$87,$B$3)&gt;=3,G67,0))/INDEX(Assumptions!$C$87:$E$87,$B$3))-I67</f>
        <v>-20662.2922001382</v>
      </c>
      <c r="J113" s="10" t="n">
        <f aca="false">((J67+IF(INDEX(Assumptions!$C$87:$E$87,$B$3)&gt;=2,I67,0)+IF(INDEX(Assumptions!$C$87:$E$87,$B$3)&gt;=3,H67,0))/INDEX(Assumptions!$C$87:$E$87,$B$3))-J67</f>
        <v>-11716.1016949153</v>
      </c>
      <c r="K113" s="10" t="n">
        <f aca="false">((K67+IF(INDEX(Assumptions!$C$87:$E$87,$B$3)&gt;=2,J67,0)+IF(INDEX(Assumptions!$C$87:$E$87,$B$3)&gt;=3,I67,0))/INDEX(Assumptions!$C$87:$E$87,$B$3))-K67</f>
        <v>3167.37288135594</v>
      </c>
      <c r="L113" s="10" t="n">
        <f aca="false">((L67+IF(INDEX(Assumptions!$C$87:$E$87,$B$3)&gt;=2,K67,0)+IF(INDEX(Assumptions!$C$87:$E$87,$B$3)&gt;=3,J67,0))/INDEX(Assumptions!$C$87:$E$87,$B$3))-L67</f>
        <v>9618.64406779659</v>
      </c>
      <c r="M113" s="10" t="n">
        <f aca="false">((M67+IF(INDEX(Assumptions!$C$87:$E$87,$B$3)&gt;=2,L67,0)+IF(INDEX(Assumptions!$C$87:$E$87,$B$3)&gt;=3,K67,0))/INDEX(Assumptions!$C$87:$E$87,$B$3))-M67</f>
        <v>6271.18644067796</v>
      </c>
      <c r="N113" s="10" t="n">
        <f aca="false">((N67+IF(INDEX(Assumptions!$C$87:$E$87,$B$3)&gt;=2,M67,0)+IF(INDEX(Assumptions!$C$87:$E$87,$B$3)&gt;=3,L67,0))/INDEX(Assumptions!$C$87:$E$87,$B$3))-N67</f>
        <v>3771.18644067798</v>
      </c>
      <c r="O113" s="40" t="n">
        <f aca="false">SUM(C113:N113)</f>
        <v>-75084.7457627119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-441977.430812203</v>
      </c>
      <c r="D114" s="40" t="n">
        <f aca="false">D103+D113-D112</f>
        <v>-301711.95467888</v>
      </c>
      <c r="E114" s="40" t="n">
        <f aca="false">E103+E113-E112</f>
        <v>-560064.372870926</v>
      </c>
      <c r="F114" s="40" t="n">
        <f aca="false">F103+F113-F112</f>
        <v>-302239.670112614</v>
      </c>
      <c r="G114" s="40" t="n">
        <f aca="false">G103+G113-G112</f>
        <v>-242910.43106637</v>
      </c>
      <c r="H114" s="40" t="n">
        <f aca="false">H103+H113-H112</f>
        <v>-110535.863586402</v>
      </c>
      <c r="I114" s="40" t="n">
        <f aca="false">I103+I113-I112</f>
        <v>-118291.30325763</v>
      </c>
      <c r="J114" s="40" t="n">
        <f aca="false">J103+J113-J112</f>
        <v>-104879.314107525</v>
      </c>
      <c r="K114" s="40" t="n">
        <f aca="false">K103+K113-K112</f>
        <v>-93740.9254027119</v>
      </c>
      <c r="L114" s="40" t="n">
        <f aca="false">L103+L113-L112</f>
        <v>-89012.9775149831</v>
      </c>
      <c r="M114" s="40" t="n">
        <f aca="false">M103+M113-M112</f>
        <v>-88368.299688</v>
      </c>
      <c r="N114" s="40" t="n">
        <f aca="false">N103+N113-N112</f>
        <v>-86849.6269457627</v>
      </c>
      <c r="O114" s="11" t="n">
        <f aca="false">SUM(C114:N114)</f>
        <v>-2540582.17004401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-441977.430812203</v>
      </c>
      <c r="D115" s="40" t="n">
        <f aca="false">C115+D114</f>
        <v>-743689.385491084</v>
      </c>
      <c r="E115" s="40" t="n">
        <f aca="false">D115+E114</f>
        <v>-1303753.75836201</v>
      </c>
      <c r="F115" s="40" t="n">
        <f aca="false">E115+F114</f>
        <v>-1605993.42847462</v>
      </c>
      <c r="G115" s="40" t="n">
        <f aca="false">F115+G114</f>
        <v>-1848903.85954099</v>
      </c>
      <c r="H115" s="40" t="n">
        <f aca="false">G115+H114</f>
        <v>-1959439.7231274</v>
      </c>
      <c r="I115" s="40" t="n">
        <f aca="false">H115+I114</f>
        <v>-2077731.02638503</v>
      </c>
      <c r="J115" s="40" t="n">
        <f aca="false">I115+J114</f>
        <v>-2182610.34049255</v>
      </c>
      <c r="K115" s="40" t="n">
        <f aca="false">J115+K114</f>
        <v>-2276351.26589526</v>
      </c>
      <c r="L115" s="40" t="n">
        <f aca="false">K115+L114</f>
        <v>-2365364.24341025</v>
      </c>
      <c r="M115" s="40" t="n">
        <f aca="false">L115+M114</f>
        <v>-2453732.54309825</v>
      </c>
      <c r="N115" s="40" t="n">
        <f aca="false">M115+N114</f>
        <v>-2540582.17004401</v>
      </c>
      <c r="O115" s="11" t="n">
        <f aca="false">N115</f>
        <v>-2540582.17004401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441977.430812203</v>
      </c>
      <c r="D116" s="40" t="n">
        <f aca="false">-MIN(0,MIN($C$115:D115))</f>
        <v>743689.385491084</v>
      </c>
      <c r="E116" s="40" t="n">
        <f aca="false">-MIN(0,MIN($C$115:E115))</f>
        <v>1303753.75836201</v>
      </c>
      <c r="F116" s="40" t="n">
        <f aca="false">-MIN(0,MIN($C$115:F115))</f>
        <v>1605993.42847462</v>
      </c>
      <c r="G116" s="40" t="n">
        <f aca="false">-MIN(0,MIN($C$115:G115))</f>
        <v>1848903.85954099</v>
      </c>
      <c r="H116" s="40" t="n">
        <f aca="false">-MIN(0,MIN($C$115:H115))</f>
        <v>1959439.7231274</v>
      </c>
      <c r="I116" s="40" t="n">
        <f aca="false">-MIN(0,MIN($C$115:I115))</f>
        <v>2077731.02638503</v>
      </c>
      <c r="J116" s="40" t="n">
        <f aca="false">-MIN(0,MIN($C$115:J115))</f>
        <v>2182610.34049255</v>
      </c>
      <c r="K116" s="40" t="n">
        <f aca="false">-MIN(0,MIN($C$115:K115))</f>
        <v>2276351.26589526</v>
      </c>
      <c r="L116" s="40" t="n">
        <f aca="false">-MIN(0,MIN($C$115:L115))</f>
        <v>2365364.24341025</v>
      </c>
      <c r="M116" s="40" t="n">
        <f aca="false">-MIN(0,MIN($C$115:M115))</f>
        <v>2453732.54309825</v>
      </c>
      <c r="N116" s="40" t="n">
        <f aca="false">-MIN(0,MIN($C$115:N115))</f>
        <v>2540582.17004401</v>
      </c>
      <c r="O116" s="11" t="n">
        <f aca="false">MAX(C116:N116)</f>
        <v>2540582.17004401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1.56265568420264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2.82097834607314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1.81046106115108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2.2201125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2.736375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2.47095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2.2647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1.56265568420264</v>
      </c>
      <c r="D129" s="8" t="n">
        <f aca="false">C129/INDEX(Assumptions!$C$179:$E$179,$B$3)</f>
        <v>0.130221307016887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2.82097834607314</v>
      </c>
      <c r="D130" s="8" t="n">
        <f aca="false">C130/INDEX(Assumptions!$C$179:$E$179,$B$3)</f>
        <v>0.235081528839428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1.81046106115108</v>
      </c>
      <c r="D131" s="8" t="n">
        <f aca="false">C131/INDEX(Assumptions!$C$179:$E$179,$B$3)</f>
        <v>0.150871755095923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2.2201125</v>
      </c>
      <c r="D132" s="8" t="n">
        <f aca="false">C132/INDEX(Assumptions!$C$179:$E$179,$B$3)</f>
        <v>0.185009375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2.736375</v>
      </c>
      <c r="D133" s="8" t="n">
        <f aca="false">C133/INDEX(Assumptions!$C$179:$E$179,$B$3)</f>
        <v>0.22803125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0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2.47095</v>
      </c>
      <c r="D134" s="8" t="n">
        <f aca="false">C134/INDEX(Assumptions!$C$179:$E$179,$B$3)</f>
        <v>0.2059125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2.2647</v>
      </c>
      <c r="D135" s="8" t="n">
        <f aca="false">C135/INDEX(Assumptions!$C$179:$E$179,$B$3)</f>
        <v>0.188725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1.56265568420264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2.82097834607314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2.43663606115108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3.4193625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3.3819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2.97135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1.56265568420264</v>
      </c>
      <c r="D143" s="8" t="n">
        <f aca="false">C143/INDEX(Assumptions!$C$179:$E$179,$B$3)</f>
        <v>0.130221307016887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2.82097834607314</v>
      </c>
      <c r="D144" s="8" t="n">
        <f aca="false">C144/INDEX(Assumptions!$C$179:$E$179,$B$3)</f>
        <v>0.235081528839428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2.43663606115108</v>
      </c>
      <c r="D145" s="8" t="n">
        <f aca="false">C145/INDEX(Assumptions!$C$179:$E$179,$B$3)</f>
        <v>0.203053005095923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0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3.4193625</v>
      </c>
      <c r="D146" s="8" t="n">
        <f aca="false">C146/INDEX(Assumptions!$C$179:$E$179,$B$3)</f>
        <v>0.284946875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0</v>
      </c>
      <c r="H146" s="10" t="n">
        <f aca="false">IF(C146&gt;=INDEX(Assumptions!$C$180:$E$180,$B$3)*INDEX($C$25:$N$25,MIN(12,F146)),1,0)</f>
        <v>0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3.3819</v>
      </c>
      <c r="D147" s="8" t="n">
        <f aca="false">C147/INDEX(Assumptions!$C$179:$E$179,$B$3)</f>
        <v>0.281825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2.97135</v>
      </c>
      <c r="D148" s="8" t="n">
        <f aca="false">C148/INDEX(Assumptions!$C$179:$E$179,$B$3)</f>
        <v>0.2476125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1550510.08371263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-2215497.4242813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-1.42888295120041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-3115497.4242813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250000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2540582.17004401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459417.829955991</v>
      </c>
    </row>
    <row r="160" customFormat="false" ht="15" hidden="false" customHeight="false" outlineLevel="0" collapsed="false">
      <c r="A160" s="3" t="s">
        <v>51</v>
      </c>
      <c r="B160" s="7" t="n">
        <f aca="false">O38</f>
        <v>28.652692146283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2.82</v>
      </c>
    </row>
    <row r="162" customFormat="false" ht="15" hidden="false" customHeight="false" outlineLevel="0" collapsed="false">
      <c r="A162" s="3" t="s">
        <v>53</v>
      </c>
      <c r="B162" s="11" t="n">
        <f aca="false">O46</f>
        <v>72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0.3</v>
      </c>
    </row>
    <row r="164" customFormat="false" ht="15" hidden="false" customHeight="false" outlineLevel="0" collapsed="false">
      <c r="A164" s="3" t="s">
        <v>55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14987.1175847458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182833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56243.1044101695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8.44658052984629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101.358966358155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0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0.378662295884044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3.95147676419966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-283891.921097898</v>
      </c>
    </row>
    <row r="177" customFormat="false" ht="15" hidden="false" customHeight="false" outlineLevel="0" collapsed="false">
      <c r="A177" s="3" t="s">
        <v>68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-2540582.17004401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4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2540582.17004401</v>
      </c>
    </row>
    <row r="182" customFormat="false" ht="15" hidden="false" customHeight="false" outlineLevel="0" collapsed="false">
      <c r="A182" s="3" t="s">
        <v>73</v>
      </c>
      <c r="B182" s="11" t="n">
        <f aca="false">O86</f>
        <v>765000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40000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1089648.69214628</v>
      </c>
    </row>
    <row r="187" customFormat="false" ht="15" hidden="false" customHeight="false" outlineLevel="0" collapsed="false">
      <c r="A187" s="3" t="s">
        <v>78</v>
      </c>
      <c r="B187" s="11" t="n">
        <f aca="false">O97</f>
        <v>120000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5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132500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0.130221307016887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0.235081528839428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0.189121816564606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2.2647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2" t="str">
        <f aca="false">IFERROR(INDEX(F143:F148,MATCH(1,G143:G148,0)),"not in Y1")</f>
        <v>not in Y1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0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0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0.256608293365308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0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40323.2490675508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0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264607.078902102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1573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1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99</v>
      </c>
      <c r="R4" s="2" t="s">
        <v>1403</v>
      </c>
      <c r="S4" s="37" t="n">
        <v>2</v>
      </c>
      <c r="T4" s="2" t="s">
        <v>1404</v>
      </c>
      <c r="U4" s="37" t="n">
        <v>10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1.91666666666667</v>
      </c>
      <c r="E15" s="16" t="n">
        <f aca="false">E14+(INDEX(Assumptions!$C$25:$E$25,E$9)*(1-(INDEX(Assumptions!$C$27:$E$27,$B$3)+INDEX(Assumptions!$C$28:$E$28,$B$3)+INDEX(Assumptions!$C$31:$E$31,$B$3)))-E14)*MIN(1,(3-1)/6)*$N$4</f>
        <v>2.33333333333333</v>
      </c>
      <c r="F15" s="16" t="n">
        <f aca="false">F14+(INDEX(Assumptions!$C$25:$E$25,F$9)*(1-(INDEX(Assumptions!$C$27:$E$27,$B$3)+INDEX(Assumptions!$C$28:$E$28,$B$3)+INDEX(Assumptions!$C$31:$E$31,$B$3)))-F14)*MIN(1,(4-1)/6)*$N$4</f>
        <v>2.75</v>
      </c>
      <c r="G15" s="16" t="n">
        <f aca="false">G14+(INDEX(Assumptions!$C$25:$E$25,G$9)*(1-(INDEX(Assumptions!$C$27:$E$27,$B$3)+INDEX(Assumptions!$C$28:$E$28,$B$3)+INDEX(Assumptions!$C$31:$E$31,$B$3)))-G14)*MIN(1,(5-1)/6)*$N$4</f>
        <v>3.16666666666667</v>
      </c>
      <c r="H15" s="16" t="n">
        <f aca="false">H14+(INDEX(Assumptions!$C$25:$E$25,H$9)*(1-(INDEX(Assumptions!$C$27:$E$27,$B$3)+INDEX(Assumptions!$C$28:$E$28,$B$3)+INDEX(Assumptions!$C$31:$E$31,$B$3)))-H14)*MIN(1,(6-1)/6)*$N$4</f>
        <v>3.58333333333333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34.45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43.8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1.5</v>
      </c>
      <c r="D17" s="16" t="n">
        <f aca="false">D15+D16</f>
        <v>2.91666666666667</v>
      </c>
      <c r="E17" s="16" t="n">
        <f aca="false">E15+E16</f>
        <v>4.33333333333333</v>
      </c>
      <c r="F17" s="16" t="n">
        <f aca="false">F15+F16</f>
        <v>5.75</v>
      </c>
      <c r="G17" s="16" t="n">
        <f aca="false">G15+G16</f>
        <v>7.16666666666667</v>
      </c>
      <c r="H17" s="16" t="n">
        <f aca="false">H15+H16</f>
        <v>8.58333333333333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78.25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40000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40000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40000</v>
      </c>
      <c r="O18" s="40" t="n">
        <f aca="false">SUM(C18:N18)</f>
        <v>540000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0.916666666666667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0.260395683453237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0.694388489208633</v>
      </c>
      <c r="F21" s="16" t="n">
        <f aca="false">F18*INDEX(Assumptions!$C$119:$E$119,$B$3)/F19</f>
        <v>0.867985611510791</v>
      </c>
      <c r="G21" s="16" t="n">
        <f aca="false">G18*INDEX(Assumptions!$C$119:$E$119,$B$3)/G19</f>
        <v>1.04158273381295</v>
      </c>
      <c r="H21" s="16" t="n">
        <f aca="false">H18*INDEX(Assumptions!$C$119:$E$119,$B$3)/H19</f>
        <v>1.04158273381295</v>
      </c>
      <c r="I21" s="16" t="n">
        <f aca="false">I18*INDEX(Assumptions!$C$119:$E$119,$B$3)/I19</f>
        <v>1.04158273381295</v>
      </c>
      <c r="J21" s="16" t="n">
        <f aca="false">J18*INDEX(Assumptions!$C$119:$E$119,$B$3)/J19</f>
        <v>1.04158273381295</v>
      </c>
      <c r="K21" s="16" t="n">
        <f aca="false">K18*INDEX(Assumptions!$C$119:$E$119,$B$3)/K19</f>
        <v>1.04158273381295</v>
      </c>
      <c r="L21" s="16" t="n">
        <f aca="false">L18*INDEX(Assumptions!$C$119:$E$119,$B$3)/L19</f>
        <v>0.694388489208633</v>
      </c>
      <c r="M21" s="16" t="n">
        <f aca="false">M18*INDEX(Assumptions!$C$119:$E$119,$B$3)/M19</f>
        <v>0.694388489208633</v>
      </c>
      <c r="N21" s="16" t="n">
        <f aca="false">N18*INDEX(Assumptions!$C$119:$E$119,$B$3)/N19</f>
        <v>0.694388489208633</v>
      </c>
      <c r="O21" s="38" t="n">
        <f aca="false">SUM(C21:N21)</f>
        <v>9.37424460431655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1.37889838129496</v>
      </c>
      <c r="E24" s="38" t="n">
        <f aca="false">E10*(E14*$F$3+(E15-E14)*$F$3*E20+MIN(E16,E21*E20))*E22*E23</f>
        <v>2.11940527577938</v>
      </c>
      <c r="F24" s="38" t="n">
        <f aca="false">F10*(F14*$F$3+(F15-F14)*$F$3*F20+MIN(F16,F21*F20))*F22*F23</f>
        <v>2.89438848920863</v>
      </c>
      <c r="G24" s="38" t="n">
        <f aca="false">G10*(G14*$F$3+(G15-G14)*$F$3*G20+MIN(G16,G21*G20))*G22*G23</f>
        <v>3.78742446043165</v>
      </c>
      <c r="H24" s="38" t="n">
        <f aca="false">H10*(H14*$F$3+(H15-H14)*$F$3*H20+MIN(H16,H21*H20))*H22*H23</f>
        <v>4.62491606714628</v>
      </c>
      <c r="I24" s="38" t="n">
        <f aca="false">I10*(I14*$F$3+(I15-I14)*$F$3*I20+MIN(I16,I21*I20))*I22*I23</f>
        <v>6.55405755395684</v>
      </c>
      <c r="J24" s="38" t="n">
        <f aca="false">J10*(J14*$F$3+(J15-J14)*$F$3*J20+MIN(J16,J21*J20))*J22*J23</f>
        <v>6.80613669064748</v>
      </c>
      <c r="K24" s="38" t="n">
        <f aca="false">K10*(K14*$F$3+(K15-K14)*$F$3*K20+MIN(K16,K21*K20))*K22*K23</f>
        <v>6.30197841726619</v>
      </c>
      <c r="L24" s="38" t="n">
        <f aca="false">L10*(L14*$F$3+(L15-L14)*$F$3*L20+MIN(L16,L21*L20))*L22*L23</f>
        <v>3.4038273381295</v>
      </c>
      <c r="M24" s="38" t="n">
        <f aca="false">M10*(M14*$F$3+(M15-M14)*$F$3*M20+MIN(M16,M21*M20))*M22*M23</f>
        <v>3.24910791366907</v>
      </c>
      <c r="N24" s="38" t="n">
        <f aca="false">N10*(N14*$F$3+(N15-N14)*$F$3*N20+MIN(N16,N21*N20))*N22*N23</f>
        <v>3.09438848920863</v>
      </c>
      <c r="O24" s="17" t="n">
        <f aca="false">SUM(C24:N24)</f>
        <v>45.4145290767386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18</v>
      </c>
      <c r="M27" s="6" t="n">
        <f aca="false">M25*M26*INDEX(Assumptions!$C$220:$E$220,$B$3)</f>
        <v>18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1.43944919064748</v>
      </c>
      <c r="F31" s="6" t="n">
        <f aca="false">E34+D34+E37+D37+1.25*E35</f>
        <v>2.07151412619904</v>
      </c>
      <c r="G31" s="6" t="n">
        <f aca="false">F34+E34+F37+E37+1.25*F35</f>
        <v>2.9441848396283</v>
      </c>
      <c r="H31" s="6" t="n">
        <f aca="false">G34+F34+G37+F37+1.25*G35</f>
        <v>3.96763069544365</v>
      </c>
      <c r="I31" s="6" t="n">
        <f aca="false">H34+G34+H37+G37+1.25*H35</f>
        <v>5.041396882494</v>
      </c>
      <c r="J31" s="6" t="n">
        <f aca="false">I34+H34+I37+H37+1.25*I35</f>
        <v>6.6410293764988</v>
      </c>
      <c r="K31" s="6" t="n">
        <f aca="false">J34+I34+J37+I37+1.25*J35</f>
        <v>8.07746882494005</v>
      </c>
      <c r="L31" s="6" t="n">
        <f aca="false">K34+J34+K37+J37+1.25*K35</f>
        <v>8.22408183453238</v>
      </c>
      <c r="M31" s="6" t="n">
        <f aca="false">L34+K34+L37+K37+1.25*L35</f>
        <v>6.49141726618705</v>
      </c>
      <c r="N31" s="6" t="n">
        <f aca="false">M34+L34+M37+L37+1.25*M35</f>
        <v>4.53969334532374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1.52889838129496</v>
      </c>
      <c r="E32" s="6" t="n">
        <f aca="false">E24*(INDEX(Assumptions!$C$26:$E$26,$B$3)*(1-E28)+(1-INDEX(Assumptions!$C$26:$E$26,$B$3)))+1.25*E30+D36*INDEX(Assumptions!$C$89:$E$89,$B$3)</f>
        <v>2.29176757344125</v>
      </c>
      <c r="F32" s="6" t="n">
        <f aca="false">F24*(INDEX(Assumptions!$C$26:$E$26,$B$3)*(1-F28)+(1-INDEX(Assumptions!$C$26:$E$26,$B$3)))+1.25*F30+E36*INDEX(Assumptions!$C$89:$E$89,$B$3)</f>
        <v>3.15931414868106</v>
      </c>
      <c r="G32" s="6" t="n">
        <f aca="false">G24*(INDEX(Assumptions!$C$26:$E$26,$B$3)*(1-G28)+(1-INDEX(Assumptions!$C$26:$E$26,$B$3)))+1.25*G30+F36*INDEX(Assumptions!$C$89:$E$89,$B$3)</f>
        <v>4.14922302158273</v>
      </c>
      <c r="H32" s="6" t="n">
        <f aca="false">H24*(INDEX(Assumptions!$C$26:$E$26,$B$3)*(1-H28)+(1-INDEX(Assumptions!$C$26:$E$26,$B$3)))+1.25*H30+G36*INDEX(Assumptions!$C$89:$E$89,$B$3)</f>
        <v>5.09834412470024</v>
      </c>
      <c r="I32" s="6" t="n">
        <f aca="false">I24*(INDEX(Assumptions!$C$26:$E$26,$B$3)*(1-I28)+(1-INDEX(Assumptions!$C$26:$E$26,$B$3)))+1.25*I30+H36*INDEX(Assumptions!$C$89:$E$89,$B$3)</f>
        <v>7.13217206235012</v>
      </c>
      <c r="J32" s="6" t="n">
        <f aca="false">J24*(INDEX(Assumptions!$C$26:$E$26,$B$3)*(1-J28)+(1-INDEX(Assumptions!$C$26:$E$26,$B$3)))+1.25*J30+I36*INDEX(Assumptions!$C$89:$E$89,$B$3)</f>
        <v>7.62539388489209</v>
      </c>
      <c r="K32" s="6" t="n">
        <f aca="false">K24*(INDEX(Assumptions!$C$26:$E$26,$B$3)*(1-K28)+(1-INDEX(Assumptions!$C$26:$E$26,$B$3)))+1.25*K30+J36*INDEX(Assumptions!$C$89:$E$89,$B$3)</f>
        <v>7.15274550359712</v>
      </c>
      <c r="L32" s="6" t="n">
        <f aca="false">L24*(INDEX(Assumptions!$C$26:$E$26,$B$3)*(1-L28)+(1-INDEX(Assumptions!$C$26:$E$26,$B$3)))+1.25*L30+K36*INDEX(Assumptions!$C$89:$E$89,$B$3)</f>
        <v>4.19157464028777</v>
      </c>
      <c r="M32" s="6" t="n">
        <f aca="false">M24*(INDEX(Assumptions!$C$26:$E$26,$B$3)*(1-M28)+(1-INDEX(Assumptions!$C$26:$E$26,$B$3)))+1.25*M30+L36*INDEX(Assumptions!$C$89:$E$89,$B$3)</f>
        <v>3.67458633093525</v>
      </c>
      <c r="N32" s="6" t="n">
        <f aca="false">N24*(INDEX(Assumptions!$C$26:$E$26,$B$3)*(1-N28)+(1-INDEX(Assumptions!$C$26:$E$26,$B$3)))+1.25*N30+M36*INDEX(Assumptions!$C$89:$E$89,$B$3)</f>
        <v>3.50052697841727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0.689449190647482</v>
      </c>
      <c r="E34" s="38" t="n">
        <f aca="false">E24*INDEX(Assumptions!$C$26:$E$26,$B$3)*(1-E28)*E33</f>
        <v>1.05970263788969</v>
      </c>
      <c r="F34" s="38" t="n">
        <f aca="false">F24*INDEX(Assumptions!$C$26:$E$26,$B$3)*(1-F28)*F33</f>
        <v>1.44719424460432</v>
      </c>
      <c r="G34" s="38" t="n">
        <f aca="false">G24*INDEX(Assumptions!$C$26:$E$26,$B$3)*(1-G28)*G33</f>
        <v>1.89371223021583</v>
      </c>
      <c r="H34" s="38" t="n">
        <f aca="false">H24*INDEX(Assumptions!$C$26:$E$26,$B$3)*(1-H28)*H33</f>
        <v>2.31245803357314</v>
      </c>
      <c r="I34" s="38" t="n">
        <f aca="false">I24*INDEX(Assumptions!$C$26:$E$26,$B$3)*(1-I28)*I33</f>
        <v>3.27702877697842</v>
      </c>
      <c r="J34" s="38" t="n">
        <f aca="false">J24*INDEX(Assumptions!$C$26:$E$26,$B$3)*(1-J28)*J33</f>
        <v>3.40306834532374</v>
      </c>
      <c r="K34" s="38" t="n">
        <f aca="false">K24*INDEX(Assumptions!$C$26:$E$26,$B$3)*(1-K28)*K33</f>
        <v>3.15098920863309</v>
      </c>
      <c r="L34" s="38" t="n">
        <f aca="false">L24*INDEX(Assumptions!$C$26:$E$26,$B$3)*(1-L28)*L33</f>
        <v>1.70191366906475</v>
      </c>
      <c r="M34" s="38" t="n">
        <f aca="false">M24*INDEX(Assumptions!$C$26:$E$26,$B$3)*(1-M28)*M33</f>
        <v>1.62455395683453</v>
      </c>
      <c r="N34" s="38" t="n">
        <f aca="false">N24*INDEX(Assumptions!$C$26:$E$26,$B$3)*(1-N28)*N33</f>
        <v>1.54719424460432</v>
      </c>
      <c r="O34" s="17" t="n">
        <f aca="false">SUM(C34:N34)</f>
        <v>22.7072645383693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0.6</v>
      </c>
      <c r="D36" s="16" t="n">
        <f aca="false">D24*(1-INDEX(Assumptions!$C$26:$E$26,$B$3))*D33</f>
        <v>0.689449190647482</v>
      </c>
      <c r="E36" s="16" t="n">
        <f aca="false">E24*(1-INDEX(Assumptions!$C$26:$E$26,$B$3))*E33</f>
        <v>1.05970263788969</v>
      </c>
      <c r="F36" s="16" t="n">
        <f aca="false">F24*(1-INDEX(Assumptions!$C$26:$E$26,$B$3))*F33</f>
        <v>1.44719424460432</v>
      </c>
      <c r="G36" s="16" t="n">
        <f aca="false">G24*(1-INDEX(Assumptions!$C$26:$E$26,$B$3))*G33</f>
        <v>1.89371223021583</v>
      </c>
      <c r="H36" s="16" t="n">
        <f aca="false">H24*(1-INDEX(Assumptions!$C$26:$E$26,$B$3))*H33</f>
        <v>2.31245803357314</v>
      </c>
      <c r="I36" s="16" t="n">
        <f aca="false">I24*(1-INDEX(Assumptions!$C$26:$E$26,$B$3))*I33</f>
        <v>3.27702877697842</v>
      </c>
      <c r="J36" s="16" t="n">
        <f aca="false">J24*(1-INDEX(Assumptions!$C$26:$E$26,$B$3))*J33</f>
        <v>3.40306834532374</v>
      </c>
      <c r="K36" s="16" t="n">
        <f aca="false">K24*(1-INDEX(Assumptions!$C$26:$E$26,$B$3))*K33</f>
        <v>3.15098920863309</v>
      </c>
      <c r="L36" s="16" t="n">
        <f aca="false">L24*(1-INDEX(Assumptions!$C$26:$E$26,$B$3))*L33</f>
        <v>1.70191366906475</v>
      </c>
      <c r="M36" s="16" t="n">
        <f aca="false">M24*(1-INDEX(Assumptions!$C$26:$E$26,$B$3))*M33</f>
        <v>1.62455395683453</v>
      </c>
      <c r="N36" s="16" t="n">
        <f aca="false">N24*(1-INDEX(Assumptions!$C$26:$E$26,$B$3))*N33</f>
        <v>1.54719424460432</v>
      </c>
      <c r="O36" s="38" t="n">
        <f aca="false">SUM(C36:N36)</f>
        <v>22.7072645383693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0.172362297661871</v>
      </c>
      <c r="F37" s="16" t="n">
        <f aca="false">E36*INDEX(Assumptions!$C$89:$E$89,$B$3)*F33</f>
        <v>0.264925659472422</v>
      </c>
      <c r="G37" s="16" t="n">
        <f aca="false">F36*INDEX(Assumptions!$C$89:$E$89,$B$3)*G33</f>
        <v>0.361798561151079</v>
      </c>
      <c r="H37" s="16" t="n">
        <f aca="false">G36*INDEX(Assumptions!$C$89:$E$89,$B$3)*H33</f>
        <v>0.473428057553957</v>
      </c>
      <c r="I37" s="16" t="n">
        <f aca="false">H36*INDEX(Assumptions!$C$89:$E$89,$B$3)*I33</f>
        <v>0.578114508393285</v>
      </c>
      <c r="J37" s="16" t="n">
        <f aca="false">I36*INDEX(Assumptions!$C$89:$E$89,$B$3)*J33</f>
        <v>0.819257194244604</v>
      </c>
      <c r="K37" s="16" t="n">
        <f aca="false">J36*INDEX(Assumptions!$C$89:$E$89,$B$3)*K33</f>
        <v>0.850767086330935</v>
      </c>
      <c r="L37" s="16" t="n">
        <f aca="false">K36*INDEX(Assumptions!$C$89:$E$89,$B$3)*L33</f>
        <v>0.787747302158274</v>
      </c>
      <c r="M37" s="16" t="n">
        <f aca="false">L36*INDEX(Assumptions!$C$89:$E$89,$B$3)*M33</f>
        <v>0.425478417266187</v>
      </c>
      <c r="N37" s="16" t="n">
        <f aca="false">M36*INDEX(Assumptions!$C$89:$E$89,$B$3)*N33</f>
        <v>0.406138489208633</v>
      </c>
      <c r="O37" s="38" t="n">
        <f aca="false">SUM(C37:N37)</f>
        <v>5.29001757344125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1.2</v>
      </c>
      <c r="D38" s="38" t="n">
        <f aca="false">D34+D35+D36</f>
        <v>1.37889838129496</v>
      </c>
      <c r="E38" s="38" t="n">
        <f aca="false">E34+E35+E36</f>
        <v>2.11940527577938</v>
      </c>
      <c r="F38" s="38" t="n">
        <f aca="false">F34+F35+F36</f>
        <v>2.89438848920863</v>
      </c>
      <c r="G38" s="38" t="n">
        <f aca="false">G34+G35+G36</f>
        <v>3.78742446043165</v>
      </c>
      <c r="H38" s="38" t="n">
        <f aca="false">H34+H35+H36</f>
        <v>4.62491606714628</v>
      </c>
      <c r="I38" s="38" t="n">
        <f aca="false">I34+I35+I36</f>
        <v>6.55405755395684</v>
      </c>
      <c r="J38" s="38" t="n">
        <f aca="false">J34+J35+J36</f>
        <v>6.80613669064748</v>
      </c>
      <c r="K38" s="38" t="n">
        <f aca="false">K34+K35+K36</f>
        <v>6.30197841726619</v>
      </c>
      <c r="L38" s="38" t="n">
        <f aca="false">L34+L35+L36</f>
        <v>3.4038273381295</v>
      </c>
      <c r="M38" s="38" t="n">
        <f aca="false">M34+M35+M36</f>
        <v>3.24910791366907</v>
      </c>
      <c r="N38" s="38" t="n">
        <f aca="false">N34+N35+N36</f>
        <v>3.09438848920863</v>
      </c>
      <c r="O38" s="17" t="n">
        <f aca="false">SUM(C38:N38)</f>
        <v>45.4145290767386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1.37889838129496</v>
      </c>
      <c r="E39" s="16" t="n">
        <f aca="false">IF(3&lt;IF($Q$3=1,$Q$4+1,INDEX(Assumptions!$C$215:$E$215,$D$3)),E24,E38)</f>
        <v>2.11940527577938</v>
      </c>
      <c r="F39" s="16" t="n">
        <f aca="false">IF(4&lt;IF($Q$3=1,$Q$4+1,INDEX(Assumptions!$C$215:$E$215,$D$3)),F24,F38)</f>
        <v>2.89438848920863</v>
      </c>
      <c r="G39" s="16" t="n">
        <f aca="false">IF(5&lt;IF($Q$3=1,$Q$4+1,INDEX(Assumptions!$C$215:$E$215,$D$3)),G24,G38)</f>
        <v>3.78742446043165</v>
      </c>
      <c r="H39" s="16" t="n">
        <f aca="false">IF(6&lt;IF($Q$3=1,$Q$4+1,INDEX(Assumptions!$C$215:$E$215,$D$3)),H24,H38)</f>
        <v>4.62491606714628</v>
      </c>
      <c r="I39" s="16" t="n">
        <f aca="false">IF(7&lt;IF($Q$3=1,$Q$4+1,INDEX(Assumptions!$C$215:$E$215,$D$3)),I24,I38)</f>
        <v>6.55405755395684</v>
      </c>
      <c r="J39" s="16" t="n">
        <f aca="false">IF(8&lt;IF($Q$3=1,$Q$4+1,INDEX(Assumptions!$C$215:$E$215,$D$3)),J24,J38)</f>
        <v>6.80613669064748</v>
      </c>
      <c r="K39" s="16" t="n">
        <f aca="false">IF(9&lt;IF($Q$3=1,$Q$4+1,INDEX(Assumptions!$C$215:$E$215,$D$3)),K24,K38)</f>
        <v>6.30197841726619</v>
      </c>
      <c r="L39" s="16" t="n">
        <f aca="false">IF(10&lt;IF($Q$3=1,$Q$4+1,INDEX(Assumptions!$C$215:$E$215,$D$3)),L24,L38)</f>
        <v>3.4038273381295</v>
      </c>
      <c r="M39" s="16" t="n">
        <f aca="false">IF(11&lt;IF($Q$3=1,$Q$4+1,INDEX(Assumptions!$C$215:$E$215,$D$3)),M24,M38)</f>
        <v>3.24910791366907</v>
      </c>
      <c r="N39" s="16" t="n">
        <f aca="false">IF(12&lt;IF($Q$3=1,$Q$4+1,INDEX(Assumptions!$C$215:$E$215,$D$3)),N24,N38)</f>
        <v>3.09438848920863</v>
      </c>
      <c r="O39" s="38" t="n">
        <f aca="false">SUM(C39:N39)</f>
        <v>45.4145290767386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0.18</v>
      </c>
      <c r="D40" s="16" t="n">
        <f aca="false">D38*INDEX(Assumptions!$C$74:$E$74,$B$3)</f>
        <v>0.206834757194245</v>
      </c>
      <c r="E40" s="16" t="n">
        <f aca="false">E38*INDEX(Assumptions!$C$74:$E$74,$B$3)</f>
        <v>0.317910791366906</v>
      </c>
      <c r="F40" s="16" t="n">
        <f aca="false">F38*INDEX(Assumptions!$C$74:$E$74,$B$3)</f>
        <v>0.434158273381295</v>
      </c>
      <c r="G40" s="16" t="n">
        <f aca="false">G38*INDEX(Assumptions!$C$74:$E$74,$B$3)</f>
        <v>0.568113669064748</v>
      </c>
      <c r="H40" s="16" t="n">
        <f aca="false">H38*INDEX(Assumptions!$C$74:$E$74,$B$3)</f>
        <v>0.693737410071943</v>
      </c>
      <c r="I40" s="16" t="n">
        <f aca="false">I38*INDEX(Assumptions!$C$74:$E$74,$B$3)</f>
        <v>0.983108633093525</v>
      </c>
      <c r="J40" s="16" t="n">
        <f aca="false">J38*INDEX(Assumptions!$C$74:$E$74,$B$3)</f>
        <v>1.02092050359712</v>
      </c>
      <c r="K40" s="16" t="n">
        <f aca="false">K38*INDEX(Assumptions!$C$74:$E$74,$B$3)</f>
        <v>0.945296762589928</v>
      </c>
      <c r="L40" s="16" t="n">
        <f aca="false">L38*INDEX(Assumptions!$C$74:$E$74,$B$3)</f>
        <v>0.510574100719425</v>
      </c>
      <c r="M40" s="16" t="n">
        <f aca="false">M38*INDEX(Assumptions!$C$74:$E$74,$B$3)</f>
        <v>0.48736618705036</v>
      </c>
      <c r="N40" s="16" t="n">
        <f aca="false">N38*INDEX(Assumptions!$C$74:$E$74,$B$3)</f>
        <v>0.464158273381295</v>
      </c>
      <c r="O40" s="38" t="n">
        <f aca="false">SUM(C40:N40)</f>
        <v>6.81217936151079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0.486071942446043</v>
      </c>
      <c r="F41" s="16" t="n">
        <f aca="false">F10*MIN(F16,F21*F20)*F22*F23*F33</f>
        <v>0.694388489208633</v>
      </c>
      <c r="G41" s="16" t="n">
        <f aca="false">G10*MIN(G16,G21*G20)*G22*G23*G33</f>
        <v>0.937424460431655</v>
      </c>
      <c r="H41" s="16" t="n">
        <f aca="false">H10*MIN(H16,H21*H20)*H22*H23*H33</f>
        <v>1.04158273381295</v>
      </c>
      <c r="I41" s="16" t="n">
        <f aca="false">I10*MIN(I16,I21*I20)*I22*I23*I33</f>
        <v>1.35405755395683</v>
      </c>
      <c r="J41" s="16" t="n">
        <f aca="false">J10*MIN(J16,J21*J20)*J22*J23*J33</f>
        <v>1.40613669064748</v>
      </c>
      <c r="K41" s="16" t="n">
        <f aca="false">K10*MIN(K16,K21*K20)*K22*K23*K33</f>
        <v>1.30197841726619</v>
      </c>
      <c r="L41" s="16" t="n">
        <f aca="false">L10*MIN(L16,L21*L20)*L22*L23*L33</f>
        <v>0.763827338129497</v>
      </c>
      <c r="M41" s="16" t="n">
        <f aca="false">M10*MIN(M16,M21*M20)*M22*M23*M33</f>
        <v>0.729107913669065</v>
      </c>
      <c r="N41" s="16" t="n">
        <f aca="false">N10*MIN(N16,N21*N20)*N22*N23*N33</f>
        <v>0.694388489208633</v>
      </c>
      <c r="O41" s="38" t="n">
        <f aca="false">SUM(C41:N41)</f>
        <v>9.50661241007194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1.2</v>
      </c>
      <c r="D42" s="6" t="n">
        <f aca="false">D31+D34+D37+D36+1.25*D35</f>
        <v>2.12889838129496</v>
      </c>
      <c r="E42" s="6" t="n">
        <f aca="false">E31+E34+E37+E36+1.25*E35</f>
        <v>3.73121676408873</v>
      </c>
      <c r="F42" s="6" t="n">
        <f aca="false">F31+F34+F37+F36+1.25*F35</f>
        <v>5.2308282748801</v>
      </c>
      <c r="G42" s="6" t="n">
        <f aca="false">G31+G34+G37+G36+1.25*G35</f>
        <v>7.09340786121103</v>
      </c>
      <c r="H42" s="6" t="n">
        <f aca="false">H31+H34+H37+H36+1.25*H35</f>
        <v>9.06597482014388</v>
      </c>
      <c r="I42" s="6" t="n">
        <f aca="false">I31+I34+I37+I36+1.25*I35</f>
        <v>12.1735689448441</v>
      </c>
      <c r="J42" s="6" t="n">
        <f aca="false">J31+J34+J37+J36+1.25*J35</f>
        <v>14.2664232613909</v>
      </c>
      <c r="K42" s="6" t="n">
        <f aca="false">K31+K34+K37+K36+1.25*K35</f>
        <v>15.2302143285372</v>
      </c>
      <c r="L42" s="6" t="n">
        <f aca="false">L31+L34+L37+L36+1.25*L35</f>
        <v>12.4156564748201</v>
      </c>
      <c r="M42" s="6" t="n">
        <f aca="false">M31+M34+M37+M36+1.25*M35</f>
        <v>10.1660035971223</v>
      </c>
      <c r="N42" s="6" t="n">
        <f aca="false">N31+N34+N37+N36+1.25*N35</f>
        <v>8.04022032374101</v>
      </c>
      <c r="O42" s="41" t="n">
        <f aca="false">AVERAGE(C42:N42)</f>
        <v>8.39520108600619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0.075</v>
      </c>
      <c r="D43" s="39" t="n">
        <f aca="false">D42/(D25*D26)</f>
        <v>0.133056148830935</v>
      </c>
      <c r="E43" s="39" t="n">
        <f aca="false">E42/(E25*E26)</f>
        <v>0.233201047755546</v>
      </c>
      <c r="F43" s="39" t="n">
        <f aca="false">F42/(F25*F26)</f>
        <v>0.326926767180006</v>
      </c>
      <c r="G43" s="39" t="n">
        <f aca="false">G42/(G25*G26)</f>
        <v>0.354670393060552</v>
      </c>
      <c r="H43" s="39" t="n">
        <f aca="false">H42/(H25*H26)</f>
        <v>0.453298741007194</v>
      </c>
      <c r="I43" s="39" t="n">
        <f aca="false">I42/(I25*I26)</f>
        <v>0.608678447242206</v>
      </c>
      <c r="J43" s="39" t="n">
        <f aca="false">J42/(J25*J26)</f>
        <v>0.713321163069544</v>
      </c>
      <c r="K43" s="39" t="n">
        <f aca="false">K42/(K25*K26)</f>
        <v>0.761510716426859</v>
      </c>
      <c r="L43" s="39" t="n">
        <f aca="false">L42/(L25*L26)</f>
        <v>0.620782823741007</v>
      </c>
      <c r="M43" s="39" t="n">
        <f aca="false">M42/(M25*M26)</f>
        <v>0.508300179856115</v>
      </c>
      <c r="N43" s="39" t="n">
        <f aca="false">N42/(N25*N26)</f>
        <v>0.40201101618705</v>
      </c>
      <c r="O43" s="9" t="n">
        <f aca="false">N43</f>
        <v>0.40201101618705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</v>
      </c>
      <c r="F46" s="6" t="n">
        <f aca="false">IF(4&gt;=3,INDEX(Assumptions!$C$234:$E$234,F$9)*INDEX(Assumptions!$C$235:$E$235,$B$3)*MIN(1,(4-2)/6),0)*$F$3*F22*$W$3</f>
        <v>6</v>
      </c>
      <c r="G46" s="6" t="n">
        <f aca="false">IF(5&gt;=3,INDEX(Assumptions!$C$234:$E$234,G$9)*INDEX(Assumptions!$C$235:$E$235,$B$3)*MIN(1,(5-2)/6),0)*$F$3*G22*$W$3</f>
        <v>9</v>
      </c>
      <c r="H46" s="6" t="n">
        <f aca="false">IF(6&gt;=3,INDEX(Assumptions!$C$234:$E$234,H$9)*INDEX(Assumptions!$C$235:$E$235,$B$3)*MIN(1,(6-2)/6),0)*$F$3*H22*$W$3</f>
        <v>12</v>
      </c>
      <c r="I46" s="6" t="n">
        <f aca="false">IF(7&gt;=3,INDEX(Assumptions!$C$234:$E$234,I$9)*INDEX(Assumptions!$C$235:$E$235,$B$3)*MIN(1,(7-2)/6),0)*$F$3*I22*$W$3</f>
        <v>15</v>
      </c>
      <c r="J46" s="6" t="n">
        <f aca="false">IF(8&gt;=3,INDEX(Assumptions!$C$234:$E$234,J$9)*INDEX(Assumptions!$C$235:$E$235,$B$3)*MIN(1,(8-2)/6),0)*$F$3*J22*$W$3</f>
        <v>18</v>
      </c>
      <c r="K46" s="6" t="n">
        <f aca="false">IF(9&gt;=3,INDEX(Assumptions!$C$234:$E$234,K$9)*INDEX(Assumptions!$C$235:$E$235,$B$3)*MIN(1,(9-2)/6),0)*$F$3*K22*$W$3</f>
        <v>18</v>
      </c>
      <c r="L46" s="6" t="n">
        <f aca="false">IF(10&gt;=3,INDEX(Assumptions!$C$234:$E$234,L$9)*INDEX(Assumptions!$C$235:$E$235,$B$3)*MIN(1,(10-2)/6),0)*$F$3*L22*$W$3</f>
        <v>9</v>
      </c>
      <c r="M46" s="6" t="n">
        <f aca="false">IF(11&gt;=3,INDEX(Assumptions!$C$234:$E$234,M$9)*INDEX(Assumptions!$C$235:$E$235,$B$3)*MIN(1,(11-2)/6),0)*$F$3*M22*$W$3</f>
        <v>9</v>
      </c>
      <c r="N46" s="6" t="n">
        <f aca="false">IF(12&gt;=3,INDEX(Assumptions!$C$234:$E$234,N$9)*INDEX(Assumptions!$C$235:$E$235,$B$3)*MIN(1,(12-2)/6),0)*$F$3*N22*$W$3</f>
        <v>9</v>
      </c>
      <c r="O46" s="41" t="n">
        <f aca="false">SUM(C46:N46)</f>
        <v>108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143.5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2.29816396882494</v>
      </c>
      <c r="E48" s="6" t="n">
        <f aca="false">E24*INDEX(Assumptions!$C$31:$E$31,$B$3)/(INDEX(Assumptions!$C$56:$E$56,$B$3)*INDEX(Assumptions!$C$57:$E$57,$B$3)*INDEX(Assumptions!$C$58:$E$58,$B$3))</f>
        <v>3.53234212629896</v>
      </c>
      <c r="F48" s="6" t="n">
        <f aca="false">F24*INDEX(Assumptions!$C$31:$E$31,$B$3)/(INDEX(Assumptions!$C$56:$E$56,$B$3)*INDEX(Assumptions!$C$57:$E$57,$B$3)*INDEX(Assumptions!$C$58:$E$58,$B$3))</f>
        <v>4.82398081534772</v>
      </c>
      <c r="G48" s="6" t="n">
        <f aca="false">G24*INDEX(Assumptions!$C$31:$E$31,$B$3)/(INDEX(Assumptions!$C$56:$E$56,$B$3)*INDEX(Assumptions!$C$57:$E$57,$B$3)*INDEX(Assumptions!$C$58:$E$58,$B$3))</f>
        <v>6.31237410071943</v>
      </c>
      <c r="H48" s="6" t="n">
        <f aca="false">H24*INDEX(Assumptions!$C$31:$E$31,$B$3)/(INDEX(Assumptions!$C$56:$E$56,$B$3)*INDEX(Assumptions!$C$57:$E$57,$B$3)*INDEX(Assumptions!$C$58:$E$58,$B$3))</f>
        <v>7.70819344524381</v>
      </c>
      <c r="I48" s="6" t="n">
        <f aca="false">I24*INDEX(Assumptions!$C$31:$E$31,$B$3)/(INDEX(Assumptions!$C$56:$E$56,$B$3)*INDEX(Assumptions!$C$57:$E$57,$B$3)*INDEX(Assumptions!$C$58:$E$58,$B$3))</f>
        <v>10.9234292565947</v>
      </c>
      <c r="J48" s="6" t="n">
        <f aca="false">J24*INDEX(Assumptions!$C$31:$E$31,$B$3)/(INDEX(Assumptions!$C$56:$E$56,$B$3)*INDEX(Assumptions!$C$57:$E$57,$B$3)*INDEX(Assumptions!$C$58:$E$58,$B$3))</f>
        <v>11.3435611510791</v>
      </c>
      <c r="K48" s="6" t="n">
        <f aca="false">K24*INDEX(Assumptions!$C$31:$E$31,$B$3)/(INDEX(Assumptions!$C$56:$E$56,$B$3)*INDEX(Assumptions!$C$57:$E$57,$B$3)*INDEX(Assumptions!$C$58:$E$58,$B$3))</f>
        <v>10.5032973621103</v>
      </c>
      <c r="L48" s="6" t="n">
        <f aca="false">L24*INDEX(Assumptions!$C$31:$E$31,$B$3)/(INDEX(Assumptions!$C$56:$E$56,$B$3)*INDEX(Assumptions!$C$57:$E$57,$B$3)*INDEX(Assumptions!$C$58:$E$58,$B$3))</f>
        <v>5.67304556354916</v>
      </c>
      <c r="M48" s="6" t="n">
        <f aca="false">M24*INDEX(Assumptions!$C$31:$E$31,$B$3)/(INDEX(Assumptions!$C$56:$E$56,$B$3)*INDEX(Assumptions!$C$57:$E$57,$B$3)*INDEX(Assumptions!$C$58:$E$58,$B$3))</f>
        <v>5.41517985611511</v>
      </c>
      <c r="N48" s="6" t="n">
        <f aca="false">N24*INDEX(Assumptions!$C$31:$E$31,$B$3)/(INDEX(Assumptions!$C$56:$E$56,$B$3)*INDEX(Assumptions!$C$57:$E$57,$B$3)*INDEX(Assumptions!$C$58:$E$58,$B$3))</f>
        <v>5.15731414868106</v>
      </c>
      <c r="O48" s="41" t="n">
        <f aca="false">SUM(C48:N48)</f>
        <v>75.6908817945644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0.105</v>
      </c>
      <c r="F51" s="16" t="n">
        <f aca="false">F46*0.7*INDEX(Assumptions!$C$73:$E$73,$B$3)</f>
        <v>0.21</v>
      </c>
      <c r="G51" s="16" t="n">
        <f aca="false">G46*0.7*INDEX(Assumptions!$C$73:$E$73,$B$3)</f>
        <v>0.315</v>
      </c>
      <c r="H51" s="16" t="n">
        <f aca="false">H46*0.7*INDEX(Assumptions!$C$73:$E$73,$B$3)</f>
        <v>0.42</v>
      </c>
      <c r="I51" s="16" t="n">
        <f aca="false">I46*0.7*INDEX(Assumptions!$C$73:$E$73,$B$3)</f>
        <v>0.525</v>
      </c>
      <c r="J51" s="16" t="n">
        <f aca="false">J46*0.7*INDEX(Assumptions!$C$73:$E$73,$B$3)</f>
        <v>0.63</v>
      </c>
      <c r="K51" s="16" t="n">
        <f aca="false">K46*0.7*INDEX(Assumptions!$C$73:$E$73,$B$3)</f>
        <v>0.63</v>
      </c>
      <c r="L51" s="16" t="n">
        <f aca="false">L46*0.7*INDEX(Assumptions!$C$73:$E$73,$B$3)</f>
        <v>0.315</v>
      </c>
      <c r="M51" s="16" t="n">
        <f aca="false">M46*0.7*INDEX(Assumptions!$C$73:$E$73,$B$3)</f>
        <v>0.315</v>
      </c>
      <c r="N51" s="16" t="n">
        <f aca="false">N46*0.7*INDEX(Assumptions!$C$73:$E$73,$B$3)</f>
        <v>0.315</v>
      </c>
      <c r="O51" s="38" t="n">
        <f aca="false">SUM(C51:N51)</f>
        <v>3.78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O53" s="40" t="n">
        <f aca="false">AVERAGE(C53:N53)</f>
        <v>40000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1</v>
      </c>
      <c r="M54" s="10" t="n">
        <f aca="false">IF(AND(11&gt;=IF($Q$3=1,$Q$4+1,INDEX(Assumptions!$C$105:$E$105,$B$3)),NOT(AND($U$3=1,11=$Q$4+2))),0,1)</f>
        <v>1</v>
      </c>
      <c r="N54" s="10" t="n">
        <f aca="false">IF(AND(12&gt;=IF($Q$3=1,$Q$4+1,INDEX(Assumptions!$C$105:$E$105,$B$3)),NOT(AND($U$3=1,12=$Q$4+2))),0,1)</f>
        <v>1</v>
      </c>
      <c r="O54" s="40" t="n">
        <f aca="false">N54</f>
        <v>1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23371.1590049994</v>
      </c>
      <c r="E56" s="10" t="n">
        <f aca="false">E34*E53/(1+INDEX(Assumptions!$C$15:$E$15,$B$3)*$H$4)</f>
        <v>35922.1233182945</v>
      </c>
      <c r="F56" s="10" t="n">
        <f aca="false">F34*F53/(1+INDEX(Assumptions!$C$15:$E$15,$B$3)*$H$4)</f>
        <v>49057.4320204853</v>
      </c>
      <c r="G56" s="10" t="n">
        <f aca="false">G34*G53/(1+INDEX(Assumptions!$C$15:$E$15,$B$3)*$H$4)</f>
        <v>64193.6349225704</v>
      </c>
      <c r="H56" s="10" t="n">
        <f aca="false">H34*H53/(1+INDEX(Assumptions!$C$15:$E$15,$B$3)*$H$4)</f>
        <v>78388.4079177336</v>
      </c>
      <c r="I56" s="10" t="n">
        <f aca="false">I34*I53/(1+INDEX(Assumptions!$C$15:$E$15,$B$3)*$H$4)</f>
        <v>111085.721253506</v>
      </c>
      <c r="J56" s="10" t="n">
        <f aca="false">J34*J53/(1+INDEX(Assumptions!$C$15:$E$15,$B$3)*$H$4)</f>
        <v>115358.248994025</v>
      </c>
      <c r="K56" s="10" t="n">
        <f aca="false">K34*K53/(1+INDEX(Assumptions!$C$15:$E$15,$B$3)*$H$4)</f>
        <v>106813.193512986</v>
      </c>
      <c r="L56" s="10" t="n">
        <f aca="false">L34*L53/(1+INDEX(Assumptions!$C$15:$E$15,$B$3)*$H$4)</f>
        <v>57691.9887818559</v>
      </c>
      <c r="M56" s="10" t="n">
        <f aca="false">M34*M53/(1+INDEX(Assumptions!$C$15:$E$15,$B$3)*$H$4)</f>
        <v>55069.6256554079</v>
      </c>
      <c r="N56" s="10" t="n">
        <f aca="false">N34*N53/(1+INDEX(Assumptions!$C$15:$E$15,$B$3)*$H$4)</f>
        <v>52447.2625289599</v>
      </c>
      <c r="O56" s="40" t="n">
        <f aca="false">SUM(C56:N56)</f>
        <v>769737.780961672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1460.69743781246</v>
      </c>
      <c r="F58" s="10" t="n">
        <f aca="false">F37*MAX(0,F53-INDEX(Assumptions!$C$18:$E$18,$B$3)*$H$3)/(1+INDEX(Assumptions!$C$15:$E$15,$B$3)*$H$4)</f>
        <v>2245.13270739341</v>
      </c>
      <c r="G58" s="10" t="n">
        <f aca="false">G37*MAX(0,G53-INDEX(Assumptions!$C$18:$E$18,$B$3)*$H$3)/(1+INDEX(Assumptions!$C$15:$E$15,$B$3)*$H$4)</f>
        <v>3066.08950128033</v>
      </c>
      <c r="H58" s="10" t="n">
        <f aca="false">H37*MAX(0,H53-INDEX(Assumptions!$C$18:$E$18,$B$3)*$H$3)/(1+INDEX(Assumptions!$C$15:$E$15,$B$3)*$H$4)</f>
        <v>4012.10218266065</v>
      </c>
      <c r="I58" s="10" t="n">
        <f aca="false">I37*MAX(0,I53-INDEX(Assumptions!$C$18:$E$18,$B$3)*$H$3)/(1+INDEX(Assumptions!$C$15:$E$15,$B$3)*$H$4)</f>
        <v>4899.27549485835</v>
      </c>
      <c r="J58" s="10" t="n">
        <f aca="false">J37*MAX(0,J53-INDEX(Assumptions!$C$18:$E$18,$B$3)*$H$3)/(1+INDEX(Assumptions!$C$15:$E$15,$B$3)*$H$4)</f>
        <v>6942.85757834411</v>
      </c>
      <c r="K58" s="10" t="n">
        <f aca="false">K37*MAX(0,K53-INDEX(Assumptions!$C$18:$E$18,$B$3)*$H$3)/(1+INDEX(Assumptions!$C$15:$E$15,$B$3)*$H$4)</f>
        <v>7209.89056212657</v>
      </c>
      <c r="L58" s="10" t="n">
        <f aca="false">L37*MAX(0,L53-INDEX(Assumptions!$C$18:$E$18,$B$3)*$H$3)/(1+INDEX(Assumptions!$C$15:$E$15,$B$3)*$H$4)</f>
        <v>6675.82459456164</v>
      </c>
      <c r="M58" s="10" t="n">
        <f aca="false">M37*MAX(0,M53-INDEX(Assumptions!$C$18:$E$18,$B$3)*$H$3)/(1+INDEX(Assumptions!$C$15:$E$15,$B$3)*$H$4)</f>
        <v>3605.74929886599</v>
      </c>
      <c r="N58" s="10" t="n">
        <f aca="false">N37*MAX(0,N53-INDEX(Assumptions!$C$18:$E$18,$B$3)*$H$3)/(1+INDEX(Assumptions!$C$15:$E$15,$B$3)*$H$4)</f>
        <v>3441.85160346299</v>
      </c>
      <c r="O58" s="40" t="n">
        <f aca="false">SUM(C58:N58)</f>
        <v>44830.6574020445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17528.3692537495</v>
      </c>
      <c r="E59" s="10" t="n">
        <f aca="false">E36*INDEX(Assumptions!$C$18:$E$18,$B$3)*$H$3/(1+INDEX(Assumptions!$C$15:$E$15,$B$3)*$H$4)</f>
        <v>26941.5924887209</v>
      </c>
      <c r="F59" s="10" t="n">
        <f aca="false">F36*INDEX(Assumptions!$C$18:$E$18,$B$3)*$H$3/(1+INDEX(Assumptions!$C$15:$E$15,$B$3)*$H$4)</f>
        <v>36793.074015364</v>
      </c>
      <c r="G59" s="10" t="n">
        <f aca="false">G36*INDEX(Assumptions!$C$18:$E$18,$B$3)*$H$3/(1+INDEX(Assumptions!$C$15:$E$15,$B$3)*$H$4)</f>
        <v>48145.2261919278</v>
      </c>
      <c r="H59" s="10" t="n">
        <f aca="false">H36*INDEX(Assumptions!$C$18:$E$18,$B$3)*$H$3/(1+INDEX(Assumptions!$C$15:$E$15,$B$3)*$H$4)</f>
        <v>58791.3059383002</v>
      </c>
      <c r="I59" s="10" t="n">
        <f aca="false">I36*INDEX(Assumptions!$C$18:$E$18,$B$3)*$H$3/(1+INDEX(Assumptions!$C$15:$E$15,$B$3)*$H$4)</f>
        <v>83314.2909401293</v>
      </c>
      <c r="J59" s="10" t="n">
        <f aca="false">J36*INDEX(Assumptions!$C$18:$E$18,$B$3)*$H$3/(1+INDEX(Assumptions!$C$15:$E$15,$B$3)*$H$4)</f>
        <v>86518.6867455189</v>
      </c>
      <c r="K59" s="10" t="n">
        <f aca="false">K36*INDEX(Assumptions!$C$18:$E$18,$B$3)*$H$3/(1+INDEX(Assumptions!$C$15:$E$15,$B$3)*$H$4)</f>
        <v>80109.8951347397</v>
      </c>
      <c r="L59" s="10" t="n">
        <f aca="false">L36*INDEX(Assumptions!$C$18:$E$18,$B$3)*$H$3/(1+INDEX(Assumptions!$C$15:$E$15,$B$3)*$H$4)</f>
        <v>43268.9915863919</v>
      </c>
      <c r="M59" s="10" t="n">
        <f aca="false">M36*INDEX(Assumptions!$C$18:$E$18,$B$3)*$H$3/(1+INDEX(Assumptions!$C$15:$E$15,$B$3)*$H$4)</f>
        <v>41302.2192415559</v>
      </c>
      <c r="N59" s="10" t="n">
        <f aca="false">N36*INDEX(Assumptions!$C$18:$E$18,$B$3)*$H$3/(1+INDEX(Assumptions!$C$15:$E$15,$B$3)*$H$4)</f>
        <v>39335.4468967199</v>
      </c>
      <c r="O59" s="40" t="n">
        <f aca="false">SUM(C59:N59)</f>
        <v>577303.335721254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1828.91004793623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2811.08576027314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3838.98934276308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5023.47290086575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6134.28486160224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8693.01311669309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9027.35977502744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8358.66645835874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4514.68658212413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4309.47355566394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4104.26052920376</v>
      </c>
      <c r="O60" s="40" t="n">
        <f aca="false">SUM(C60:N60)</f>
        <v>60235.8300491556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12711.8644067797</v>
      </c>
      <c r="F61" s="10" t="n">
        <f aca="false">F46*INDEX(Assumptions!$C$21:$E$21,$B$3)*$H$3/(1+INDEX(Assumptions!$C$15:$E$15,$B$3)*$H$4)</f>
        <v>25423.7288135593</v>
      </c>
      <c r="G61" s="10" t="n">
        <f aca="false">G46*INDEX(Assumptions!$C$21:$E$21,$B$3)*$H$3/(1+INDEX(Assumptions!$C$15:$E$15,$B$3)*$H$4)</f>
        <v>38135.593220339</v>
      </c>
      <c r="H61" s="10" t="n">
        <f aca="false">H46*INDEX(Assumptions!$C$21:$E$21,$B$3)*$H$3/(1+INDEX(Assumptions!$C$15:$E$15,$B$3)*$H$4)</f>
        <v>50847.4576271186</v>
      </c>
      <c r="I61" s="10" t="n">
        <f aca="false">I46*INDEX(Assumptions!$C$21:$E$21,$B$3)*$H$3/(1+INDEX(Assumptions!$C$15:$E$15,$B$3)*$H$4)</f>
        <v>63559.3220338983</v>
      </c>
      <c r="J61" s="10" t="n">
        <f aca="false">J46*INDEX(Assumptions!$C$21:$E$21,$B$3)*$H$3/(1+INDEX(Assumptions!$C$15:$E$15,$B$3)*$H$4)</f>
        <v>76271.186440678</v>
      </c>
      <c r="K61" s="10" t="n">
        <f aca="false">K46*INDEX(Assumptions!$C$21:$E$21,$B$3)*$H$3/(1+INDEX(Assumptions!$C$15:$E$15,$B$3)*$H$4)</f>
        <v>76271.186440678</v>
      </c>
      <c r="L61" s="10" t="n">
        <f aca="false">L46*INDEX(Assumptions!$C$21:$E$21,$B$3)*$H$3/(1+INDEX(Assumptions!$C$15:$E$15,$B$3)*$H$4)</f>
        <v>38135.593220339</v>
      </c>
      <c r="M61" s="10" t="n">
        <f aca="false">M46*INDEX(Assumptions!$C$21:$E$21,$B$3)*$H$3/(1+INDEX(Assumptions!$C$15:$E$15,$B$3)*$H$4)</f>
        <v>38135.593220339</v>
      </c>
      <c r="N61" s="10" t="n">
        <f aca="false">N46*INDEX(Assumptions!$C$21:$E$21,$B$3)*$H$3/(1+INDEX(Assumptions!$C$15:$E$15,$B$3)*$H$4)</f>
        <v>38135.593220339</v>
      </c>
      <c r="O61" s="40" t="n">
        <f aca="false">SUM(C61:N61)</f>
        <v>457627.118644068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17796.6101694915</v>
      </c>
      <c r="D62" s="10" t="n">
        <f aca="false">D47*INDEX(Assumptions!$C$22:$E$22,$B$3)*$H$3/(1+INDEX(Assumptions!$C$15:$E$15,$B$3)*$H$4)</f>
        <v>30508.4745762712</v>
      </c>
      <c r="E62" s="10" t="n">
        <f aca="false">E47*INDEX(Assumptions!$C$22:$E$22,$B$3)*$H$3/(1+INDEX(Assumptions!$C$15:$E$15,$B$3)*$H$4)</f>
        <v>45762.7118644068</v>
      </c>
      <c r="F62" s="10" t="n">
        <f aca="false">F47*INDEX(Assumptions!$C$22:$E$22,$B$3)*$H$3/(1+INDEX(Assumptions!$C$15:$E$15,$B$3)*$H$4)</f>
        <v>49576.2711864407</v>
      </c>
      <c r="G62" s="10" t="n">
        <f aca="false">G47*INDEX(Assumptions!$C$22:$E$22,$B$3)*$H$3/(1+INDEX(Assumptions!$C$15:$E$15,$B$3)*$H$4)</f>
        <v>34322.0338983051</v>
      </c>
      <c r="H62" s="10" t="n">
        <f aca="false">H47*INDEX(Assumptions!$C$22:$E$22,$B$3)*$H$3/(1+INDEX(Assumptions!$C$15:$E$15,$B$3)*$H$4)</f>
        <v>30508.4745762712</v>
      </c>
      <c r="I62" s="10" t="n">
        <f aca="false">I47*INDEX(Assumptions!$C$22:$E$22,$B$3)*$H$3/(1+INDEX(Assumptions!$C$15:$E$15,$B$3)*$H$4)</f>
        <v>26694.9152542373</v>
      </c>
      <c r="J62" s="10" t="n">
        <f aca="false">J47*INDEX(Assumptions!$C$22:$E$22,$B$3)*$H$3/(1+INDEX(Assumptions!$C$15:$E$15,$B$3)*$H$4)</f>
        <v>22881.3559322034</v>
      </c>
      <c r="K62" s="10" t="n">
        <f aca="false">K47*INDEX(Assumptions!$C$22:$E$22,$B$3)*$H$3/(1+INDEX(Assumptions!$C$15:$E$15,$B$3)*$H$4)</f>
        <v>22881.3559322034</v>
      </c>
      <c r="L62" s="10" t="n">
        <f aca="false">L47*INDEX(Assumptions!$C$22:$E$22,$B$3)*$H$3/(1+INDEX(Assumptions!$C$15:$E$15,$B$3)*$H$4)</f>
        <v>20338.9830508475</v>
      </c>
      <c r="M62" s="10" t="n">
        <f aca="false">M47*INDEX(Assumptions!$C$22:$E$22,$B$3)*$H$3/(1+INDEX(Assumptions!$C$15:$E$15,$B$3)*$H$4)</f>
        <v>27966.1016949153</v>
      </c>
      <c r="N62" s="10" t="n">
        <f aca="false">N47*INDEX(Assumptions!$C$22:$E$22,$B$3)*$H$3/(1+INDEX(Assumptions!$C$15:$E$15,$B$3)*$H$4)</f>
        <v>35593.2203389831</v>
      </c>
      <c r="O62" s="40" t="n">
        <f aca="false">SUM(C62:N62)</f>
        <v>364830.508474576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444.826271186441</v>
      </c>
      <c r="F64" s="10" t="n">
        <f aca="false">F51*INDEX(Assumptions!$C$23:$E$23,$B$3)/(1+INDEX(Assumptions!$C$15:$E$15,$B$3)*$H$4)</f>
        <v>889.652542372881</v>
      </c>
      <c r="G64" s="10" t="n">
        <f aca="false">G51*INDEX(Assumptions!$C$23:$E$23,$B$3)/(1+INDEX(Assumptions!$C$15:$E$15,$B$3)*$H$4)</f>
        <v>1334.47881355932</v>
      </c>
      <c r="H64" s="10" t="n">
        <f aca="false">H51*INDEX(Assumptions!$C$23:$E$23,$B$3)/(1+INDEX(Assumptions!$C$15:$E$15,$B$3)*$H$4)</f>
        <v>1779.30508474576</v>
      </c>
      <c r="I64" s="10" t="n">
        <f aca="false">I51*INDEX(Assumptions!$C$23:$E$23,$B$3)/(1+INDEX(Assumptions!$C$15:$E$15,$B$3)*$H$4)</f>
        <v>2224.1313559322</v>
      </c>
      <c r="J64" s="10" t="n">
        <f aca="false">J51*INDEX(Assumptions!$C$23:$E$23,$B$3)/(1+INDEX(Assumptions!$C$15:$E$15,$B$3)*$H$4)</f>
        <v>2668.95762711864</v>
      </c>
      <c r="K64" s="10" t="n">
        <f aca="false">K51*INDEX(Assumptions!$C$23:$E$23,$B$3)/(1+INDEX(Assumptions!$C$15:$E$15,$B$3)*$H$4)</f>
        <v>2668.95762711864</v>
      </c>
      <c r="L64" s="10" t="n">
        <f aca="false">L51*INDEX(Assumptions!$C$23:$E$23,$B$3)/(1+INDEX(Assumptions!$C$15:$E$15,$B$3)*$H$4)</f>
        <v>1334.47881355932</v>
      </c>
      <c r="M64" s="10" t="n">
        <f aca="false">M51*INDEX(Assumptions!$C$23:$E$23,$B$3)/(1+INDEX(Assumptions!$C$15:$E$15,$B$3)*$H$4)</f>
        <v>1334.47881355932</v>
      </c>
      <c r="N64" s="10" t="n">
        <f aca="false">N51*INDEX(Assumptions!$C$23:$E$23,$B$3)/(1+INDEX(Assumptions!$C$15:$E$15,$B$3)*$H$4)</f>
        <v>1334.47881355932</v>
      </c>
      <c r="O64" s="40" t="n">
        <f aca="false">SUM(C64:N64)</f>
        <v>16013.7457627119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0</v>
      </c>
      <c r="M65" s="10" t="n">
        <f aca="false">(M34+M35)*(1-M54)*INDEX(Assumptions!$C$90:$E$90,$B$3)</f>
        <v>0</v>
      </c>
      <c r="N65" s="10" t="n">
        <f aca="false">(N34+N35)*(1-N54)*INDEX(Assumptions!$C$90:$E$90,$B$3)</f>
        <v>0</v>
      </c>
      <c r="O65" s="40" t="n">
        <f aca="false">SUM(C65:N65)</f>
        <v>0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54981.4576271187</v>
      </c>
      <c r="D66" s="40" t="n">
        <f aca="false">SUM(D56:D65)</f>
        <v>74508.0993236343</v>
      </c>
      <c r="E66" s="40" t="n">
        <f aca="false">SUM(E56:E65)</f>
        <v>126054.901547474</v>
      </c>
      <c r="F66" s="40" t="n">
        <f aca="false">SUM(F56:F65)</f>
        <v>167824.280628379</v>
      </c>
      <c r="G66" s="40" t="n">
        <f aca="false">SUM(G56:G65)</f>
        <v>194220.529448848</v>
      </c>
      <c r="H66" s="40" t="n">
        <f aca="false">SUM(H56:H65)</f>
        <v>230461.338188432</v>
      </c>
      <c r="I66" s="40" t="n">
        <f aca="false">SUM(I56:I65)</f>
        <v>300470.669449254</v>
      </c>
      <c r="J66" s="40" t="n">
        <f aca="false">SUM(J56:J65)</f>
        <v>319668.653092916</v>
      </c>
      <c r="K66" s="40" t="n">
        <f aca="false">SUM(K56:K65)</f>
        <v>304313.145668211</v>
      </c>
      <c r="L66" s="40" t="n">
        <f aca="false">SUM(L56:L65)</f>
        <v>171960.546629679</v>
      </c>
      <c r="M66" s="40" t="n">
        <f aca="false">SUM(M56:M65)</f>
        <v>171723.241480307</v>
      </c>
      <c r="N66" s="40" t="n">
        <f aca="false">SUM(N56:N65)</f>
        <v>174392.113931228</v>
      </c>
      <c r="O66" s="11" t="n">
        <f aca="false">SUM(C66:N66)</f>
        <v>2290578.97701548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35593.2203389831</v>
      </c>
      <c r="D67" s="10" t="n">
        <f aca="false">D56+D57+D58+D59</f>
        <v>42170.7146994269</v>
      </c>
      <c r="E67" s="10" t="n">
        <f aca="false">E56+E57+E58+E59</f>
        <v>64324.4132448279</v>
      </c>
      <c r="F67" s="10" t="n">
        <f aca="false">F56+F57+F58+F59</f>
        <v>88095.6387432427</v>
      </c>
      <c r="G67" s="10" t="n">
        <f aca="false">G56+G57+G58+G59</f>
        <v>115404.950615779</v>
      </c>
      <c r="H67" s="10" t="n">
        <f aca="false">H56+H57+H58+H59</f>
        <v>141191.816038694</v>
      </c>
      <c r="I67" s="10" t="n">
        <f aca="false">I56+I57+I58+I59</f>
        <v>199299.287688493</v>
      </c>
      <c r="J67" s="10" t="n">
        <f aca="false">J56+J57+J58+J59</f>
        <v>208819.793317888</v>
      </c>
      <c r="K67" s="10" t="n">
        <f aca="false">K56+K57+K58+K59</f>
        <v>194132.979209853</v>
      </c>
      <c r="L67" s="10" t="n">
        <f aca="false">L56+L57+L58+L59</f>
        <v>107636.804962809</v>
      </c>
      <c r="M67" s="10" t="n">
        <f aca="false">M56+M57+M58+M59</f>
        <v>99977.5941958298</v>
      </c>
      <c r="N67" s="10" t="n">
        <f aca="false">N56+N57+N58+N59</f>
        <v>95224.5610291428</v>
      </c>
      <c r="O67" s="40" t="n">
        <f aca="false">SUM(C67:N67)</f>
        <v>1391871.77408497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5876.14433453237</v>
      </c>
      <c r="E69" s="10" t="n">
        <f aca="false">((E34+E37)*INDEX(Assumptions!$C$91:$E$91,$B$3)+E35*(INDEX(Assumptions!$C$93:$E$93,$B$3)+IF($Q$3=1,INDEX(Assumptions!$C$282:$E$282,$B$3),0)))*$N$3</f>
        <v>8624.45454886091</v>
      </c>
      <c r="F69" s="10" t="n">
        <f aca="false">((F34+F37)*INDEX(Assumptions!$C$91:$E$91,$B$3)+F35*(INDEX(Assumptions!$C$93:$E$93,$B$3)+IF($Q$3=1,INDEX(Assumptions!$C$282:$E$282,$B$3),0)))*$N$3</f>
        <v>11984.8393285372</v>
      </c>
      <c r="G69" s="10" t="n">
        <f aca="false">((G34+G37)*INDEX(Assumptions!$C$91:$E$91,$B$3)+G35*(INDEX(Assumptions!$C$93:$E$93,$B$3)+IF($Q$3=1,INDEX(Assumptions!$C$282:$E$282,$B$3),0)))*$N$3</f>
        <v>15788.5755395683</v>
      </c>
      <c r="H69" s="10" t="n">
        <f aca="false">((H34+H37)*INDEX(Assumptions!$C$91:$E$91,$B$3)+H35*(INDEX(Assumptions!$C$93:$E$93,$B$3)+IF($Q$3=1,INDEX(Assumptions!$C$282:$E$282,$B$3),0)))*$N$3</f>
        <v>19501.2026378897</v>
      </c>
      <c r="I69" s="10" t="n">
        <f aca="false">((I34+I37)*INDEX(Assumptions!$C$91:$E$91,$B$3)+I35*(INDEX(Assumptions!$C$93:$E$93,$B$3)+IF($Q$3=1,INDEX(Assumptions!$C$282:$E$282,$B$3),0)))*$N$3</f>
        <v>26986.0029976019</v>
      </c>
      <c r="J69" s="10" t="n">
        <f aca="false">((J34+J37)*INDEX(Assumptions!$C$91:$E$91,$B$3)+J35*(INDEX(Assumptions!$C$93:$E$93,$B$3)+IF($Q$3=1,INDEX(Assumptions!$C$282:$E$282,$B$3),0)))*$N$3</f>
        <v>29556.2787769784</v>
      </c>
      <c r="K69" s="10" t="n">
        <f aca="false">((K34+K37)*INDEX(Assumptions!$C$91:$E$91,$B$3)+K35*(INDEX(Assumptions!$C$93:$E$93,$B$3)+IF($Q$3=1,INDEX(Assumptions!$C$282:$E$282,$B$3),0)))*$N$3</f>
        <v>28012.2940647482</v>
      </c>
      <c r="L69" s="10" t="n">
        <f aca="false">((L34+L37)*INDEX(Assumptions!$C$91:$E$91,$B$3)+L35*(INDEX(Assumptions!$C$93:$E$93,$B$3)+IF($Q$3=1,INDEX(Assumptions!$C$282:$E$282,$B$3),0)))*$N$3</f>
        <v>17427.6267985612</v>
      </c>
      <c r="M69" s="10" t="n">
        <f aca="false">((M34+M37)*INDEX(Assumptions!$C$91:$E$91,$B$3)+M35*(INDEX(Assumptions!$C$93:$E$93,$B$3)+IF($Q$3=1,INDEX(Assumptions!$C$282:$E$282,$B$3),0)))*$N$3</f>
        <v>14350.226618705</v>
      </c>
      <c r="N69" s="10" t="n">
        <f aca="false">((N34+N37)*INDEX(Assumptions!$C$91:$E$91,$B$3)+N35*(INDEX(Assumptions!$C$93:$E$93,$B$3)+IF($Q$3=1,INDEX(Assumptions!$C$282:$E$282,$B$3),0)))*$N$3</f>
        <v>13673.3291366907</v>
      </c>
      <c r="O69" s="40" t="n">
        <f aca="false">SUM(C69:N69)</f>
        <v>195980.974782674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10341.7378597122</v>
      </c>
      <c r="E70" s="10" t="n">
        <f aca="false">(E34+E35)*E54*INDEX(Assumptions!$C$14:$E$14,$B$3)*$N$3</f>
        <v>15895.5395683453</v>
      </c>
      <c r="F70" s="10" t="n">
        <f aca="false">(F34+F35)*F54*INDEX(Assumptions!$C$14:$E$14,$B$3)*$N$3</f>
        <v>21707.9136690648</v>
      </c>
      <c r="G70" s="10" t="n">
        <f aca="false">(G34+G35)*G54*INDEX(Assumptions!$C$14:$E$14,$B$3)*$N$3</f>
        <v>28405.6834532374</v>
      </c>
      <c r="H70" s="10" t="n">
        <f aca="false">(H34+H35)*H54*INDEX(Assumptions!$C$14:$E$14,$B$3)*$N$3</f>
        <v>34686.8705035971</v>
      </c>
      <c r="I70" s="10" t="n">
        <f aca="false">(I34+I35)*I54*INDEX(Assumptions!$C$14:$E$14,$B$3)*$N$3</f>
        <v>49155.4316546763</v>
      </c>
      <c r="J70" s="10" t="n">
        <f aca="false">(J34+J35)*J54*INDEX(Assumptions!$C$14:$E$14,$B$3)*$N$3</f>
        <v>51046.0251798561</v>
      </c>
      <c r="K70" s="10" t="n">
        <f aca="false">(K34+K35)*K54*INDEX(Assumptions!$C$14:$E$14,$B$3)*$N$3</f>
        <v>47264.8381294964</v>
      </c>
      <c r="L70" s="10" t="n">
        <f aca="false">(L34+L35)*L54*INDEX(Assumptions!$C$14:$E$14,$B$3)*$N$3</f>
        <v>25528.7050359712</v>
      </c>
      <c r="M70" s="10" t="n">
        <f aca="false">(M34+M35)*M54*INDEX(Assumptions!$C$14:$E$14,$B$3)*$N$3</f>
        <v>24368.309352518</v>
      </c>
      <c r="N70" s="10" t="n">
        <f aca="false">(N34+N35)*N54*INDEX(Assumptions!$C$14:$E$14,$B$3)*$N$3</f>
        <v>23207.9136690648</v>
      </c>
      <c r="O70" s="40" t="n">
        <f aca="false">SUM(C70:N70)</f>
        <v>340608.96807554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1500</v>
      </c>
      <c r="D71" s="10" t="n">
        <f aca="false">D36*INDEX(Assumptions!$C$92:$E$92,$B$3)*$N$3</f>
        <v>1723.62297661871</v>
      </c>
      <c r="E71" s="10" t="n">
        <f aca="false">E36*INDEX(Assumptions!$C$92:$E$92,$B$3)*$N$3</f>
        <v>2649.25659472422</v>
      </c>
      <c r="F71" s="10" t="n">
        <f aca="false">F36*INDEX(Assumptions!$C$92:$E$92,$B$3)*$N$3</f>
        <v>3617.98561151079</v>
      </c>
      <c r="G71" s="10" t="n">
        <f aca="false">G36*INDEX(Assumptions!$C$92:$E$92,$B$3)*$N$3</f>
        <v>4734.28057553957</v>
      </c>
      <c r="H71" s="10" t="n">
        <f aca="false">H36*INDEX(Assumptions!$C$92:$E$92,$B$3)*$N$3</f>
        <v>5781.14508393285</v>
      </c>
      <c r="I71" s="10" t="n">
        <f aca="false">I36*INDEX(Assumptions!$C$92:$E$92,$B$3)*$N$3</f>
        <v>8192.57194244604</v>
      </c>
      <c r="J71" s="10" t="n">
        <f aca="false">J36*INDEX(Assumptions!$C$92:$E$92,$B$3)*$N$3</f>
        <v>8507.67086330935</v>
      </c>
      <c r="K71" s="10" t="n">
        <f aca="false">K36*INDEX(Assumptions!$C$92:$E$92,$B$3)*$N$3</f>
        <v>7877.47302158274</v>
      </c>
      <c r="L71" s="10" t="n">
        <f aca="false">L36*INDEX(Assumptions!$C$92:$E$92,$B$3)*$N$3</f>
        <v>4254.78417266187</v>
      </c>
      <c r="M71" s="10" t="n">
        <f aca="false">M36*INDEX(Assumptions!$C$92:$E$92,$B$3)*$N$3</f>
        <v>4061.38489208633</v>
      </c>
      <c r="N71" s="10" t="n">
        <f aca="false">N36*INDEX(Assumptions!$C$92:$E$92,$B$3)*$N$3</f>
        <v>3867.98561151079</v>
      </c>
      <c r="O71" s="40" t="n">
        <f aca="false">SUM(C71:N71)</f>
        <v>56768.1613459233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4100</v>
      </c>
      <c r="D72" s="10" t="n">
        <f aca="false">(D46*INDEX(Assumptions!$C$94:$E$94,$B$3)+D47*INDEX(Assumptions!$C$95:$E$95,$B$3)+D48*INDEX(Assumptions!$C$96:$E$96,$B$3))*$N$3</f>
        <v>6689.44919064748</v>
      </c>
      <c r="E72" s="10" t="n">
        <f aca="false">(E46*INDEX(Assumptions!$C$94:$E$94,$B$3)+E47*INDEX(Assumptions!$C$95:$E$95,$B$3)+E48*INDEX(Assumptions!$C$96:$E$96,$B$3))*$N$3</f>
        <v>13659.7026378897</v>
      </c>
      <c r="F72" s="10" t="n">
        <f aca="false">(F46*INDEX(Assumptions!$C$94:$E$94,$B$3)+F47*INDEX(Assumptions!$C$95:$E$95,$B$3)+F48*INDEX(Assumptions!$C$96:$E$96,$B$3))*$N$3</f>
        <v>18397.1942446043</v>
      </c>
      <c r="G72" s="10" t="n">
        <f aca="false">(G46*INDEX(Assumptions!$C$94:$E$94,$B$3)+G47*INDEX(Assumptions!$C$95:$E$95,$B$3)+G48*INDEX(Assumptions!$C$96:$E$96,$B$3))*$N$3</f>
        <v>19443.7122302158</v>
      </c>
      <c r="H72" s="10" t="n">
        <f aca="false">(H46*INDEX(Assumptions!$C$94:$E$94,$B$3)+H47*INDEX(Assumptions!$C$95:$E$95,$B$3)+H48*INDEX(Assumptions!$C$96:$E$96,$B$3))*$N$3</f>
        <v>22712.4580335731</v>
      </c>
      <c r="I72" s="10" t="n">
        <f aca="false">(I46*INDEX(Assumptions!$C$94:$E$94,$B$3)+I47*INDEX(Assumptions!$C$95:$E$95,$B$3)+I48*INDEX(Assumptions!$C$96:$E$96,$B$3))*$N$3</f>
        <v>26527.0287769784</v>
      </c>
      <c r="J72" s="10" t="n">
        <f aca="false">(J46*INDEX(Assumptions!$C$94:$E$94,$B$3)+J47*INDEX(Assumptions!$C$95:$E$95,$B$3)+J48*INDEX(Assumptions!$C$96:$E$96,$B$3))*$N$3</f>
        <v>29503.0683453237</v>
      </c>
      <c r="K72" s="10" t="n">
        <f aca="false">(K46*INDEX(Assumptions!$C$94:$E$94,$B$3)+K47*INDEX(Assumptions!$C$95:$E$95,$B$3)+K48*INDEX(Assumptions!$C$96:$E$96,$B$3))*$N$3</f>
        <v>29250.9892086331</v>
      </c>
      <c r="L72" s="10" t="n">
        <f aca="false">(L46*INDEX(Assumptions!$C$94:$E$94,$B$3)+L47*INDEX(Assumptions!$C$95:$E$95,$B$3)+L48*INDEX(Assumptions!$C$96:$E$96,$B$3))*$N$3</f>
        <v>16501.9136690648</v>
      </c>
      <c r="M72" s="10" t="n">
        <f aca="false">(M46*INDEX(Assumptions!$C$94:$E$94,$B$3)+M47*INDEX(Assumptions!$C$95:$E$95,$B$3)+M48*INDEX(Assumptions!$C$96:$E$96,$B$3))*$N$3</f>
        <v>17924.5539568345</v>
      </c>
      <c r="N72" s="10" t="n">
        <f aca="false">(N46*INDEX(Assumptions!$C$94:$E$94,$B$3)+N47*INDEX(Assumptions!$C$95:$E$95,$B$3)+N48*INDEX(Assumptions!$C$96:$E$96,$B$3))*$N$3</f>
        <v>19347.1942446043</v>
      </c>
      <c r="O72" s="40" t="n">
        <f aca="false">SUM(C72:N72)</f>
        <v>224057.264538369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262.5</v>
      </c>
      <c r="F74" s="10" t="n">
        <f aca="false">F51*INDEX(Assumptions!$C$97:$E$97,$B$3)</f>
        <v>525</v>
      </c>
      <c r="G74" s="10" t="n">
        <f aca="false">G51*INDEX(Assumptions!$C$97:$E$97,$B$3)</f>
        <v>787.5</v>
      </c>
      <c r="H74" s="10" t="n">
        <f aca="false">H51*INDEX(Assumptions!$C$97:$E$97,$B$3)</f>
        <v>1050</v>
      </c>
      <c r="I74" s="10" t="n">
        <f aca="false">I51*INDEX(Assumptions!$C$97:$E$97,$B$3)</f>
        <v>1312.5</v>
      </c>
      <c r="J74" s="10" t="n">
        <f aca="false">J51*INDEX(Assumptions!$C$97:$E$97,$B$3)</f>
        <v>1575</v>
      </c>
      <c r="K74" s="10" t="n">
        <f aca="false">K51*INDEX(Assumptions!$C$97:$E$97,$B$3)</f>
        <v>1575</v>
      </c>
      <c r="L74" s="10" t="n">
        <f aca="false">L51*INDEX(Assumptions!$C$97:$E$97,$B$3)</f>
        <v>787.5</v>
      </c>
      <c r="M74" s="10" t="n">
        <f aca="false">M51*INDEX(Assumptions!$C$97:$E$97,$B$3)</f>
        <v>787.5</v>
      </c>
      <c r="N74" s="10" t="n">
        <f aca="false">N51*INDEX(Assumptions!$C$97:$E$97,$B$3)</f>
        <v>787.5</v>
      </c>
      <c r="O74" s="40" t="n">
        <f aca="false">SUM(C74:N74)</f>
        <v>9450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2397.07488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3127.7982397518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5113.78530905168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6871.57955065708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8278.1520126964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9929.80616464269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13299.5097245103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14104.0519570302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13327.3016576259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7528.31337299856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7286.49518433381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7247.00508020144</v>
      </c>
      <c r="O75" s="40" t="n">
        <f aca="false">SUM(C75:N75)</f>
        <v>98510.8731334999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1378.89838129496</v>
      </c>
      <c r="E76" s="10" t="n">
        <f aca="false">E38*INDEX(Assumptions!$C$240:$E$240,$B$3)*INDEX(Assumptions!$C$69:$E$69,$B$3)</f>
        <v>2119.40527577938</v>
      </c>
      <c r="F76" s="10" t="n">
        <f aca="false">F38*INDEX(Assumptions!$C$240:$E$240,$B$3)*INDEX(Assumptions!$C$69:$E$69,$B$3)</f>
        <v>2894.38848920863</v>
      </c>
      <c r="G76" s="10" t="n">
        <f aca="false">G38*INDEX(Assumptions!$C$240:$E$240,$B$3)*INDEX(Assumptions!$C$69:$E$69,$B$3)</f>
        <v>3787.42446043166</v>
      </c>
      <c r="H76" s="10" t="n">
        <f aca="false">H38*INDEX(Assumptions!$C$240:$E$240,$B$3)*INDEX(Assumptions!$C$69:$E$69,$B$3)</f>
        <v>4624.91606714628</v>
      </c>
      <c r="I76" s="10" t="n">
        <f aca="false">I38*INDEX(Assumptions!$C$240:$E$240,$B$3)*INDEX(Assumptions!$C$69:$E$69,$B$3)</f>
        <v>6554.05755395684</v>
      </c>
      <c r="J76" s="10" t="n">
        <f aca="false">J38*INDEX(Assumptions!$C$240:$E$240,$B$3)*INDEX(Assumptions!$C$69:$E$69,$B$3)</f>
        <v>6806.13669064748</v>
      </c>
      <c r="K76" s="10" t="n">
        <f aca="false">K38*INDEX(Assumptions!$C$240:$E$240,$B$3)*INDEX(Assumptions!$C$69:$E$69,$B$3)</f>
        <v>6301.97841726619</v>
      </c>
      <c r="L76" s="10" t="n">
        <f aca="false">L38*INDEX(Assumptions!$C$240:$E$240,$B$3)*INDEX(Assumptions!$C$69:$E$69,$B$3)</f>
        <v>3403.8273381295</v>
      </c>
      <c r="M76" s="10" t="n">
        <f aca="false">M38*INDEX(Assumptions!$C$240:$E$240,$B$3)*INDEX(Assumptions!$C$69:$E$69,$B$3)</f>
        <v>3249.10791366907</v>
      </c>
      <c r="N76" s="10" t="n">
        <f aca="false">N38*INDEX(Assumptions!$C$240:$E$240,$B$3)*INDEX(Assumptions!$C$69:$E$69,$B$3)</f>
        <v>3094.38848920863</v>
      </c>
      <c r="O76" s="40" t="n">
        <f aca="false">SUM(C76:N76)</f>
        <v>45414.5290767386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22397.07488</v>
      </c>
      <c r="D77" s="40" t="n">
        <f aca="false">SUM(D69:D76)</f>
        <v>29137.6509825576</v>
      </c>
      <c r="E77" s="40" t="n">
        <f aca="false">SUM(E69:E76)</f>
        <v>48324.6439346512</v>
      </c>
      <c r="F77" s="40" t="n">
        <f aca="false">SUM(F69:F76)</f>
        <v>65998.9008935827</v>
      </c>
      <c r="G77" s="40" t="n">
        <f aca="false">SUM(G69:G76)</f>
        <v>81225.3282716892</v>
      </c>
      <c r="H77" s="40" t="n">
        <f aca="false">SUM(H69:H76)</f>
        <v>98286.3984907818</v>
      </c>
      <c r="I77" s="40" t="n">
        <f aca="false">SUM(I69:I76)</f>
        <v>132027.10265017</v>
      </c>
      <c r="J77" s="40" t="n">
        <f aca="false">SUM(J69:J76)</f>
        <v>141098.231813145</v>
      </c>
      <c r="K77" s="40" t="n">
        <f aca="false">SUM(K69:K76)</f>
        <v>133609.874499353</v>
      </c>
      <c r="L77" s="40" t="n">
        <f aca="false">SUM(L69:L76)</f>
        <v>75432.6703873871</v>
      </c>
      <c r="M77" s="40" t="n">
        <f aca="false">SUM(M69:M76)</f>
        <v>72027.5779181468</v>
      </c>
      <c r="N77" s="40" t="n">
        <f aca="false">SUM(N69:N76)</f>
        <v>71225.3162312806</v>
      </c>
      <c r="O77" s="11" t="n">
        <f aca="false">SUM(C77:N77)</f>
        <v>970790.770952745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32584.3827471187</v>
      </c>
      <c r="D78" s="40" t="n">
        <f aca="false">D66-D77</f>
        <v>45370.4483410768</v>
      </c>
      <c r="E78" s="40" t="n">
        <f aca="false">E66-E77</f>
        <v>77730.2576128227</v>
      </c>
      <c r="F78" s="40" t="n">
        <f aca="false">F66-F77</f>
        <v>101825.379734796</v>
      </c>
      <c r="G78" s="40" t="n">
        <f aca="false">G66-G77</f>
        <v>112995.201177159</v>
      </c>
      <c r="H78" s="40" t="n">
        <f aca="false">H66-H77</f>
        <v>132174.939697651</v>
      </c>
      <c r="I78" s="40" t="n">
        <f aca="false">I66-I77</f>
        <v>168443.566799084</v>
      </c>
      <c r="J78" s="40" t="n">
        <f aca="false">J66-J77</f>
        <v>178570.42127977</v>
      </c>
      <c r="K78" s="40" t="n">
        <f aca="false">K66-K77</f>
        <v>170703.271168859</v>
      </c>
      <c r="L78" s="40" t="n">
        <f aca="false">L66-L77</f>
        <v>96527.8762422923</v>
      </c>
      <c r="M78" s="40" t="n">
        <f aca="false">M66-M77</f>
        <v>99695.6635621605</v>
      </c>
      <c r="N78" s="40" t="n">
        <f aca="false">N66-N77</f>
        <v>103166.797699947</v>
      </c>
      <c r="O78" s="11" t="n">
        <f aca="false">SUM(C78:N78)</f>
        <v>1319788.20606274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0.592643122852512</v>
      </c>
      <c r="D79" s="8" t="n">
        <f aca="false">IFERROR(D78/D66,0)</f>
        <v>0.6089331059702</v>
      </c>
      <c r="E79" s="8" t="n">
        <f aca="false">IFERROR(E78/E66,0)</f>
        <v>0.616638120839343</v>
      </c>
      <c r="F79" s="8" t="n">
        <f aca="false">IFERROR(F78/F66,0)</f>
        <v>0.606738067659427</v>
      </c>
      <c r="G79" s="8" t="n">
        <f aca="false">IFERROR(G78/G66,0)</f>
        <v>0.581788143085658</v>
      </c>
      <c r="H79" s="8" t="n">
        <f aca="false">IFERROR(H78/H66,0)</f>
        <v>0.57352326744532</v>
      </c>
      <c r="I79" s="8" t="n">
        <f aca="false">IFERROR(I78/I66,0)</f>
        <v>0.560599033202915</v>
      </c>
      <c r="J79" s="8" t="n">
        <f aca="false">IFERROR(J78/J66,0)</f>
        <v>0.558610985318809</v>
      </c>
      <c r="K79" s="8" t="n">
        <f aca="false">IFERROR(K78/K66,0)</f>
        <v>0.560946096475814</v>
      </c>
      <c r="L79" s="8" t="n">
        <f aca="false">IFERROR(L78/L66,0)</f>
        <v>0.561337342397306</v>
      </c>
      <c r="M79" s="8" t="n">
        <f aca="false">IFERROR(M78/M66,0)</f>
        <v>0.580560107663664</v>
      </c>
      <c r="N79" s="8" t="n">
        <f aca="false">IFERROR(N78/N66,0)</f>
        <v>0.591579489314703</v>
      </c>
      <c r="O79" s="13" t="n">
        <f aca="false">IFERROR(O78/O66,0)</f>
        <v>0.576181052609834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2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0.416666666666667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1.2</v>
      </c>
      <c r="O82" s="41" t="n">
        <f aca="false">MAX(C82:N82)</f>
        <v>1.2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95000</v>
      </c>
      <c r="E86" s="10" t="n">
        <f aca="false">E83*INDEX(Assumptions!$C$98:$E$98,$B$3)*$W$4+E84*INDEX(Assumptions!$C$99:$E$99,$B$3)+E85*INDEX(Assumptions!$C$100:$E$100,$B$3)</f>
        <v>95000</v>
      </c>
      <c r="F86" s="10" t="n">
        <f aca="false">F83*INDEX(Assumptions!$C$98:$E$98,$B$3)*$W$4+F84*INDEX(Assumptions!$C$99:$E$99,$B$3)+F85*INDEX(Assumptions!$C$100:$E$100,$B$3)</f>
        <v>95000</v>
      </c>
      <c r="G86" s="10" t="n">
        <f aca="false">G83*INDEX(Assumptions!$C$98:$E$98,$B$3)*$W$4+G84*INDEX(Assumptions!$C$99:$E$99,$B$3)+G85*INDEX(Assumptions!$C$100:$E$100,$B$3)</f>
        <v>95000</v>
      </c>
      <c r="H86" s="10" t="n">
        <f aca="false">H83*INDEX(Assumptions!$C$98:$E$98,$B$3)*$W$4+H84*INDEX(Assumptions!$C$99:$E$99,$B$3)+H85*INDEX(Assumptions!$C$100:$E$100,$B$3)</f>
        <v>95000</v>
      </c>
      <c r="I86" s="10" t="n">
        <f aca="false">I83*INDEX(Assumptions!$C$98:$E$98,$B$3)*$W$4+I84*INDEX(Assumptions!$C$99:$E$99,$B$3)+I85*INDEX(Assumptions!$C$100:$E$100,$B$3)</f>
        <v>95000</v>
      </c>
      <c r="J86" s="10" t="n">
        <f aca="false">J83*INDEX(Assumptions!$C$98:$E$98,$B$3)*$W$4+J84*INDEX(Assumptions!$C$99:$E$99,$B$3)+J85*INDEX(Assumptions!$C$100:$E$100,$B$3)</f>
        <v>95000</v>
      </c>
      <c r="K86" s="10" t="n">
        <f aca="false">K83*INDEX(Assumptions!$C$98:$E$98,$B$3)*$W$4+K84*INDEX(Assumptions!$C$99:$E$99,$B$3)+K85*INDEX(Assumptions!$C$100:$E$100,$B$3)</f>
        <v>95000</v>
      </c>
      <c r="L86" s="10" t="n">
        <f aca="false">L83*INDEX(Assumptions!$C$98:$E$98,$B$3)*$W$4+L84*INDEX(Assumptions!$C$99:$E$99,$B$3)+L85*INDEX(Assumptions!$C$100:$E$100,$B$3)</f>
        <v>57500</v>
      </c>
      <c r="M86" s="10" t="n">
        <f aca="false">M83*INDEX(Assumptions!$C$98:$E$98,$B$3)*$W$4+M84*INDEX(Assumptions!$C$99:$E$99,$B$3)+M85*INDEX(Assumptions!$C$100:$E$100,$B$3)</f>
        <v>57500</v>
      </c>
      <c r="N86" s="10" t="n">
        <f aca="false">N83*INDEX(Assumptions!$C$98:$E$98,$B$3)*$W$4+N84*INDEX(Assumptions!$C$99:$E$99,$B$3)+N85*INDEX(Assumptions!$C$100:$E$100,$B$3)</f>
        <v>57500</v>
      </c>
      <c r="O86" s="40" t="n">
        <f aca="false">SUM(C86:N86)</f>
        <v>952500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285000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12000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12000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12000</v>
      </c>
      <c r="O88" s="40" t="n">
        <f aca="false">SUM(C88:N88)</f>
        <v>741000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60000</v>
      </c>
      <c r="D92" s="40" t="n">
        <f aca="false">SUM(D86:D91)</f>
        <v>210000</v>
      </c>
      <c r="E92" s="40" t="n">
        <f aca="false">SUM(E86:E91)</f>
        <v>225000</v>
      </c>
      <c r="F92" s="40" t="n">
        <f aca="false">SUM(F86:F91)</f>
        <v>225000</v>
      </c>
      <c r="G92" s="40" t="n">
        <f aca="false">SUM(G86:G91)</f>
        <v>225000</v>
      </c>
      <c r="H92" s="40" t="n">
        <f aca="false">SUM(H86:H91)</f>
        <v>225000</v>
      </c>
      <c r="I92" s="40" t="n">
        <f aca="false">SUM(I86:I91)</f>
        <v>225000</v>
      </c>
      <c r="J92" s="40" t="n">
        <f aca="false">SUM(J86:J91)</f>
        <v>225000</v>
      </c>
      <c r="K92" s="40" t="n">
        <f aca="false">SUM(K86:K91)</f>
        <v>225000</v>
      </c>
      <c r="L92" s="40" t="n">
        <f aca="false">SUM(L86:L91)</f>
        <v>104500</v>
      </c>
      <c r="M92" s="40" t="n">
        <f aca="false">SUM(M86:M91)</f>
        <v>104500</v>
      </c>
      <c r="N92" s="40" t="n">
        <f aca="false">SUM(N86:N91)</f>
        <v>104500</v>
      </c>
      <c r="O92" s="11" t="n">
        <f aca="false">SUM(C92:N92)</f>
        <v>2158500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22000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22000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22000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22000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22000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22000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22000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22000</v>
      </c>
      <c r="O95" s="40" t="n">
        <f aca="false">SUM(C95:N95)</f>
        <v>224000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18000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186000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540000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152496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171000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120500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120500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300833</v>
      </c>
      <c r="D102" s="40" t="n">
        <f aca="false">D92+SUM(D94:D101)</f>
        <v>330833</v>
      </c>
      <c r="E102" s="40" t="n">
        <f aca="false">E92+SUM(E94:E101)</f>
        <v>520833</v>
      </c>
      <c r="F102" s="40" t="n">
        <f aca="false">F92+SUM(F94:F101)</f>
        <v>380833</v>
      </c>
      <c r="G102" s="40" t="n">
        <f aca="false">G92+SUM(G94:G101)</f>
        <v>400833</v>
      </c>
      <c r="H102" s="40" t="n">
        <f aca="false">H92+SUM(H94:H101)</f>
        <v>400833</v>
      </c>
      <c r="I102" s="40" t="n">
        <f aca="false">I92+SUM(I94:I101)</f>
        <v>400833</v>
      </c>
      <c r="J102" s="40" t="n">
        <f aca="false">J92+SUM(J94:J101)</f>
        <v>400833</v>
      </c>
      <c r="K102" s="40" t="n">
        <f aca="false">K92+SUM(K94:K101)</f>
        <v>400833</v>
      </c>
      <c r="L102" s="40" t="n">
        <f aca="false">L92+SUM(L94:L101)</f>
        <v>355333</v>
      </c>
      <c r="M102" s="40" t="n">
        <f aca="false">M92+SUM(M94:M101)</f>
        <v>234833</v>
      </c>
      <c r="N102" s="40" t="n">
        <f aca="false">N92+SUM(N94:N101)</f>
        <v>234833</v>
      </c>
      <c r="O102" s="11" t="n">
        <f aca="false">SUM(C102:N102)</f>
        <v>4362496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-268248.617252881</v>
      </c>
      <c r="D103" s="40" t="n">
        <f aca="false">D78-D102</f>
        <v>-285462.551658923</v>
      </c>
      <c r="E103" s="40" t="n">
        <f aca="false">E78-E102</f>
        <v>-443102.742387177</v>
      </c>
      <c r="F103" s="40" t="n">
        <f aca="false">F78-F102</f>
        <v>-279007.620265204</v>
      </c>
      <c r="G103" s="40" t="n">
        <f aca="false">G78-G102</f>
        <v>-287837.798822842</v>
      </c>
      <c r="H103" s="40" t="n">
        <f aca="false">H78-H102</f>
        <v>-268658.06030235</v>
      </c>
      <c r="I103" s="40" t="n">
        <f aca="false">I78-I102</f>
        <v>-232389.433200916</v>
      </c>
      <c r="J103" s="40" t="n">
        <f aca="false">J78-J102</f>
        <v>-222262.57872023</v>
      </c>
      <c r="K103" s="40" t="n">
        <f aca="false">K78-K102</f>
        <v>-230129.728831141</v>
      </c>
      <c r="L103" s="40" t="n">
        <f aca="false">L78-L102</f>
        <v>-258805.123757708</v>
      </c>
      <c r="M103" s="40" t="n">
        <f aca="false">M78-M102</f>
        <v>-135137.33643784</v>
      </c>
      <c r="N103" s="40" t="n">
        <f aca="false">N78-N102</f>
        <v>-131666.202300053</v>
      </c>
      <c r="O103" s="11" t="n">
        <f aca="false">SUM(C103:N103)</f>
        <v>-3042707.79393726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-4.87889242719117</v>
      </c>
      <c r="D104" s="8" t="n">
        <f aca="false">IFERROR(D103/D66,0)</f>
        <v>-3.83129558061848</v>
      </c>
      <c r="E104" s="8" t="n">
        <f aca="false">IFERROR(E103/E66,0)</f>
        <v>-3.51515678444522</v>
      </c>
      <c r="F104" s="8" t="n">
        <f aca="false">IFERROR(F103/F66,0)</f>
        <v>-1.66249853251583</v>
      </c>
      <c r="G104" s="8" t="n">
        <f aca="false">IFERROR(G103/G66,0)</f>
        <v>-1.48201531341541</v>
      </c>
      <c r="H104" s="8" t="n">
        <f aca="false">IFERROR(H103/H66,0)</f>
        <v>-1.16574026001136</v>
      </c>
      <c r="I104" s="8" t="n">
        <f aca="false">IFERROR(I103/I66,0)</f>
        <v>-0.773418029875835</v>
      </c>
      <c r="J104" s="8" t="n">
        <f aca="false">IFERROR(J103/J66,0)</f>
        <v>-0.695290503368895</v>
      </c>
      <c r="K104" s="8" t="n">
        <f aca="false">IFERROR(K103/K66,0)</f>
        <v>-0.756226709581744</v>
      </c>
      <c r="L104" s="8" t="n">
        <f aca="false">IFERROR(L103/L66,0)</f>
        <v>-1.50502617507404</v>
      </c>
      <c r="M104" s="8" t="n">
        <f aca="false">IFERROR(M103/M66,0)</f>
        <v>-0.786948436757389</v>
      </c>
      <c r="N104" s="8" t="n">
        <f aca="false">IFERROR(N103/N66,0)</f>
        <v>-0.755000896152768</v>
      </c>
      <c r="O104" s="8" t="n">
        <f aca="false">IFERROR(O103/O66,0)</f>
        <v>-1.32835751330512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-343248.617252881</v>
      </c>
      <c r="D105" s="10" t="n">
        <f aca="false">D103-INDEX(Assumptions!$C$204:$E$204,$B$3)</f>
        <v>-360462.551658923</v>
      </c>
      <c r="E105" s="10" t="n">
        <f aca="false">E103-INDEX(Assumptions!$C$204:$E$204,$B$3)</f>
        <v>-518102.742387177</v>
      </c>
      <c r="F105" s="10" t="n">
        <f aca="false">F103-INDEX(Assumptions!$C$204:$E$204,$B$3)</f>
        <v>-354007.620265204</v>
      </c>
      <c r="G105" s="10" t="n">
        <f aca="false">G103-INDEX(Assumptions!$C$204:$E$204,$B$3)</f>
        <v>-362837.798822842</v>
      </c>
      <c r="H105" s="10" t="n">
        <f aca="false">H103-INDEX(Assumptions!$C$204:$E$204,$B$3)</f>
        <v>-343658.06030235</v>
      </c>
      <c r="I105" s="10" t="n">
        <f aca="false">I103-INDEX(Assumptions!$C$204:$E$204,$B$3)</f>
        <v>-307389.433200916</v>
      </c>
      <c r="J105" s="10" t="n">
        <f aca="false">J103-INDEX(Assumptions!$C$204:$E$204,$B$3)</f>
        <v>-297262.57872023</v>
      </c>
      <c r="K105" s="10" t="n">
        <f aca="false">K103-INDEX(Assumptions!$C$204:$E$204,$B$3)</f>
        <v>-305129.728831141</v>
      </c>
      <c r="L105" s="10" t="n">
        <f aca="false">L103-INDEX(Assumptions!$C$204:$E$204,$B$3)</f>
        <v>-333805.123757708</v>
      </c>
      <c r="M105" s="10" t="n">
        <f aca="false">M103-INDEX(Assumptions!$C$204:$E$204,$B$3)</f>
        <v>-210137.33643784</v>
      </c>
      <c r="N105" s="10" t="n">
        <f aca="false">N103-INDEX(Assumptions!$C$204:$E$204,$B$3)</f>
        <v>-206666.202300053</v>
      </c>
      <c r="O105" s="40" t="n">
        <f aca="false">SUM(C105:N105)</f>
        <v>-3942707.79393726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250000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-16249.4030199569</v>
      </c>
      <c r="E113" s="10" t="n">
        <f aca="false">((E67+IF(INDEX(Assumptions!$C$87:$E$87,$B$3)&gt;=2,D67,0)+IF(INDEX(Assumptions!$C$87:$E$87,$B$3)&gt;=3,C67,0))/INDEX(Assumptions!$C$87:$E$87,$B$3))-E67</f>
        <v>-16961.6304837486</v>
      </c>
      <c r="F113" s="10" t="n">
        <f aca="false">((F67+IF(INDEX(Assumptions!$C$87:$E$87,$B$3)&gt;=2,E67,0)+IF(INDEX(Assumptions!$C$87:$E$87,$B$3)&gt;=3,D67,0))/INDEX(Assumptions!$C$87:$E$87,$B$3))-F67</f>
        <v>-23232.0498474102</v>
      </c>
      <c r="G113" s="10" t="n">
        <f aca="false">((G67+IF(INDEX(Assumptions!$C$87:$E$87,$B$3)&gt;=2,F67,0)+IF(INDEX(Assumptions!$C$87:$E$87,$B$3)&gt;=3,E67,0))/INDEX(Assumptions!$C$87:$E$87,$B$3))-G67</f>
        <v>-26129.9497478288</v>
      </c>
      <c r="H113" s="10" t="n">
        <f aca="false">((H67+IF(INDEX(Assumptions!$C$87:$E$87,$B$3)&gt;=2,G67,0)+IF(INDEX(Assumptions!$C$87:$E$87,$B$3)&gt;=3,F67,0))/INDEX(Assumptions!$C$87:$E$87,$B$3))-H67</f>
        <v>-26294.3475727892</v>
      </c>
      <c r="I113" s="10" t="n">
        <f aca="false">((I67+IF(INDEX(Assumptions!$C$87:$E$87,$B$3)&gt;=2,H67,0)+IF(INDEX(Assumptions!$C$87:$E$87,$B$3)&gt;=3,G67,0))/INDEX(Assumptions!$C$87:$E$87,$B$3))-I67</f>
        <v>-47333.9362408379</v>
      </c>
      <c r="J113" s="10" t="n">
        <f aca="false">((J67+IF(INDEX(Assumptions!$C$87:$E$87,$B$3)&gt;=2,I67,0)+IF(INDEX(Assumptions!$C$87:$E$87,$B$3)&gt;=3,H67,0))/INDEX(Assumptions!$C$87:$E$87,$B$3))-J67</f>
        <v>-25716.1609695295</v>
      </c>
      <c r="K113" s="10" t="n">
        <f aca="false">((K67+IF(INDEX(Assumptions!$C$87:$E$87,$B$3)&gt;=2,J67,0)+IF(INDEX(Assumptions!$C$87:$E$87,$B$3)&gt;=3,I67,0))/INDEX(Assumptions!$C$87:$E$87,$B$3))-K67</f>
        <v>6617.70752889212</v>
      </c>
      <c r="L113" s="10" t="n">
        <f aca="false">((L67+IF(INDEX(Assumptions!$C$87:$E$87,$B$3)&gt;=2,K67,0)+IF(INDEX(Assumptions!$C$87:$E$87,$B$3)&gt;=3,J67,0))/INDEX(Assumptions!$C$87:$E$87,$B$3))-L67</f>
        <v>62559.7208673739</v>
      </c>
      <c r="M113" s="10" t="n">
        <f aca="false">((M67+IF(INDEX(Assumptions!$C$87:$E$87,$B$3)&gt;=2,L67,0)+IF(INDEX(Assumptions!$C$87:$E$87,$B$3)&gt;=3,K67,0))/INDEX(Assumptions!$C$87:$E$87,$B$3))-M67</f>
        <v>33938.1985936675</v>
      </c>
      <c r="N113" s="10" t="n">
        <f aca="false">((N67+IF(INDEX(Assumptions!$C$87:$E$87,$B$3)&gt;=2,M67,0)+IF(INDEX(Assumptions!$C$87:$E$87,$B$3)&gt;=3,L67,0))/INDEX(Assumptions!$C$87:$E$87,$B$3))-N67</f>
        <v>5721.75903345121</v>
      </c>
      <c r="O113" s="40" t="n">
        <f aca="false">SUM(C113:N113)</f>
        <v>-96808.9054180385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-441977.430812203</v>
      </c>
      <c r="D114" s="40" t="n">
        <f aca="false">D103+D113-D112</f>
        <v>-301711.95467888</v>
      </c>
      <c r="E114" s="40" t="n">
        <f aca="false">E103+E113-E112</f>
        <v>-560064.372870926</v>
      </c>
      <c r="F114" s="40" t="n">
        <f aca="false">F103+F113-F112</f>
        <v>-302239.670112614</v>
      </c>
      <c r="G114" s="40" t="n">
        <f aca="false">G103+G113-G112</f>
        <v>-313967.74857067</v>
      </c>
      <c r="H114" s="40" t="n">
        <f aca="false">H103+H113-H112</f>
        <v>-294952.407875139</v>
      </c>
      <c r="I114" s="40" t="n">
        <f aca="false">I103+I113-I112</f>
        <v>-279723.369441754</v>
      </c>
      <c r="J114" s="40" t="n">
        <f aca="false">J103+J113-J112</f>
        <v>-247978.739689759</v>
      </c>
      <c r="K114" s="40" t="n">
        <f aca="false">K103+K113-K112</f>
        <v>-223512.021302249</v>
      </c>
      <c r="L114" s="40" t="n">
        <f aca="false">L103+L113-L112</f>
        <v>-196245.402890334</v>
      </c>
      <c r="M114" s="40" t="n">
        <f aca="false">M103+M113-M112</f>
        <v>-101199.137844172</v>
      </c>
      <c r="N114" s="40" t="n">
        <f aca="false">N103+N113-N112</f>
        <v>-125944.443266601</v>
      </c>
      <c r="O114" s="11" t="n">
        <f aca="false">SUM(C114:N114)</f>
        <v>-3389516.6993553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-441977.430812203</v>
      </c>
      <c r="D115" s="40" t="n">
        <f aca="false">C115+D114</f>
        <v>-743689.385491084</v>
      </c>
      <c r="E115" s="40" t="n">
        <f aca="false">D115+E114</f>
        <v>-1303753.75836201</v>
      </c>
      <c r="F115" s="40" t="n">
        <f aca="false">E115+F114</f>
        <v>-1605993.42847462</v>
      </c>
      <c r="G115" s="40" t="n">
        <f aca="false">F115+G114</f>
        <v>-1919961.17704529</v>
      </c>
      <c r="H115" s="40" t="n">
        <f aca="false">G115+H114</f>
        <v>-2214913.58492043</v>
      </c>
      <c r="I115" s="40" t="n">
        <f aca="false">H115+I114</f>
        <v>-2494636.95436219</v>
      </c>
      <c r="J115" s="40" t="n">
        <f aca="false">I115+J114</f>
        <v>-2742615.69405195</v>
      </c>
      <c r="K115" s="40" t="n">
        <f aca="false">J115+K114</f>
        <v>-2966127.71535419</v>
      </c>
      <c r="L115" s="40" t="n">
        <f aca="false">K115+L114</f>
        <v>-3162373.11824453</v>
      </c>
      <c r="M115" s="40" t="n">
        <f aca="false">L115+M114</f>
        <v>-3263572.2560887</v>
      </c>
      <c r="N115" s="40" t="n">
        <f aca="false">M115+N114</f>
        <v>-3389516.6993553</v>
      </c>
      <c r="O115" s="11" t="n">
        <f aca="false">N115</f>
        <v>-3389516.6993553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441977.430812203</v>
      </c>
      <c r="D116" s="40" t="n">
        <f aca="false">-MIN(0,MIN($C$115:D115))</f>
        <v>743689.385491084</v>
      </c>
      <c r="E116" s="40" t="n">
        <f aca="false">-MIN(0,MIN($C$115:E115))</f>
        <v>1303753.75836201</v>
      </c>
      <c r="F116" s="40" t="n">
        <f aca="false">-MIN(0,MIN($C$115:F115))</f>
        <v>1605993.42847462</v>
      </c>
      <c r="G116" s="40" t="n">
        <f aca="false">-MIN(0,MIN($C$115:G115))</f>
        <v>1919961.17704529</v>
      </c>
      <c r="H116" s="40" t="n">
        <f aca="false">-MIN(0,MIN($C$115:H115))</f>
        <v>2214913.58492043</v>
      </c>
      <c r="I116" s="40" t="n">
        <f aca="false">-MIN(0,MIN($C$115:I115))</f>
        <v>2494636.95436219</v>
      </c>
      <c r="J116" s="40" t="n">
        <f aca="false">-MIN(0,MIN($C$115:J115))</f>
        <v>2742615.69405195</v>
      </c>
      <c r="K116" s="40" t="n">
        <f aca="false">-MIN(0,MIN($C$115:K115))</f>
        <v>2966127.71535419</v>
      </c>
      <c r="L116" s="40" t="n">
        <f aca="false">-MIN(0,MIN($C$115:L115))</f>
        <v>3162373.11824453</v>
      </c>
      <c r="M116" s="40" t="n">
        <f aca="false">-MIN(0,MIN($C$115:M115))</f>
        <v>3263572.2560887</v>
      </c>
      <c r="N116" s="40" t="n">
        <f aca="false">-MIN(0,MIN($C$115:N115))</f>
        <v>3389516.6993553</v>
      </c>
      <c r="O116" s="11" t="n">
        <f aca="false">MAX(C116:N116)</f>
        <v>3389516.6993553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1.56265568420264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2.82097834607314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3.28628864508393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4.60791426858513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5.74489111211032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4.67656524280575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3.07815187050359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1.56265568420264</v>
      </c>
      <c r="D129" s="8" t="n">
        <f aca="false">C129/INDEX(Assumptions!$C$179:$E$179,$B$3)</f>
        <v>0.130221307016887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2.82097834607314</v>
      </c>
      <c r="D130" s="8" t="n">
        <f aca="false">C130/INDEX(Assumptions!$C$179:$E$179,$B$3)</f>
        <v>0.235081528839428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3.28628864508393</v>
      </c>
      <c r="D131" s="8" t="n">
        <f aca="false">C131/INDEX(Assumptions!$C$179:$E$179,$B$3)</f>
        <v>0.273857387090328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4.60791426858513</v>
      </c>
      <c r="D132" s="8" t="n">
        <f aca="false">C132/INDEX(Assumptions!$C$179:$E$179,$B$3)</f>
        <v>0.383992855715428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5.74489111211032</v>
      </c>
      <c r="D133" s="8" t="n">
        <f aca="false">C133/INDEX(Assumptions!$C$179:$E$179,$B$3)</f>
        <v>0.478740926009193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0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4.67656524280575</v>
      </c>
      <c r="D134" s="8" t="n">
        <f aca="false">C134/INDEX(Assumptions!$C$179:$E$179,$B$3)</f>
        <v>0.389713770233813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3.07815187050359</v>
      </c>
      <c r="D135" s="8" t="n">
        <f aca="false">C135/INDEX(Assumptions!$C$179:$E$179,$B$3)</f>
        <v>0.2565126558753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1.56265568420264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2.82097834607314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4.5677962470024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7.1577020323741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6.59016098920864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3.98925588129496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1.56265568420264</v>
      </c>
      <c r="D143" s="8" t="n">
        <f aca="false">C143/INDEX(Assumptions!$C$179:$E$179,$B$3)</f>
        <v>0.130221307016887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2.82097834607314</v>
      </c>
      <c r="D144" s="8" t="n">
        <f aca="false">C144/INDEX(Assumptions!$C$179:$E$179,$B$3)</f>
        <v>0.235081528839428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4.5677962470024</v>
      </c>
      <c r="D145" s="8" t="n">
        <f aca="false">C145/INDEX(Assumptions!$C$179:$E$179,$B$3)</f>
        <v>0.3806496872502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0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7.1577020323741</v>
      </c>
      <c r="D146" s="8" t="n">
        <f aca="false">C146/INDEX(Assumptions!$C$179:$E$179,$B$3)</f>
        <v>0.596475169364508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0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6.59016098920864</v>
      </c>
      <c r="D147" s="8" t="n">
        <f aca="false">C147/INDEX(Assumptions!$C$179:$E$179,$B$3)</f>
        <v>0.549180082434053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3.98925588129496</v>
      </c>
      <c r="D148" s="8" t="n">
        <f aca="false">C148/INDEX(Assumptions!$C$179:$E$179,$B$3)</f>
        <v>0.332437990107914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2290578.97701548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-3042707.79393726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-1.32835751330512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-3942707.79393726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250000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3389516.6993553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-389516.699355301</v>
      </c>
    </row>
    <row r="160" customFormat="false" ht="15" hidden="false" customHeight="false" outlineLevel="0" collapsed="false">
      <c r="A160" s="3" t="s">
        <v>51</v>
      </c>
      <c r="B160" s="7" t="n">
        <f aca="false">O38</f>
        <v>45.4145290767386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4.90158273381295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108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0.40201101618705</v>
      </c>
    </row>
    <row r="164" customFormat="false" ht="15" hidden="false" customHeight="false" outlineLevel="0" collapsed="false">
      <c r="A164" s="3" t="s">
        <v>55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14987.1175847458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234833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56790.8335592937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11.8796803610803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142.556164332964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33602.7075562923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0.991279872910623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0.96012016945764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10.8008403075818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-525608.6624956</v>
      </c>
    </row>
    <row r="177" customFormat="false" ht="15" hidden="false" customHeight="false" outlineLevel="0" collapsed="false">
      <c r="A177" s="3" t="s">
        <v>68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-3389516.6993553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4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3389516.6993553</v>
      </c>
    </row>
    <row r="182" customFormat="false" ht="15" hidden="false" customHeight="false" outlineLevel="0" collapsed="false">
      <c r="A182" s="3" t="s">
        <v>73</v>
      </c>
      <c r="B182" s="11" t="n">
        <f aca="false">O86</f>
        <v>952500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40000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2099910.52907674</v>
      </c>
    </row>
    <row r="187" customFormat="false" ht="15" hidden="false" customHeight="false" outlineLevel="0" collapsed="false">
      <c r="A187" s="3" t="s">
        <v>78</v>
      </c>
      <c r="B187" s="11" t="n">
        <f aca="false">O97</f>
        <v>540000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10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120500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0.130221307016887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0.235081528839428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0.306874347254339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3.07815187050359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10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0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2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0.508768313016254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6.2494964028777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40323.2490675508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0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299390.3375044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1574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1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12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41.15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48.6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6</v>
      </c>
      <c r="O17" s="38" t="n">
        <f aca="false">SUM(C17:N17)</f>
        <v>89.75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40000</v>
      </c>
      <c r="O18" s="40" t="n">
        <f aca="false">SUM(C18:N18)</f>
        <v>640000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2.4</v>
      </c>
      <c r="O21" s="38" t="n">
        <f aca="false">SUM(C21:N21)</f>
        <v>38.4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0.6</v>
      </c>
      <c r="M22" s="16" t="n">
        <f aca="false">IF(AND($U$3=1,11&gt;=$Q$4+1),INDEX(Assumptions!$C$176:$E$176,$B$3),1)</f>
        <v>0.6</v>
      </c>
      <c r="N22" s="16" t="n">
        <f aca="false">IF(AND($U$3=1,12&gt;=$Q$4+1),INDEX(Assumptions!$C$176:$E$176,$B$3),1)</f>
        <v>0.6</v>
      </c>
      <c r="O22" s="38" t="n">
        <f aca="false">AVERAGE(C22:N22)</f>
        <v>0.9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5.808</v>
      </c>
      <c r="M24" s="38" t="n">
        <f aca="false">M10*(M14*$F$3+(M15-M14)*$F$3*M20+MIN(M16,M21*M20))*M22*M23</f>
        <v>6.3</v>
      </c>
      <c r="N24" s="38" t="n">
        <f aca="false">N10*(N14*$F$3+(N15-N14)*$F$3*N20+MIN(N16,N21*N20))*N22*N23</f>
        <v>2.88</v>
      </c>
      <c r="O24" s="17" t="n">
        <f aca="false">SUM(C24:N24)</f>
        <v>71.320875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1.8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1.8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3.6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1.8</v>
      </c>
      <c r="M30" s="16" t="n">
        <f aca="false">MAX(M24*INDEX(Assumptions!$C$26:$E$26,$B$3)*M28,M29)</f>
        <v>1.8</v>
      </c>
      <c r="N30" s="16" t="n">
        <f aca="false">MAX(N24*INDEX(Assumptions!$C$26:$E$26,$B$3)*N28,N29)</f>
        <v>0</v>
      </c>
      <c r="O30" s="38" t="n">
        <f aca="false">SUM(C30:N30)</f>
        <v>3.6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10.7542369741953</v>
      </c>
      <c r="N31" s="6" t="n">
        <f aca="false">M34+L34+M37+L37+1.25*M35</f>
        <v>9.27140621521242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8.06264621521242</v>
      </c>
      <c r="M32" s="6" t="n">
        <f aca="false">M24*(INDEX(Assumptions!$C$26:$E$26,$B$3)*(1-M28)+(1-INDEX(Assumptions!$C$26:$E$26,$B$3)))+1.25*M30+L36*INDEX(Assumptions!$C$89:$E$89,$B$3)</f>
        <v>8.30196</v>
      </c>
      <c r="N32" s="6" t="n">
        <f aca="false">N24*(INDEX(Assumptions!$C$26:$E$26,$B$3)*(1-N28)+(1-INDEX(Assumptions!$C$26:$E$26,$B$3)))+1.25*N30+M36*INDEX(Assumptions!$C$89:$E$89,$B$3)</f>
        <v>3.636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2.6136</v>
      </c>
      <c r="M34" s="38" t="n">
        <f aca="false">M24*INDEX(Assumptions!$C$26:$E$26,$B$3)*(1-M28)*M33</f>
        <v>2.835</v>
      </c>
      <c r="N34" s="38" t="n">
        <f aca="false">N24*INDEX(Assumptions!$C$26:$E$26,$B$3)*(1-N28)*N33</f>
        <v>1.728</v>
      </c>
      <c r="O34" s="17" t="n">
        <f aca="false">SUM(C34:N34)</f>
        <v>36.3287710233619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1.8</v>
      </c>
      <c r="M35" s="16" t="n">
        <f aca="false">M30*M33</f>
        <v>1.8</v>
      </c>
      <c r="N35" s="16" t="n">
        <f aca="false">N30*N33</f>
        <v>0</v>
      </c>
      <c r="O35" s="38" t="n">
        <f aca="false">SUM(C35:N35)</f>
        <v>3.6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2.3232</v>
      </c>
      <c r="M36" s="16" t="n">
        <f aca="false">M24*(1-INDEX(Assumptions!$C$26:$E$26,$B$3))*M33</f>
        <v>2.52</v>
      </c>
      <c r="N36" s="16" t="n">
        <f aca="false">N24*(1-INDEX(Assumptions!$C$26:$E$26,$B$3))*N33</f>
        <v>1.152</v>
      </c>
      <c r="O36" s="38" t="n">
        <f aca="false">SUM(C36:N36)</f>
        <v>25.4299806822413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0.69696</v>
      </c>
      <c r="N37" s="16" t="n">
        <f aca="false">M36*INDEX(Assumptions!$C$89:$E$89,$B$3)*N33</f>
        <v>0.756</v>
      </c>
      <c r="O37" s="38" t="n">
        <f aca="false">SUM(C37:N37)</f>
        <v>6.5940178078091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6.7368</v>
      </c>
      <c r="M38" s="38" t="n">
        <f aca="false">M34+M35+M36</f>
        <v>7.155</v>
      </c>
      <c r="N38" s="38" t="n">
        <f aca="false">N34+N35+N36</f>
        <v>2.88</v>
      </c>
      <c r="O38" s="17" t="n">
        <f aca="false">SUM(C38:N38)</f>
        <v>65.3587517056032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6.7368</v>
      </c>
      <c r="M39" s="16" t="n">
        <f aca="false">IF(11&lt;IF($Q$3=1,$Q$4+1,INDEX(Assumptions!$C$215:$E$215,$D$3)),M24,M38)</f>
        <v>7.155</v>
      </c>
      <c r="N39" s="16" t="n">
        <f aca="false">IF(12&lt;IF($Q$3=1,$Q$4+1,INDEX(Assumptions!$C$215:$E$215,$D$3)),N24,N38)</f>
        <v>2.88</v>
      </c>
      <c r="O39" s="38" t="n">
        <f aca="false">SUM(C39:N39)</f>
        <v>73.104675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1.6842</v>
      </c>
      <c r="M40" s="16" t="n">
        <f aca="false">M38*INDEX(Assumptions!$C$74:$E$74,$B$3)</f>
        <v>1.78875</v>
      </c>
      <c r="N40" s="16" t="n">
        <f aca="false">N38*INDEX(Assumptions!$C$74:$E$74,$B$3)</f>
        <v>0.72</v>
      </c>
      <c r="O40" s="38" t="n">
        <f aca="false">SUM(C40:N40)</f>
        <v>16.3396879264008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3.168</v>
      </c>
      <c r="M41" s="16" t="n">
        <f aca="false">M10*MIN(M16,M21*M20)*M22*M23*M33</f>
        <v>3.78</v>
      </c>
      <c r="N41" s="16" t="n">
        <f aca="false">N10*MIN(N16,N21*N20)*N22*N23*N33</f>
        <v>1.44</v>
      </c>
      <c r="O41" s="38" t="n">
        <f aca="false">SUM(C41:N41)</f>
        <v>29.8511284394963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17.8346239863466</v>
      </c>
      <c r="M42" s="6" t="n">
        <f aca="false">M31+M34+M37+M36+1.25*M35</f>
        <v>19.0561969741953</v>
      </c>
      <c r="N42" s="6" t="n">
        <f aca="false">N31+N34+N37+N36+1.25*N35</f>
        <v>12.9074062152124</v>
      </c>
      <c r="O42" s="41" t="n">
        <f aca="false">AVERAGE(C42:N42)</f>
        <v>12.8915322646462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0.594487466211555</v>
      </c>
      <c r="M43" s="39" t="n">
        <f aca="false">M42/(M25*M26)</f>
        <v>0.635206565806509</v>
      </c>
      <c r="N43" s="39" t="n">
        <f aca="false">N42/(N25*N26)</f>
        <v>0.645370310760621</v>
      </c>
      <c r="O43" s="9" t="n">
        <f aca="false">N43</f>
        <v>0.645370310760621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12.24</v>
      </c>
      <c r="M46" s="6" t="n">
        <f aca="false">IF(11&gt;=3,INDEX(Assumptions!$C$234:$E$234,M$9)*INDEX(Assumptions!$C$235:$E$235,$B$3)*MIN(1,(11-2)/6),0)*$F$3*M22*$W$3</f>
        <v>12.24</v>
      </c>
      <c r="N46" s="6" t="n">
        <f aca="false">IF(12&gt;=3,INDEX(Assumptions!$C$234:$E$234,N$9)*INDEX(Assumptions!$C$235:$E$235,$B$3)*MIN(1,(12-2)/6),0)*$F$3*N22*$W$3</f>
        <v>6.12</v>
      </c>
      <c r="O46" s="41" t="n">
        <f aca="false">SUM(C46:N46)</f>
        <v>122.4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7.2</v>
      </c>
      <c r="M47" s="6" t="n">
        <f aca="false">INDEX(Assumptions!$C$236:$E$236,M$9)*M11*MIN(1,11/3)*$F$3*M22</f>
        <v>9.9</v>
      </c>
      <c r="N47" s="6" t="n">
        <f aca="false">INDEX(Assumptions!$C$236:$E$236,N$9)*N11*MIN(1,12/3)*$F$3*N22</f>
        <v>8.4</v>
      </c>
      <c r="O47" s="41" t="n">
        <f aca="false">SUM(C47:N47)</f>
        <v>136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5.4484052532833</v>
      </c>
      <c r="M48" s="6" t="n">
        <f aca="false">M24*INDEX(Assumptions!$C$31:$E$31,$B$3)/(INDEX(Assumptions!$C$56:$E$56,$B$3)*INDEX(Assumptions!$C$57:$E$57,$B$3)*INDEX(Assumptions!$C$58:$E$58,$B$3))</f>
        <v>5.90994371482176</v>
      </c>
      <c r="N48" s="6" t="n">
        <f aca="false">N24*INDEX(Assumptions!$C$31:$E$31,$B$3)/(INDEX(Assumptions!$C$56:$E$56,$B$3)*INDEX(Assumptions!$C$57:$E$57,$B$3)*INDEX(Assumptions!$C$58:$E$58,$B$3))</f>
        <v>2.70168855534709</v>
      </c>
      <c r="O48" s="41" t="n">
        <f aca="false">SUM(C48:N48)</f>
        <v>66.9051360225141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1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9.6</v>
      </c>
      <c r="M50" s="6" t="n">
        <f aca="false">M49*INDEX(Assumptions!$C$82:$E$82,$B$3)*$F$3*M22</f>
        <v>9.6</v>
      </c>
      <c r="N50" s="6" t="n">
        <f aca="false">N49*INDEX(Assumptions!$C$82:$E$82,$B$3)*$F$3*N22</f>
        <v>0</v>
      </c>
      <c r="O50" s="41" t="n">
        <f aca="false">SUM(C50:N50)</f>
        <v>19.2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0.8568</v>
      </c>
      <c r="M51" s="16" t="n">
        <f aca="false">M46*0.7*INDEX(Assumptions!$C$73:$E$73,$B$3)</f>
        <v>0.8568</v>
      </c>
      <c r="N51" s="16" t="n">
        <f aca="false">N46*0.7*INDEX(Assumptions!$C$73:$E$73,$B$3)</f>
        <v>0.4284</v>
      </c>
      <c r="O51" s="38" t="n">
        <f aca="false">SUM(C51:N51)</f>
        <v>8.568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61111.1111111111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1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147661.016949153</v>
      </c>
      <c r="M56" s="10" t="n">
        <f aca="false">M34*M53/(1+INDEX(Assumptions!$C$15:$E$15,$B$3)*$H$4)</f>
        <v>144152.542372881</v>
      </c>
      <c r="N56" s="10" t="n">
        <f aca="false">N34*N53/(1+INDEX(Assumptions!$C$15:$E$15,$B$3)*$H$4)</f>
        <v>97627.1186440678</v>
      </c>
      <c r="O56" s="40" t="n">
        <f aca="false">SUM(C56:N56)</f>
        <v>1871754.45881501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101694.915254237</v>
      </c>
      <c r="M57" s="10" t="n">
        <f aca="false">M35*M53/(1+INDEX(Assumptions!$C$15:$E$15,$B$3)*$H$4)</f>
        <v>91525.4237288136</v>
      </c>
      <c r="N57" s="10" t="n">
        <f aca="false">N35*N53/(1+INDEX(Assumptions!$C$15:$E$15,$B$3)*$H$4)</f>
        <v>0</v>
      </c>
      <c r="O57" s="40" t="n">
        <f aca="false">SUM(C57:N57)</f>
        <v>193220.338983051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11871.9457627119</v>
      </c>
      <c r="N58" s="10" t="n">
        <f aca="false">N37*MAX(0,N53-INDEX(Assumptions!$C$18:$E$18,$B$3)*$H$3)/(1+INDEX(Assumptions!$C$15:$E$15,$B$3)*$H$4)</f>
        <v>17148.813559322</v>
      </c>
      <c r="O58" s="40" t="n">
        <f aca="false">SUM(C58:N58)</f>
        <v>121541.298902581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78555.6610169492</v>
      </c>
      <c r="M59" s="10" t="n">
        <f aca="false">M36*INDEX(Assumptions!$C$18:$E$18,$B$3)*$H$3/(1+INDEX(Assumptions!$C$15:$E$15,$B$3)*$H$4)</f>
        <v>85210.1694915254</v>
      </c>
      <c r="N59" s="10" t="n">
        <f aca="false">N36*INDEX(Assumptions!$C$18:$E$18,$B$3)*$H$3/(1+INDEX(Assumptions!$C$15:$E$15,$B$3)*$H$4)</f>
        <v>38953.2203389831</v>
      </c>
      <c r="O59" s="40" t="n">
        <f aca="false">SUM(C59:N59)</f>
        <v>859878.160357141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4120.96410850002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4470.05404331097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2043.45327694216</v>
      </c>
      <c r="O60" s="40" t="n">
        <f aca="false">SUM(C60:N60)</f>
        <v>50604.4707406708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103728.813559322</v>
      </c>
      <c r="M61" s="10" t="n">
        <f aca="false">M46*INDEX(Assumptions!$C$21:$E$21,$B$3)*$H$3/(1+INDEX(Assumptions!$C$15:$E$15,$B$3)*$H$4)</f>
        <v>103728.813559322</v>
      </c>
      <c r="N61" s="10" t="n">
        <f aca="false">N46*INDEX(Assumptions!$C$21:$E$21,$B$3)*$H$3/(1+INDEX(Assumptions!$C$15:$E$15,$B$3)*$H$4)</f>
        <v>51864.406779661</v>
      </c>
      <c r="O61" s="40" t="n">
        <f aca="false">SUM(C61:N61)</f>
        <v>1037288.13559322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30502.3728813559</v>
      </c>
      <c r="M62" s="10" t="n">
        <f aca="false">M47*INDEX(Assumptions!$C$22:$E$22,$B$3)*$H$3/(1+INDEX(Assumptions!$C$15:$E$15,$B$3)*$H$4)</f>
        <v>41940.7627118644</v>
      </c>
      <c r="N62" s="10" t="n">
        <f aca="false">N47*INDEX(Assumptions!$C$22:$E$22,$B$3)*$H$3/(1+INDEX(Assumptions!$C$15:$E$15,$B$3)*$H$4)</f>
        <v>35586.1016949153</v>
      </c>
      <c r="O62" s="40" t="n">
        <f aca="false">SUM(C62:N62)</f>
        <v>576155.93220339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12195.2542372881</v>
      </c>
      <c r="M63" s="10" t="n">
        <f aca="false">M50*INDEX(Assumptions!$C$83:$E$83,$B$3)/(1+INDEX(Assumptions!$C$15:$E$15,$B$3)*$H$4)</f>
        <v>12195.2542372881</v>
      </c>
      <c r="N63" s="10" t="n">
        <f aca="false">N50*INDEX(Assumptions!$C$83:$E$83,$B$3)/(1+INDEX(Assumptions!$C$15:$E$15,$B$3)*$H$4)</f>
        <v>0</v>
      </c>
      <c r="O63" s="40" t="n">
        <f aca="false">SUM(C63:N63)</f>
        <v>24390.5084745763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7260.29084745763</v>
      </c>
      <c r="M64" s="10" t="n">
        <f aca="false">M51*INDEX(Assumptions!$C$23:$E$23,$B$3)/(1+INDEX(Assumptions!$C$15:$E$15,$B$3)*$H$4)</f>
        <v>7260.29084745763</v>
      </c>
      <c r="N64" s="10" t="n">
        <f aca="false">N51*INDEX(Assumptions!$C$23:$E$23,$B$3)/(1+INDEX(Assumptions!$C$15:$E$15,$B$3)*$H$4)</f>
        <v>3630.14542372881</v>
      </c>
      <c r="O64" s="40" t="n">
        <f aca="false">SUM(C64:N64)</f>
        <v>72602.9084745763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4237.056</v>
      </c>
      <c r="M65" s="10" t="n">
        <f aca="false">(M34+M35)*(1-M54)*INDEX(Assumptions!$C$90:$E$90,$B$3)</f>
        <v>0</v>
      </c>
      <c r="N65" s="10" t="n">
        <f aca="false">(N34+N35)*(1-N54)*INDEX(Assumptions!$C$90:$E$90,$B$3)</f>
        <v>1658.88</v>
      </c>
      <c r="O65" s="40" t="n">
        <f aca="false">SUM(C65:N65)</f>
        <v>5895.936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509823.70391685</v>
      </c>
      <c r="M66" s="40" t="n">
        <f aca="false">SUM(M56:M65)</f>
        <v>502355.256755175</v>
      </c>
      <c r="N66" s="40" t="n">
        <f aca="false">SUM(N56:N65)</f>
        <v>248512.13971762</v>
      </c>
      <c r="O66" s="11" t="n">
        <f aca="false">SUM(C66:N66)</f>
        <v>4813332.14854422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347778.952282926</v>
      </c>
      <c r="M67" s="10" t="n">
        <f aca="false">M56+M57+M58+M59</f>
        <v>332760.081355932</v>
      </c>
      <c r="N67" s="10" t="n">
        <f aca="false">N56+N57+N58+N59</f>
        <v>153729.152542373</v>
      </c>
      <c r="O67" s="40" t="n">
        <f aca="false">SUM(C67:N67)</f>
        <v>3046394.25705779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38036.6772912745</v>
      </c>
      <c r="M69" s="10" t="n">
        <f aca="false">((M34+M37)*INDEX(Assumptions!$C$91:$E$91,$B$3)+M35*(INDEX(Assumptions!$C$93:$E$93,$B$3)+IF($Q$3=1,INDEX(Assumptions!$C$282:$E$282,$B$3),0)))*$N$3</f>
        <v>38291.76</v>
      </c>
      <c r="N69" s="10" t="n">
        <f aca="false">((N34+N37)*INDEX(Assumptions!$C$91:$E$91,$B$3)+N35*(INDEX(Assumptions!$C$93:$E$93,$B$3)+IF($Q$3=1,INDEX(Assumptions!$C$282:$E$282,$B$3),0)))*$N$3</f>
        <v>14904</v>
      </c>
      <c r="O69" s="40" t="n">
        <f aca="false">SUM(C69:N69)</f>
        <v>291736.732987026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55620</v>
      </c>
      <c r="N70" s="10" t="n">
        <f aca="false">(N34+N35)*N54*INDEX(Assumptions!$C$14:$E$14,$B$3)*$N$3</f>
        <v>0</v>
      </c>
      <c r="O70" s="40" t="n">
        <f aca="false">SUM(C70:N70)</f>
        <v>405446.052280343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4646.4</v>
      </c>
      <c r="M71" s="10" t="n">
        <f aca="false">M36*INDEX(Assumptions!$C$92:$E$92,$B$3)*$N$3</f>
        <v>5040</v>
      </c>
      <c r="N71" s="10" t="n">
        <f aca="false">N36*INDEX(Assumptions!$C$92:$E$92,$B$3)*$N$3</f>
        <v>2304</v>
      </c>
      <c r="O71" s="40" t="n">
        <f aca="false">SUM(C71:N71)</f>
        <v>50859.9613644826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16482.1013133208</v>
      </c>
      <c r="M72" s="10" t="n">
        <f aca="false">(M46*INDEX(Assumptions!$C$94:$E$94,$B$3)+M47*INDEX(Assumptions!$C$95:$E$95,$B$3)+M48*INDEX(Assumptions!$C$96:$E$96,$B$3))*$N$3</f>
        <v>17677.4859287054</v>
      </c>
      <c r="N72" s="10" t="n">
        <f aca="false">(N46*INDEX(Assumptions!$C$94:$E$94,$B$3)+N47*INDEX(Assumptions!$C$95:$E$95,$B$3)+N48*INDEX(Assumptions!$C$96:$E$96,$B$3))*$N$3</f>
        <v>10155.4221388368</v>
      </c>
      <c r="O72" s="40" t="n">
        <f aca="false">SUM(C72:N72)</f>
        <v>193526.284005629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0</v>
      </c>
      <c r="O73" s="40" t="n">
        <f aca="false">SUM(C73:N73)</f>
        <v>52000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1713.6</v>
      </c>
      <c r="M74" s="10" t="n">
        <f aca="false">M51*INDEX(Assumptions!$C$97:$E$97,$B$3)</f>
        <v>1713.6</v>
      </c>
      <c r="N74" s="10" t="n">
        <f aca="false">N51*INDEX(Assumptions!$C$97:$E$97,$B$3)</f>
        <v>856.8</v>
      </c>
      <c r="O74" s="40" t="n">
        <f aca="false">SUM(C74:N74)</f>
        <v>17136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17591.3003770801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16967.4897394221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8235.00949733584</v>
      </c>
      <c r="O75" s="40" t="n">
        <f aca="false">SUM(C75:N75)</f>
        <v>158746.196102512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4042.08</v>
      </c>
      <c r="M76" s="10" t="n">
        <f aca="false">M38*INDEX(Assumptions!$C$240:$E$240,$B$3)*INDEX(Assumptions!$C$69:$E$69,$B$3)</f>
        <v>4293</v>
      </c>
      <c r="N76" s="10" t="n">
        <f aca="false">N38*INDEX(Assumptions!$C$240:$E$240,$B$3)*INDEX(Assumptions!$C$69:$E$69,$B$3)</f>
        <v>1728</v>
      </c>
      <c r="O76" s="40" t="n">
        <f aca="false">SUM(C76:N76)</f>
        <v>39215.2510233619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108512.158981675</v>
      </c>
      <c r="M77" s="40" t="n">
        <f aca="false">SUM(M69:M76)</f>
        <v>165603.335668128</v>
      </c>
      <c r="N77" s="40" t="n">
        <f aca="false">SUM(N69:N76)</f>
        <v>38183.2316361726</v>
      </c>
      <c r="O77" s="11" t="n">
        <f aca="false">SUM(C77:N77)</f>
        <v>1208666.47776335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401311.544935174</v>
      </c>
      <c r="M78" s="40" t="n">
        <f aca="false">M66-M77</f>
        <v>336751.921087048</v>
      </c>
      <c r="N78" s="40" t="n">
        <f aca="false">N66-N77</f>
        <v>210328.908081448</v>
      </c>
      <c r="O78" s="11" t="n">
        <f aca="false">SUM(C78:N78)</f>
        <v>3604665.67078087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0.787157485719076</v>
      </c>
      <c r="M79" s="8" t="n">
        <f aca="false">IFERROR(M78/M66,0)</f>
        <v>0.670346167495496</v>
      </c>
      <c r="N79" s="8" t="n">
        <f aca="false">IFERROR(N78/N66,0)</f>
        <v>0.846352650298857</v>
      </c>
      <c r="O79" s="13" t="n">
        <f aca="false">IFERROR(O78/O66,0)</f>
        <v>0.748891944195268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2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1.13333333333333</v>
      </c>
      <c r="M82" s="6" t="n">
        <f aca="false">M81*(1-M12)</f>
        <v>1.16666666666667</v>
      </c>
      <c r="N82" s="6" t="n">
        <f aca="false">N81*(1-N12)</f>
        <v>1.2</v>
      </c>
      <c r="O82" s="41" t="n">
        <f aca="false">MAX(C82:N82)</f>
        <v>1.2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116000</v>
      </c>
      <c r="M86" s="10" t="n">
        <f aca="false">M83*INDEX(Assumptions!$C$98:$E$98,$B$3)*$W$4+M84*INDEX(Assumptions!$C$99:$E$99,$B$3)+M85*INDEX(Assumptions!$C$100:$E$100,$B$3)</f>
        <v>116000</v>
      </c>
      <c r="N86" s="10" t="n">
        <f aca="false">N83*INDEX(Assumptions!$C$98:$E$98,$B$3)*$W$4+N84*INDEX(Assumptions!$C$99:$E$99,$B$3)+N85*INDEX(Assumptions!$C$100:$E$100,$B$3)</f>
        <v>48000</v>
      </c>
      <c r="O86" s="40" t="n">
        <f aca="false">SUM(C86:N86)</f>
        <v>922000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320000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12000</v>
      </c>
      <c r="O88" s="40" t="n">
        <f aca="false">SUM(C88:N88)</f>
        <v>897000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36000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276500</v>
      </c>
      <c r="M92" s="40" t="n">
        <f aca="false">SUM(M86:M91)</f>
        <v>276500</v>
      </c>
      <c r="N92" s="40" t="n">
        <f aca="false">SUM(N86:N91)</f>
        <v>95000</v>
      </c>
      <c r="O92" s="11" t="n">
        <f aca="false">SUM(C92:N92)</f>
        <v>2355000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35000</v>
      </c>
      <c r="O94" s="40" t="n">
        <f aca="false">SUM(C94:N94)</f>
        <v>558000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18000</v>
      </c>
      <c r="O95" s="40" t="n">
        <f aca="false">SUM(C95:N95)</f>
        <v>179200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221000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40000</v>
      </c>
      <c r="O97" s="40" t="n">
        <f aca="false">SUM(C97:N97)</f>
        <v>640000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3333</v>
      </c>
      <c r="O98" s="40" t="n">
        <f aca="false">SUM(C98:N98)</f>
        <v>177496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12000</v>
      </c>
      <c r="O99" s="40" t="n">
        <f aca="false">SUM(C99:N99)</f>
        <v>177000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493500</v>
      </c>
      <c r="O101" s="40" t="n">
        <f aca="false">SUM(C101:N101)</f>
        <v>493500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529933</v>
      </c>
      <c r="M102" s="40" t="n">
        <f aca="false">M92+SUM(M94:M101)</f>
        <v>549933</v>
      </c>
      <c r="N102" s="40" t="n">
        <f aca="false">N92+SUM(N94:N101)</f>
        <v>704833</v>
      </c>
      <c r="O102" s="11" t="n">
        <f aca="false">SUM(C102:N102)</f>
        <v>5071196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-128621.455064826</v>
      </c>
      <c r="M103" s="40" t="n">
        <f aca="false">M78-M102</f>
        <v>-213181.078912952</v>
      </c>
      <c r="N103" s="40" t="n">
        <f aca="false">N78-N102</f>
        <v>-494504.091918552</v>
      </c>
      <c r="O103" s="11" t="n">
        <f aca="false">SUM(C103:N103)</f>
        <v>-1466530.32921913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-0.252286141418414</v>
      </c>
      <c r="M104" s="8" t="n">
        <f aca="false">IFERROR(M103/M66,0)</f>
        <v>-0.424363189289461</v>
      </c>
      <c r="N104" s="8" t="n">
        <f aca="false">IFERROR(N103/N66,0)</f>
        <v>-1.98985889574831</v>
      </c>
      <c r="O104" s="8" t="n">
        <f aca="false">IFERROR(O103/O66,0)</f>
        <v>-0.304680891316151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-203621.455064826</v>
      </c>
      <c r="M105" s="10" t="n">
        <f aca="false">M103-INDEX(Assumptions!$C$204:$E$204,$B$3)</f>
        <v>-288181.078912952</v>
      </c>
      <c r="N105" s="10" t="n">
        <f aca="false">N103-INDEX(Assumptions!$C$204:$E$204,$B$3)</f>
        <v>-569504.091918553</v>
      </c>
      <c r="O105" s="40" t="n">
        <f aca="false">SUM(C105:N105)</f>
        <v>-2366530.32921913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-7780.93342379958</v>
      </c>
      <c r="M113" s="10" t="n">
        <f aca="false">((M67+IF(INDEX(Assumptions!$C$87:$E$87,$B$3)&gt;=2,L67,0)+IF(INDEX(Assumptions!$C$87:$E$87,$B$3)&gt;=3,K67,0))/INDEX(Assumptions!$C$87:$E$87,$B$3))-M67</f>
        <v>7509.43546349678</v>
      </c>
      <c r="N113" s="10" t="n">
        <f aca="false">((N67+IF(INDEX(Assumptions!$C$87:$E$87,$B$3)&gt;=2,M67,0)+IF(INDEX(Assumptions!$C$87:$E$87,$B$3)&gt;=3,L67,0))/INDEX(Assumptions!$C$87:$E$87,$B$3))-N67</f>
        <v>89515.4644067797</v>
      </c>
      <c r="O113" s="40" t="n">
        <f aca="false">SUM(C113:N113)</f>
        <v>-76864.5762711865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-136402.388488625</v>
      </c>
      <c r="M114" s="40" t="n">
        <f aca="false">M103+M113-M112</f>
        <v>-205671.643449455</v>
      </c>
      <c r="N114" s="40" t="n">
        <f aca="false">N103+N113-N112</f>
        <v>-404988.627511773</v>
      </c>
      <c r="O114" s="11" t="n">
        <f aca="false">SUM(C114:N114)</f>
        <v>-3265394.90549032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-2654734.63452909</v>
      </c>
      <c r="M115" s="40" t="n">
        <f aca="false">L115+M114</f>
        <v>-2860406.27797855</v>
      </c>
      <c r="N115" s="40" t="n">
        <f aca="false">M115+N114</f>
        <v>-3265394.90549032</v>
      </c>
      <c r="O115" s="11" t="n">
        <f aca="false">N115</f>
        <v>-3265394.90549032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2654734.63452909</v>
      </c>
      <c r="M116" s="40" t="n">
        <f aca="false">-MIN(0,MIN($C$115:M115))</f>
        <v>2860406.27797855</v>
      </c>
      <c r="N116" s="40" t="n">
        <f aca="false">-MIN(0,MIN($C$115:N115))</f>
        <v>3265394.90549032</v>
      </c>
      <c r="O116" s="11" t="n">
        <f aca="false">MAX(C116:N116)</f>
        <v>3265394.90549032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6.03780214361703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4.88731723191046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6.03780214361703</v>
      </c>
      <c r="D134" s="8" t="n">
        <f aca="false">C134/INDEX(Assumptions!$C$179:$E$179,$B$3)</f>
        <v>0.503150178634753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4.88731723191046</v>
      </c>
      <c r="D135" s="8" t="n">
        <f aca="false">C135/INDEX(Assumptions!$C$179:$E$179,$B$3)</f>
        <v>0.407276435992538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8.25959665629476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6.16619203191046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8.25959665629476</v>
      </c>
      <c r="D147" s="8" t="n">
        <f aca="false">C147/INDEX(Assumptions!$C$179:$E$179,$B$3)</f>
        <v>0.688299721357896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6.16619203191046</v>
      </c>
      <c r="D148" s="8" t="n">
        <f aca="false">C148/INDEX(Assumptions!$C$179:$E$179,$B$3)</f>
        <v>0.513849335992538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4813332.14854422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-1466530.32921913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-0.304680891316151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-2366530.32921913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3265394.90549032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-265394.905490321</v>
      </c>
    </row>
    <row r="160" customFormat="false" ht="15" hidden="false" customHeight="false" outlineLevel="0" collapsed="false">
      <c r="A160" s="3" t="s">
        <v>51</v>
      </c>
      <c r="B160" s="7" t="n">
        <f aca="false">O38</f>
        <v>65.3587517056032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6.4443127842672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122.4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0.645370310760621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44720.4935911017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704833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81533.8865390747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13.9376617610712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167.251941132854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14926.2654962606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0.264194899283813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0.651950704454075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6.12445033638294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-836306.625896331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-3265394.90549032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73</v>
      </c>
      <c r="B182" s="11" t="n">
        <f aca="false">O86</f>
        <v>922000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2461711.25102336</v>
      </c>
    </row>
    <row r="187" customFormat="false" ht="15" hidden="false" customHeight="false" outlineLevel="0" collapsed="false">
      <c r="A187" s="3" t="s">
        <v>78</v>
      </c>
      <c r="B187" s="11" t="n">
        <f aca="false">O97</f>
        <v>640000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12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493500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312000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1160000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-170901.266988889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0.475948024180607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4.88731723191046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3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0.732395744423904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18.7588784394963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3.6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948392.37410367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1575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1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6</v>
      </c>
      <c r="R4" s="2" t="s">
        <v>1403</v>
      </c>
      <c r="S4" s="37" t="n">
        <v>2</v>
      </c>
      <c r="T4" s="2" t="s">
        <v>1404</v>
      </c>
      <c r="U4" s="37" t="n">
        <v>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36.35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41.4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77.75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80000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100000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40000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40000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40000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40000</v>
      </c>
      <c r="O18" s="40" t="n">
        <f aca="false">SUM(C18:N18)</f>
        <v>580000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2.4</v>
      </c>
      <c r="L21" s="16" t="n">
        <f aca="false">L18*INDEX(Assumptions!$C$119:$E$119,$B$3)/L19</f>
        <v>2.4</v>
      </c>
      <c r="M21" s="16" t="n">
        <f aca="false">M18*INDEX(Assumptions!$C$119:$E$119,$B$3)/M19</f>
        <v>2.4</v>
      </c>
      <c r="N21" s="16" t="n">
        <f aca="false">N18*INDEX(Assumptions!$C$119:$E$119,$B$3)/N19</f>
        <v>2.4</v>
      </c>
      <c r="O21" s="38" t="n">
        <f aca="false">SUM(C21:N21)</f>
        <v>34.8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0.6</v>
      </c>
      <c r="J22" s="16" t="n">
        <f aca="false">IF(AND($U$3=1,8&gt;=$Q$4+1),INDEX(Assumptions!$C$176:$E$176,$B$3),1)</f>
        <v>0.6</v>
      </c>
      <c r="K22" s="16" t="n">
        <f aca="false">IF(AND($U$3=1,9&gt;=$Q$4+1),INDEX(Assumptions!$C$176:$E$176,$B$3),1)</f>
        <v>0.6</v>
      </c>
      <c r="L22" s="16" t="n">
        <f aca="false">IF(AND($U$3=1,10&gt;=$Q$4+1),INDEX(Assumptions!$C$176:$E$176,$B$3),1)</f>
        <v>0.6</v>
      </c>
      <c r="M22" s="16" t="n">
        <f aca="false">IF(AND($U$3=1,11&gt;=$Q$4+1),INDEX(Assumptions!$C$176:$E$176,$B$3),1)</f>
        <v>0.6</v>
      </c>
      <c r="N22" s="16" t="n">
        <f aca="false">IF(AND($U$3=1,12&gt;=$Q$4+1),INDEX(Assumptions!$C$176:$E$176,$B$3),1)</f>
        <v>0.6</v>
      </c>
      <c r="O22" s="38" t="n">
        <f aca="false">AVERAGE(C22:N22)</f>
        <v>0.8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6.864</v>
      </c>
      <c r="J24" s="38" t="n">
        <f aca="false">J10*(J14*$F$3+(J15-J14)*$F$3*J20+MIN(J16,J21*J20))*J22*J23</f>
        <v>8.1</v>
      </c>
      <c r="K24" s="38" t="n">
        <f aca="false">K10*(K14*$F$3+(K15-K14)*$F$3*K20+MIN(K16,K21*K20))*K22*K23</f>
        <v>3.6</v>
      </c>
      <c r="L24" s="38" t="n">
        <f aca="false">L10*(L14*$F$3+(L15-L14)*$F$3*L20+MIN(L16,L21*L20))*L22*L23</f>
        <v>3.168</v>
      </c>
      <c r="M24" s="38" t="n">
        <f aca="false">M10*(M14*$F$3+(M15-M14)*$F$3*M20+MIN(M16,M21*M20))*M22*M23</f>
        <v>3.024</v>
      </c>
      <c r="N24" s="38" t="n">
        <f aca="false">N10*(N14*$F$3+(N15-N14)*$F$3*N20+MIN(N16,N21*N20))*N22*N23</f>
        <v>2.88</v>
      </c>
      <c r="O24" s="17" t="n">
        <f aca="false">SUM(C24:N24)</f>
        <v>54.328875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18</v>
      </c>
      <c r="L27" s="6" t="n">
        <f aca="false">L25*L26*INDEX(Assumptions!$C$220:$E$220,$B$3)</f>
        <v>18</v>
      </c>
      <c r="M27" s="6" t="n">
        <f aca="false">M25*M26*INDEX(Assumptions!$C$220:$E$220,$B$3)</f>
        <v>18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10.1772</v>
      </c>
      <c r="K31" s="6" t="n">
        <f aca="false">J34+I34+J37+I37+1.25*J35</f>
        <v>10.68408</v>
      </c>
      <c r="L31" s="6" t="n">
        <f aca="false">K34+J34+K37+J37+1.25*K35</f>
        <v>8.81568</v>
      </c>
      <c r="M31" s="6" t="n">
        <f aca="false">L34+K34+L37+K37+1.25*L35</f>
        <v>5.4648</v>
      </c>
      <c r="N31" s="6" t="n">
        <f aca="false">M34+L34+M37+L37+1.25*M35</f>
        <v>4.52736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7.746</v>
      </c>
      <c r="J32" s="6" t="n">
        <f aca="false">J24*(INDEX(Assumptions!$C$26:$E$26,$B$3)*(1-J28)+(1-INDEX(Assumptions!$C$26:$E$26,$B$3)))+1.25*J30+I36*INDEX(Assumptions!$C$89:$E$89,$B$3)</f>
        <v>8.92368</v>
      </c>
      <c r="K32" s="6" t="n">
        <f aca="false">K24*(INDEX(Assumptions!$C$26:$E$26,$B$3)*(1-K28)+(1-INDEX(Assumptions!$C$26:$E$26,$B$3)))+1.25*K30+J36*INDEX(Assumptions!$C$89:$E$89,$B$3)</f>
        <v>4.572</v>
      </c>
      <c r="L32" s="6" t="n">
        <f aca="false">L24*(INDEX(Assumptions!$C$26:$E$26,$B$3)*(1-L28)+(1-INDEX(Assumptions!$C$26:$E$26,$B$3)))+1.25*L30+K36*INDEX(Assumptions!$C$89:$E$89,$B$3)</f>
        <v>3.6</v>
      </c>
      <c r="M32" s="6" t="n">
        <f aca="false">M24*(INDEX(Assumptions!$C$26:$E$26,$B$3)*(1-M28)+(1-INDEX(Assumptions!$C$26:$E$26,$B$3)))+1.25*M30+L36*INDEX(Assumptions!$C$89:$E$89,$B$3)</f>
        <v>3.40416</v>
      </c>
      <c r="N32" s="6" t="n">
        <f aca="false">N24*(INDEX(Assumptions!$C$26:$E$26,$B$3)*(1-N28)+(1-INDEX(Assumptions!$C$26:$E$26,$B$3)))+1.25*N30+M36*INDEX(Assumptions!$C$89:$E$89,$B$3)</f>
        <v>3.24288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4.1184</v>
      </c>
      <c r="J34" s="38" t="n">
        <f aca="false">J24*INDEX(Assumptions!$C$26:$E$26,$B$3)*(1-J28)*J33</f>
        <v>4.86</v>
      </c>
      <c r="K34" s="38" t="n">
        <f aca="false">K24*INDEX(Assumptions!$C$26:$E$26,$B$3)*(1-K28)*K33</f>
        <v>2.16</v>
      </c>
      <c r="L34" s="38" t="n">
        <f aca="false">L24*INDEX(Assumptions!$C$26:$E$26,$B$3)*(1-L28)*L33</f>
        <v>1.9008</v>
      </c>
      <c r="M34" s="38" t="n">
        <f aca="false">M24*INDEX(Assumptions!$C$26:$E$26,$B$3)*(1-M28)*M33</f>
        <v>1.8144</v>
      </c>
      <c r="N34" s="38" t="n">
        <f aca="false">N24*INDEX(Assumptions!$C$26:$E$26,$B$3)*(1-N28)*N33</f>
        <v>1.728</v>
      </c>
      <c r="O34" s="17" t="n">
        <f aca="false">SUM(C34:N34)</f>
        <v>32.597325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2.7456</v>
      </c>
      <c r="J36" s="16" t="n">
        <f aca="false">J24*(1-INDEX(Assumptions!$C$26:$E$26,$B$3))*J33</f>
        <v>3.24</v>
      </c>
      <c r="K36" s="16" t="n">
        <f aca="false">K24*(1-INDEX(Assumptions!$C$26:$E$26,$B$3))*K33</f>
        <v>1.44</v>
      </c>
      <c r="L36" s="16" t="n">
        <f aca="false">L24*(1-INDEX(Assumptions!$C$26:$E$26,$B$3))*L33</f>
        <v>1.2672</v>
      </c>
      <c r="M36" s="16" t="n">
        <f aca="false">M24*(1-INDEX(Assumptions!$C$26:$E$26,$B$3))*M33</f>
        <v>1.2096</v>
      </c>
      <c r="N36" s="16" t="n">
        <f aca="false">N24*(1-INDEX(Assumptions!$C$26:$E$26,$B$3))*N33</f>
        <v>1.152</v>
      </c>
      <c r="O36" s="38" t="n">
        <f aca="false">SUM(C36:N36)</f>
        <v>21.73155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0.882</v>
      </c>
      <c r="J37" s="16" t="n">
        <f aca="false">I36*INDEX(Assumptions!$C$89:$E$89,$B$3)*J33</f>
        <v>0.82368</v>
      </c>
      <c r="K37" s="16" t="n">
        <f aca="false">J36*INDEX(Assumptions!$C$89:$E$89,$B$3)*K33</f>
        <v>0.972</v>
      </c>
      <c r="L37" s="16" t="n">
        <f aca="false">K36*INDEX(Assumptions!$C$89:$E$89,$B$3)*L33</f>
        <v>0.432</v>
      </c>
      <c r="M37" s="16" t="n">
        <f aca="false">L36*INDEX(Assumptions!$C$89:$E$89,$B$3)*M33</f>
        <v>0.38016</v>
      </c>
      <c r="N37" s="16" t="n">
        <f aca="false">M36*INDEX(Assumptions!$C$89:$E$89,$B$3)*N33</f>
        <v>0.36288</v>
      </c>
      <c r="O37" s="38" t="n">
        <f aca="false">SUM(C37:N37)</f>
        <v>6.173865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6.864</v>
      </c>
      <c r="J38" s="38" t="n">
        <f aca="false">J34+J35+J36</f>
        <v>8.1</v>
      </c>
      <c r="K38" s="38" t="n">
        <f aca="false">K34+K35+K36</f>
        <v>3.6</v>
      </c>
      <c r="L38" s="38" t="n">
        <f aca="false">L34+L35+L36</f>
        <v>3.168</v>
      </c>
      <c r="M38" s="38" t="n">
        <f aca="false">M34+M35+M36</f>
        <v>3.024</v>
      </c>
      <c r="N38" s="38" t="n">
        <f aca="false">N34+N35+N36</f>
        <v>2.88</v>
      </c>
      <c r="O38" s="17" t="n">
        <f aca="false">SUM(C38:N38)</f>
        <v>54.328875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6.864</v>
      </c>
      <c r="J39" s="16" t="n">
        <f aca="false">IF(8&lt;IF($Q$3=1,$Q$4+1,INDEX(Assumptions!$C$215:$E$215,$D$3)),J24,J38)</f>
        <v>8.1</v>
      </c>
      <c r="K39" s="16" t="n">
        <f aca="false">IF(9&lt;IF($Q$3=1,$Q$4+1,INDEX(Assumptions!$C$215:$E$215,$D$3)),K24,K38)</f>
        <v>3.6</v>
      </c>
      <c r="L39" s="16" t="n">
        <f aca="false">IF(10&lt;IF($Q$3=1,$Q$4+1,INDEX(Assumptions!$C$215:$E$215,$D$3)),L24,L38)</f>
        <v>3.168</v>
      </c>
      <c r="M39" s="16" t="n">
        <f aca="false">IF(11&lt;IF($Q$3=1,$Q$4+1,INDEX(Assumptions!$C$215:$E$215,$D$3)),M24,M38)</f>
        <v>3.024</v>
      </c>
      <c r="N39" s="16" t="n">
        <f aca="false">IF(12&lt;IF($Q$3=1,$Q$4+1,INDEX(Assumptions!$C$215:$E$215,$D$3)),N24,N38)</f>
        <v>2.88</v>
      </c>
      <c r="O39" s="38" t="n">
        <f aca="false">SUM(C39:N39)</f>
        <v>54.328875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1.716</v>
      </c>
      <c r="J40" s="16" t="n">
        <f aca="false">J38*INDEX(Assumptions!$C$74:$E$74,$B$3)</f>
        <v>2.025</v>
      </c>
      <c r="K40" s="16" t="n">
        <f aca="false">K38*INDEX(Assumptions!$C$74:$E$74,$B$3)</f>
        <v>0.9</v>
      </c>
      <c r="L40" s="16" t="n">
        <f aca="false">L38*INDEX(Assumptions!$C$74:$E$74,$B$3)</f>
        <v>0.792</v>
      </c>
      <c r="M40" s="16" t="n">
        <f aca="false">M38*INDEX(Assumptions!$C$74:$E$74,$B$3)</f>
        <v>0.756</v>
      </c>
      <c r="N40" s="16" t="n">
        <f aca="false">N38*INDEX(Assumptions!$C$74:$E$74,$B$3)</f>
        <v>0.72</v>
      </c>
      <c r="O40" s="38" t="n">
        <f aca="false">SUM(C40:N40)</f>
        <v>13.58221875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3.744</v>
      </c>
      <c r="J41" s="16" t="n">
        <f aca="false">J10*MIN(J16,J21*J20)*J22*J23*J33</f>
        <v>4.86</v>
      </c>
      <c r="K41" s="16" t="n">
        <f aca="false">K10*MIN(K16,K21*K20)*K22*K23*K33</f>
        <v>1.8</v>
      </c>
      <c r="L41" s="16" t="n">
        <f aca="false">L10*MIN(L16,L21*L20)*L22*L23*L33</f>
        <v>1.584</v>
      </c>
      <c r="M41" s="16" t="n">
        <f aca="false">M10*MIN(M16,M21*M20)*M22*M23*M33</f>
        <v>1.512</v>
      </c>
      <c r="N41" s="16" t="n">
        <f aca="false">N10*MIN(N16,N21*N20)*N22*N23*N33</f>
        <v>1.44</v>
      </c>
      <c r="O41" s="38" t="n">
        <f aca="false">SUM(C41:N41)</f>
        <v>26.03225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17.3568</v>
      </c>
      <c r="J42" s="6" t="n">
        <f aca="false">J31+J34+J37+J36+1.25*J35</f>
        <v>19.10088</v>
      </c>
      <c r="K42" s="6" t="n">
        <f aca="false">K31+K34+K37+K36+1.25*K35</f>
        <v>15.25608</v>
      </c>
      <c r="L42" s="6" t="n">
        <f aca="false">L31+L34+L37+L36+1.25*L35</f>
        <v>12.41568</v>
      </c>
      <c r="M42" s="6" t="n">
        <f aca="false">M31+M34+M37+M36+1.25*M35</f>
        <v>8.86896</v>
      </c>
      <c r="N42" s="6" t="n">
        <f aca="false">N31+N34+N37+N36+1.25*N35</f>
        <v>7.77024</v>
      </c>
      <c r="O42" s="41" t="n">
        <f aca="false">AVERAGE(C42:N42)</f>
        <v>10.9724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0.57856</v>
      </c>
      <c r="J43" s="39" t="n">
        <f aca="false">J42/(J25*J26)</f>
        <v>0.636696</v>
      </c>
      <c r="K43" s="39" t="n">
        <f aca="false">K42/(K25*K26)</f>
        <v>0.762804</v>
      </c>
      <c r="L43" s="39" t="n">
        <f aca="false">L42/(L25*L26)</f>
        <v>0.620784</v>
      </c>
      <c r="M43" s="39" t="n">
        <f aca="false">M42/(M25*M26)</f>
        <v>0.443448</v>
      </c>
      <c r="N43" s="39" t="n">
        <f aca="false">N42/(N25*N26)</f>
        <v>0.388512</v>
      </c>
      <c r="O43" s="9" t="n">
        <f aca="false">N43</f>
        <v>0.388512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10.2</v>
      </c>
      <c r="J46" s="6" t="n">
        <f aca="false">IF(8&gt;=3,INDEX(Assumptions!$C$234:$E$234,J$9)*INDEX(Assumptions!$C$235:$E$235,$B$3)*MIN(1,(8-2)/6),0)*$F$3*J22*$W$3</f>
        <v>12.24</v>
      </c>
      <c r="K46" s="6" t="n">
        <f aca="false">IF(9&gt;=3,INDEX(Assumptions!$C$234:$E$234,K$9)*INDEX(Assumptions!$C$235:$E$235,$B$3)*MIN(1,(9-2)/6),0)*$F$3*K22*$W$3</f>
        <v>6.12</v>
      </c>
      <c r="L46" s="6" t="n">
        <f aca="false">IF(10&gt;=3,INDEX(Assumptions!$C$234:$E$234,L$9)*INDEX(Assumptions!$C$235:$E$235,$B$3)*MIN(1,(10-2)/6),0)*$F$3*L22*$W$3</f>
        <v>6.12</v>
      </c>
      <c r="M46" s="6" t="n">
        <f aca="false">IF(11&gt;=3,INDEX(Assumptions!$C$234:$E$234,M$9)*INDEX(Assumptions!$C$235:$E$235,$B$3)*MIN(1,(11-2)/6),0)*$F$3*M22*$W$3</f>
        <v>6.12</v>
      </c>
      <c r="N46" s="6" t="n">
        <f aca="false">IF(12&gt;=3,INDEX(Assumptions!$C$234:$E$234,N$9)*INDEX(Assumptions!$C$235:$E$235,$B$3)*MIN(1,(12-2)/6),0)*$F$3*N22*$W$3</f>
        <v>6.12</v>
      </c>
      <c r="O46" s="41" t="n">
        <f aca="false">SUM(C46:N46)</f>
        <v>80.92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6.3</v>
      </c>
      <c r="J47" s="6" t="n">
        <f aca="false">INDEX(Assumptions!$C$236:$E$236,J$9)*J11*MIN(1,8/3)*$F$3*J22</f>
        <v>5.4</v>
      </c>
      <c r="K47" s="6" t="n">
        <f aca="false">INDEX(Assumptions!$C$236:$E$236,K$9)*K11*MIN(1,9/3)*$F$3*K22</f>
        <v>3.6</v>
      </c>
      <c r="L47" s="6" t="n">
        <f aca="false">INDEX(Assumptions!$C$236:$E$236,L$9)*L11*MIN(1,10/3)*$F$3*L22</f>
        <v>4.8</v>
      </c>
      <c r="M47" s="6" t="n">
        <f aca="false">INDEX(Assumptions!$C$236:$E$236,M$9)*M11*MIN(1,11/3)*$F$3*M22</f>
        <v>6.6</v>
      </c>
      <c r="N47" s="6" t="n">
        <f aca="false">INDEX(Assumptions!$C$236:$E$236,N$9)*N11*MIN(1,12/3)*$F$3*N22</f>
        <v>8.4</v>
      </c>
      <c r="O47" s="41" t="n">
        <f aca="false">SUM(C47:N47)</f>
        <v>117.1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6.4390243902439</v>
      </c>
      <c r="J48" s="6" t="n">
        <f aca="false">J24*INDEX(Assumptions!$C$31:$E$31,$B$3)/(INDEX(Assumptions!$C$56:$E$56,$B$3)*INDEX(Assumptions!$C$57:$E$57,$B$3)*INDEX(Assumptions!$C$58:$E$58,$B$3))</f>
        <v>7.5984990619137</v>
      </c>
      <c r="K48" s="6" t="n">
        <f aca="false">K24*INDEX(Assumptions!$C$31:$E$31,$B$3)/(INDEX(Assumptions!$C$56:$E$56,$B$3)*INDEX(Assumptions!$C$57:$E$57,$B$3)*INDEX(Assumptions!$C$58:$E$58,$B$3))</f>
        <v>3.37711069418387</v>
      </c>
      <c r="L48" s="6" t="n">
        <f aca="false">L24*INDEX(Assumptions!$C$31:$E$31,$B$3)/(INDEX(Assumptions!$C$56:$E$56,$B$3)*INDEX(Assumptions!$C$57:$E$57,$B$3)*INDEX(Assumptions!$C$58:$E$58,$B$3))</f>
        <v>2.9718574108818</v>
      </c>
      <c r="M48" s="6" t="n">
        <f aca="false">M24*INDEX(Assumptions!$C$31:$E$31,$B$3)/(INDEX(Assumptions!$C$56:$E$56,$B$3)*INDEX(Assumptions!$C$57:$E$57,$B$3)*INDEX(Assumptions!$C$58:$E$58,$B$3))</f>
        <v>2.83677298311445</v>
      </c>
      <c r="N48" s="6" t="n">
        <f aca="false">N24*INDEX(Assumptions!$C$31:$E$31,$B$3)/(INDEX(Assumptions!$C$56:$E$56,$B$3)*INDEX(Assumptions!$C$57:$E$57,$B$3)*INDEX(Assumptions!$C$58:$E$58,$B$3))</f>
        <v>2.70168855534709</v>
      </c>
      <c r="O48" s="41" t="n">
        <f aca="false">SUM(C48:N48)</f>
        <v>50.9651735459662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0.714</v>
      </c>
      <c r="J51" s="16" t="n">
        <f aca="false">J46*0.7*INDEX(Assumptions!$C$73:$E$73,$B$3)</f>
        <v>0.8568</v>
      </c>
      <c r="K51" s="16" t="n">
        <f aca="false">K46*0.7*INDEX(Assumptions!$C$73:$E$73,$B$3)</f>
        <v>0.4284</v>
      </c>
      <c r="L51" s="16" t="n">
        <f aca="false">L46*0.7*INDEX(Assumptions!$C$73:$E$73,$B$3)</f>
        <v>0.4284</v>
      </c>
      <c r="M51" s="16" t="n">
        <f aca="false">M46*0.7*INDEX(Assumptions!$C$73:$E$73,$B$3)</f>
        <v>0.4284</v>
      </c>
      <c r="N51" s="16" t="n">
        <f aca="false">N46*0.7*INDEX(Assumptions!$C$73:$E$73,$B$3)</f>
        <v>0.4284</v>
      </c>
      <c r="O51" s="38" t="n">
        <f aca="false">SUM(C51:N51)</f>
        <v>5.6644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62777.7777777778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232677.966101695</v>
      </c>
      <c r="J56" s="10" t="n">
        <f aca="false">J34*J53/(1+INDEX(Assumptions!$C$15:$E$15,$B$3)*$H$4)</f>
        <v>247118.644067797</v>
      </c>
      <c r="K56" s="10" t="n">
        <f aca="false">K34*K53/(1+INDEX(Assumptions!$C$15:$E$15,$B$3)*$H$4)</f>
        <v>122033.898305085</v>
      </c>
      <c r="L56" s="10" t="n">
        <f aca="false">L34*L53/(1+INDEX(Assumptions!$C$15:$E$15,$B$3)*$H$4)</f>
        <v>107389.830508475</v>
      </c>
      <c r="M56" s="10" t="n">
        <f aca="false">M34*M53/(1+INDEX(Assumptions!$C$15:$E$15,$B$3)*$H$4)</f>
        <v>102508.474576271</v>
      </c>
      <c r="N56" s="10" t="n">
        <f aca="false">N34*N53/(1+INDEX(Assumptions!$C$15:$E$15,$B$3)*$H$4)</f>
        <v>97627.1186440678</v>
      </c>
      <c r="O56" s="40" t="n">
        <f aca="false">SUM(C56:N56)</f>
        <v>1723714.83050847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20006.9491525424</v>
      </c>
      <c r="J58" s="10" t="n">
        <f aca="false">J37*MAX(0,J53-INDEX(Assumptions!$C$18:$E$18,$B$3)*$H$3)/(1+INDEX(Assumptions!$C$15:$E$15,$B$3)*$H$4)</f>
        <v>14030.4813559322</v>
      </c>
      <c r="K58" s="10" t="n">
        <f aca="false">K37*MAX(0,K53-INDEX(Assumptions!$C$18:$E$18,$B$3)*$H$3)/(1+INDEX(Assumptions!$C$15:$E$15,$B$3)*$H$4)</f>
        <v>22048.4745762712</v>
      </c>
      <c r="L58" s="10" t="n">
        <f aca="false">L37*MAX(0,L53-INDEX(Assumptions!$C$18:$E$18,$B$3)*$H$3)/(1+INDEX(Assumptions!$C$15:$E$15,$B$3)*$H$4)</f>
        <v>9799.32203389831</v>
      </c>
      <c r="M58" s="10" t="n">
        <f aca="false">M37*MAX(0,M53-INDEX(Assumptions!$C$18:$E$18,$B$3)*$H$3)/(1+INDEX(Assumptions!$C$15:$E$15,$B$3)*$H$4)</f>
        <v>8623.40338983051</v>
      </c>
      <c r="N58" s="10" t="n">
        <f aca="false">N37*MAX(0,N53-INDEX(Assumptions!$C$18:$E$18,$B$3)*$H$3)/(1+INDEX(Assumptions!$C$15:$E$15,$B$3)*$H$4)</f>
        <v>8231.43050847458</v>
      </c>
      <c r="O58" s="40" t="n">
        <f aca="false">SUM(C58:N58)</f>
        <v>122278.208898305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92838.5084745763</v>
      </c>
      <c r="J59" s="10" t="n">
        <f aca="false">J36*INDEX(Assumptions!$C$18:$E$18,$B$3)*$H$3/(1+INDEX(Assumptions!$C$15:$E$15,$B$3)*$H$4)</f>
        <v>109555.93220339</v>
      </c>
      <c r="K59" s="10" t="n">
        <f aca="false">K36*INDEX(Assumptions!$C$18:$E$18,$B$3)*$H$3/(1+INDEX(Assumptions!$C$15:$E$15,$B$3)*$H$4)</f>
        <v>48691.5254237288</v>
      </c>
      <c r="L59" s="10" t="n">
        <f aca="false">L36*INDEX(Assumptions!$C$18:$E$18,$B$3)*$H$3/(1+INDEX(Assumptions!$C$15:$E$15,$B$3)*$H$4)</f>
        <v>42848.5423728814</v>
      </c>
      <c r="M59" s="10" t="n">
        <f aca="false">M36*INDEX(Assumptions!$C$18:$E$18,$B$3)*$H$3/(1+INDEX(Assumptions!$C$15:$E$15,$B$3)*$H$4)</f>
        <v>40900.8813559322</v>
      </c>
      <c r="N59" s="10" t="n">
        <f aca="false">N36*INDEX(Assumptions!$C$18:$E$18,$B$3)*$H$3/(1+INDEX(Assumptions!$C$15:$E$15,$B$3)*$H$4)</f>
        <v>38953.2203389831</v>
      </c>
      <c r="O59" s="40" t="n">
        <f aca="false">SUM(C59:N59)</f>
        <v>734821.055084746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4870.23031004547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5747.21234139982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2554.3165961777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2247.79860463637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2145.62594078927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2043.45327694216</v>
      </c>
      <c r="O60" s="40" t="n">
        <f aca="false">SUM(C60:N60)</f>
        <v>38548.0964067121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86440.6779661017</v>
      </c>
      <c r="J61" s="10" t="n">
        <f aca="false">J46*INDEX(Assumptions!$C$21:$E$21,$B$3)*$H$3/(1+INDEX(Assumptions!$C$15:$E$15,$B$3)*$H$4)</f>
        <v>103728.813559322</v>
      </c>
      <c r="K61" s="10" t="n">
        <f aca="false">K46*INDEX(Assumptions!$C$21:$E$21,$B$3)*$H$3/(1+INDEX(Assumptions!$C$15:$E$15,$B$3)*$H$4)</f>
        <v>51864.406779661</v>
      </c>
      <c r="L61" s="10" t="n">
        <f aca="false">L46*INDEX(Assumptions!$C$21:$E$21,$B$3)*$H$3/(1+INDEX(Assumptions!$C$15:$E$15,$B$3)*$H$4)</f>
        <v>51864.406779661</v>
      </c>
      <c r="M61" s="10" t="n">
        <f aca="false">M46*INDEX(Assumptions!$C$21:$E$21,$B$3)*$H$3/(1+INDEX(Assumptions!$C$15:$E$15,$B$3)*$H$4)</f>
        <v>51864.406779661</v>
      </c>
      <c r="N61" s="10" t="n">
        <f aca="false">N46*INDEX(Assumptions!$C$21:$E$21,$B$3)*$H$3/(1+INDEX(Assumptions!$C$15:$E$15,$B$3)*$H$4)</f>
        <v>51864.406779661</v>
      </c>
      <c r="O61" s="40" t="n">
        <f aca="false">SUM(C61:N61)</f>
        <v>685762.711864407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26689.5762711864</v>
      </c>
      <c r="J62" s="10" t="n">
        <f aca="false">J47*INDEX(Assumptions!$C$22:$E$22,$B$3)*$H$3/(1+INDEX(Assumptions!$C$15:$E$15,$B$3)*$H$4)</f>
        <v>22876.779661017</v>
      </c>
      <c r="K62" s="10" t="n">
        <f aca="false">K47*INDEX(Assumptions!$C$22:$E$22,$B$3)*$H$3/(1+INDEX(Assumptions!$C$15:$E$15,$B$3)*$H$4)</f>
        <v>15251.186440678</v>
      </c>
      <c r="L62" s="10" t="n">
        <f aca="false">L47*INDEX(Assumptions!$C$22:$E$22,$B$3)*$H$3/(1+INDEX(Assumptions!$C$15:$E$15,$B$3)*$H$4)</f>
        <v>20334.9152542373</v>
      </c>
      <c r="M62" s="10" t="n">
        <f aca="false">M47*INDEX(Assumptions!$C$22:$E$22,$B$3)*$H$3/(1+INDEX(Assumptions!$C$15:$E$15,$B$3)*$H$4)</f>
        <v>27960.5084745763</v>
      </c>
      <c r="N62" s="10" t="n">
        <f aca="false">N47*INDEX(Assumptions!$C$22:$E$22,$B$3)*$H$3/(1+INDEX(Assumptions!$C$15:$E$15,$B$3)*$H$4)</f>
        <v>35586.1016949153</v>
      </c>
      <c r="O62" s="40" t="n">
        <f aca="false">SUM(C62:N62)</f>
        <v>496087.203389831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6050.24237288136</v>
      </c>
      <c r="J64" s="10" t="n">
        <f aca="false">J51*INDEX(Assumptions!$C$23:$E$23,$B$3)/(1+INDEX(Assumptions!$C$15:$E$15,$B$3)*$H$4)</f>
        <v>7260.29084745763</v>
      </c>
      <c r="K64" s="10" t="n">
        <f aca="false">K51*INDEX(Assumptions!$C$23:$E$23,$B$3)/(1+INDEX(Assumptions!$C$15:$E$15,$B$3)*$H$4)</f>
        <v>3630.14542372881</v>
      </c>
      <c r="L64" s="10" t="n">
        <f aca="false">L51*INDEX(Assumptions!$C$23:$E$23,$B$3)/(1+INDEX(Assumptions!$C$15:$E$15,$B$3)*$H$4)</f>
        <v>3630.14542372881</v>
      </c>
      <c r="M64" s="10" t="n">
        <f aca="false">M51*INDEX(Assumptions!$C$23:$E$23,$B$3)/(1+INDEX(Assumptions!$C$15:$E$15,$B$3)*$H$4)</f>
        <v>3630.14542372881</v>
      </c>
      <c r="N64" s="10" t="n">
        <f aca="false">N51*INDEX(Assumptions!$C$23:$E$23,$B$3)/(1+INDEX(Assumptions!$C$15:$E$15,$B$3)*$H$4)</f>
        <v>3630.14542372881</v>
      </c>
      <c r="O64" s="40" t="n">
        <f aca="false">SUM(C64:N64)</f>
        <v>47998.5894915254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3953.664</v>
      </c>
      <c r="J65" s="10" t="n">
        <f aca="false">(J34+J35)*(1-J54)*INDEX(Assumptions!$C$90:$E$90,$B$3)</f>
        <v>0</v>
      </c>
      <c r="K65" s="10" t="n">
        <f aca="false">(K34+K35)*(1-K54)*INDEX(Assumptions!$C$90:$E$90,$B$3)</f>
        <v>2073.6</v>
      </c>
      <c r="L65" s="10" t="n">
        <f aca="false">(L34+L35)*(1-L54)*INDEX(Assumptions!$C$90:$E$90,$B$3)</f>
        <v>1824.768</v>
      </c>
      <c r="M65" s="10" t="n">
        <f aca="false">(M34+M35)*(1-M54)*INDEX(Assumptions!$C$90:$E$90,$B$3)</f>
        <v>1741.824</v>
      </c>
      <c r="N65" s="10" t="n">
        <f aca="false">(N34+N35)*(1-N54)*INDEX(Assumptions!$C$90:$E$90,$B$3)</f>
        <v>1658.88</v>
      </c>
      <c r="O65" s="40" t="n">
        <f aca="false">SUM(C65:N65)</f>
        <v>11252.736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473527.814649029</v>
      </c>
      <c r="J66" s="40" t="n">
        <f aca="false">SUM(J56:J65)</f>
        <v>510318.154036315</v>
      </c>
      <c r="K66" s="40" t="n">
        <f aca="false">SUM(K56:K65)</f>
        <v>268147.55354533</v>
      </c>
      <c r="L66" s="40" t="n">
        <f aca="false">SUM(L56:L65)</f>
        <v>239939.728977518</v>
      </c>
      <c r="M66" s="40" t="n">
        <f aca="false">SUM(M56:M65)</f>
        <v>239375.269940789</v>
      </c>
      <c r="N66" s="40" t="n">
        <f aca="false">SUM(N56:N65)</f>
        <v>239594.756666773</v>
      </c>
      <c r="O66" s="11" t="n">
        <f aca="false">SUM(C66:N66)</f>
        <v>3860463.431644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345523.423728814</v>
      </c>
      <c r="J67" s="10" t="n">
        <f aca="false">J56+J57+J58+J59</f>
        <v>370705.057627119</v>
      </c>
      <c r="K67" s="10" t="n">
        <f aca="false">K56+K57+K58+K59</f>
        <v>192773.898305085</v>
      </c>
      <c r="L67" s="10" t="n">
        <f aca="false">L56+L57+L58+L59</f>
        <v>160037.694915254</v>
      </c>
      <c r="M67" s="10" t="n">
        <f aca="false">M56+M57+M58+M59</f>
        <v>152032.759322034</v>
      </c>
      <c r="N67" s="10" t="n">
        <f aca="false">N56+N57+N58+N59</f>
        <v>144811.769491525</v>
      </c>
      <c r="O67" s="40" t="n">
        <f aca="false">SUM(C67:N67)</f>
        <v>2580814.09449153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30002.4</v>
      </c>
      <c r="J69" s="10" t="n">
        <f aca="false">((J34+J37)*INDEX(Assumptions!$C$91:$E$91,$B$3)+J35*(INDEX(Assumptions!$C$93:$E$93,$B$3)+IF($Q$3=1,INDEX(Assumptions!$C$282:$E$282,$B$3),0)))*$N$3</f>
        <v>34102.08</v>
      </c>
      <c r="K69" s="10" t="n">
        <f aca="false">((K34+K37)*INDEX(Assumptions!$C$91:$E$91,$B$3)+K35*(INDEX(Assumptions!$C$93:$E$93,$B$3)+IF($Q$3=1,INDEX(Assumptions!$C$282:$E$282,$B$3),0)))*$N$3</f>
        <v>18792</v>
      </c>
      <c r="L69" s="10" t="n">
        <f aca="false">((L34+L37)*INDEX(Assumptions!$C$91:$E$91,$B$3)+L35*(INDEX(Assumptions!$C$93:$E$93,$B$3)+IF($Q$3=1,INDEX(Assumptions!$C$282:$E$282,$B$3),0)))*$N$3</f>
        <v>13996.8</v>
      </c>
      <c r="M69" s="10" t="n">
        <f aca="false">((M34+M37)*INDEX(Assumptions!$C$91:$E$91,$B$3)+M35*(INDEX(Assumptions!$C$93:$E$93,$B$3)+IF($Q$3=1,INDEX(Assumptions!$C$282:$E$282,$B$3),0)))*$N$3</f>
        <v>13167.36</v>
      </c>
      <c r="N69" s="10" t="n">
        <f aca="false">((N34+N37)*INDEX(Assumptions!$C$91:$E$91,$B$3)+N35*(INDEX(Assumptions!$C$93:$E$93,$B$3)+IF($Q$3=1,INDEX(Assumptions!$C$282:$E$282,$B$3),0)))*$N$3</f>
        <v>12545.28</v>
      </c>
      <c r="O69" s="40" t="n">
        <f aca="false">SUM(C69:N69)</f>
        <v>232627.14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58320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250508.7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5491.2</v>
      </c>
      <c r="J71" s="10" t="n">
        <f aca="false">J36*INDEX(Assumptions!$C$92:$E$92,$B$3)*$N$3</f>
        <v>6480</v>
      </c>
      <c r="K71" s="10" t="n">
        <f aca="false">K36*INDEX(Assumptions!$C$92:$E$92,$B$3)*$N$3</f>
        <v>2880</v>
      </c>
      <c r="L71" s="10" t="n">
        <f aca="false">L36*INDEX(Assumptions!$C$92:$E$92,$B$3)*$N$3</f>
        <v>2534.4</v>
      </c>
      <c r="M71" s="10" t="n">
        <f aca="false">M36*INDEX(Assumptions!$C$92:$E$92,$B$3)*$N$3</f>
        <v>2419.2</v>
      </c>
      <c r="N71" s="10" t="n">
        <f aca="false">N36*INDEX(Assumptions!$C$92:$E$92,$B$3)*$N$3</f>
        <v>2304</v>
      </c>
      <c r="O71" s="40" t="n">
        <f aca="false">SUM(C71:N71)</f>
        <v>43463.1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14329.756097561</v>
      </c>
      <c r="J72" s="10" t="n">
        <f aca="false">(J46*INDEX(Assumptions!$C$94:$E$94,$B$3)+J47*INDEX(Assumptions!$C$95:$E$95,$B$3)+J48*INDEX(Assumptions!$C$96:$E$96,$B$3))*$N$3</f>
        <v>16299.6247654784</v>
      </c>
      <c r="K72" s="10" t="n">
        <f aca="false">(K46*INDEX(Assumptions!$C$94:$E$94,$B$3)+K47*INDEX(Assumptions!$C$95:$E$95,$B$3)+K48*INDEX(Assumptions!$C$96:$E$96,$B$3))*$N$3</f>
        <v>8404.27767354597</v>
      </c>
      <c r="L72" s="10" t="n">
        <f aca="false">(L46*INDEX(Assumptions!$C$94:$E$94,$B$3)+L47*INDEX(Assumptions!$C$95:$E$95,$B$3)+L48*INDEX(Assumptions!$C$96:$E$96,$B$3))*$N$3</f>
        <v>8782.96435272045</v>
      </c>
      <c r="M72" s="10" t="n">
        <f aca="false">(M46*INDEX(Assumptions!$C$94:$E$94,$B$3)+M47*INDEX(Assumptions!$C$95:$E$95,$B$3)+M48*INDEX(Assumptions!$C$96:$E$96,$B$3))*$N$3</f>
        <v>9469.19324577861</v>
      </c>
      <c r="N72" s="10" t="n">
        <f aca="false">(N46*INDEX(Assumptions!$C$94:$E$94,$B$3)+N47*INDEX(Assumptions!$C$95:$E$95,$B$3)+N48*INDEX(Assumptions!$C$96:$E$96,$B$3))*$N$3</f>
        <v>10155.4221388368</v>
      </c>
      <c r="O72" s="40" t="n">
        <f aca="false">SUM(C72:N72)</f>
        <v>140501.293386492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1428</v>
      </c>
      <c r="J74" s="10" t="n">
        <f aca="false">J51*INDEX(Assumptions!$C$97:$E$97,$B$3)</f>
        <v>1713.6</v>
      </c>
      <c r="K74" s="10" t="n">
        <f aca="false">K51*INDEX(Assumptions!$C$97:$E$97,$B$3)</f>
        <v>856.8</v>
      </c>
      <c r="L74" s="10" t="n">
        <f aca="false">L51*INDEX(Assumptions!$C$97:$E$97,$B$3)</f>
        <v>856.8</v>
      </c>
      <c r="M74" s="10" t="n">
        <f aca="false">M51*INDEX(Assumptions!$C$97:$E$97,$B$3)</f>
        <v>856.8</v>
      </c>
      <c r="N74" s="10" t="n">
        <f aca="false">N51*INDEX(Assumptions!$C$97:$E$97,$B$3)</f>
        <v>856.8</v>
      </c>
      <c r="O74" s="40" t="n">
        <f aca="false">SUM(C74:N74)</f>
        <v>11328.8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16393.1999257171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17436.237875257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9303.58326366979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8082.53360386942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7944.12965060263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7840.41529733583</v>
      </c>
      <c r="O75" s="40" t="n">
        <f aca="false">SUM(C75:N75)</f>
        <v>129226.693250548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4118.4</v>
      </c>
      <c r="J76" s="10" t="n">
        <f aca="false">J38*INDEX(Assumptions!$C$240:$E$240,$B$3)*INDEX(Assumptions!$C$69:$E$69,$B$3)</f>
        <v>4860</v>
      </c>
      <c r="K76" s="10" t="n">
        <f aca="false">K38*INDEX(Assumptions!$C$240:$E$240,$B$3)*INDEX(Assumptions!$C$69:$E$69,$B$3)</f>
        <v>2160</v>
      </c>
      <c r="L76" s="10" t="n">
        <f aca="false">L38*INDEX(Assumptions!$C$240:$E$240,$B$3)*INDEX(Assumptions!$C$69:$E$69,$B$3)</f>
        <v>1900.8</v>
      </c>
      <c r="M76" s="10" t="n">
        <f aca="false">M38*INDEX(Assumptions!$C$240:$E$240,$B$3)*INDEX(Assumptions!$C$69:$E$69,$B$3)</f>
        <v>1814.4</v>
      </c>
      <c r="N76" s="10" t="n">
        <f aca="false">N38*INDEX(Assumptions!$C$240:$E$240,$B$3)*INDEX(Assumptions!$C$69:$E$69,$B$3)</f>
        <v>1728</v>
      </c>
      <c r="O76" s="40" t="n">
        <f aca="false">SUM(C76:N76)</f>
        <v>32597.325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71762.9560232781</v>
      </c>
      <c r="J77" s="40" t="n">
        <f aca="false">SUM(J69:J76)</f>
        <v>139211.542640735</v>
      </c>
      <c r="K77" s="40" t="n">
        <f aca="false">SUM(K69:K76)</f>
        <v>42396.6609372158</v>
      </c>
      <c r="L77" s="40" t="n">
        <f aca="false">SUM(L69:L76)</f>
        <v>36154.2979565899</v>
      </c>
      <c r="M77" s="40" t="n">
        <f aca="false">SUM(M69:M76)</f>
        <v>35671.0828963812</v>
      </c>
      <c r="N77" s="40" t="n">
        <f aca="false">SUM(N69:N76)</f>
        <v>35429.9174361726</v>
      </c>
      <c r="O77" s="11" t="n">
        <f aca="false">SUM(C77:N77)</f>
        <v>840253.05163704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401764.858625751</v>
      </c>
      <c r="J78" s="40" t="n">
        <f aca="false">J66-J77</f>
        <v>371106.61139558</v>
      </c>
      <c r="K78" s="40" t="n">
        <f aca="false">K66-K77</f>
        <v>225750.892608115</v>
      </c>
      <c r="L78" s="40" t="n">
        <f aca="false">L66-L77</f>
        <v>203785.431020928</v>
      </c>
      <c r="M78" s="40" t="n">
        <f aca="false">M66-M77</f>
        <v>203704.187044408</v>
      </c>
      <c r="N78" s="40" t="n">
        <f aca="false">N66-N77</f>
        <v>204164.8392306</v>
      </c>
      <c r="O78" s="11" t="n">
        <f aca="false">SUM(C78:N78)</f>
        <v>3020210.38000696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0.848450389178368</v>
      </c>
      <c r="J79" s="8" t="n">
        <f aca="false">IFERROR(J78/J66,0)</f>
        <v>0.727206368145726</v>
      </c>
      <c r="K79" s="8" t="n">
        <f aca="false">IFERROR(K78/K66,0)</f>
        <v>0.8418905547462</v>
      </c>
      <c r="L79" s="8" t="n">
        <f aca="false">IFERROR(L78/L66,0)</f>
        <v>0.849319251502624</v>
      </c>
      <c r="M79" s="8" t="n">
        <f aca="false">IFERROR(M78/M66,0)</f>
        <v>0.850982589366042</v>
      </c>
      <c r="N79" s="8" t="n">
        <f aca="false">IFERROR(N78/N66,0)</f>
        <v>0.852125656132582</v>
      </c>
      <c r="O79" s="13" t="n">
        <f aca="false">IFERROR(O78/O66,0)</f>
        <v>0.782343994052752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1</v>
      </c>
      <c r="N81" s="10" t="n">
        <f aca="false">ROUNDUP(N42/(INDEX(Assumptions!$C$102:$E$102,$B$3)*$J$3),0)</f>
        <v>1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0.566666666666667</v>
      </c>
      <c r="N82" s="6" t="n">
        <f aca="false">N81*(1-N12)</f>
        <v>0.6</v>
      </c>
      <c r="O82" s="41" t="n">
        <f aca="false">MAX(C82:N82)</f>
        <v>1.06666666666667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48000</v>
      </c>
      <c r="L86" s="10" t="n">
        <f aca="false">L83*INDEX(Assumptions!$C$98:$E$98,$B$3)*$W$4+L84*INDEX(Assumptions!$C$99:$E$99,$B$3)+L85*INDEX(Assumptions!$C$100:$E$100,$B$3)</f>
        <v>48000</v>
      </c>
      <c r="M86" s="10" t="n">
        <f aca="false">M83*INDEX(Assumptions!$C$98:$E$98,$B$3)*$W$4+M84*INDEX(Assumptions!$C$99:$E$99,$B$3)+M85*INDEX(Assumptions!$C$100:$E$100,$B$3)</f>
        <v>48000</v>
      </c>
      <c r="N86" s="10" t="n">
        <f aca="false">N83*INDEX(Assumptions!$C$98:$E$98,$B$3)*$W$4+N84*INDEX(Assumptions!$C$99:$E$99,$B$3)+N85*INDEX(Assumptions!$C$100:$E$100,$B$3)</f>
        <v>48000</v>
      </c>
      <c r="O86" s="40" t="n">
        <f aca="false">SUM(C86:N86)</f>
        <v>756000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305000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12000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12000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12000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12000</v>
      </c>
      <c r="O88" s="40" t="n">
        <f aca="false">SUM(C88:N88)</f>
        <v>663000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36000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238500</v>
      </c>
      <c r="J92" s="40" t="n">
        <f aca="false">SUM(J86:J91)</f>
        <v>238500</v>
      </c>
      <c r="K92" s="40" t="n">
        <f aca="false">SUM(K86:K91)</f>
        <v>95000</v>
      </c>
      <c r="L92" s="40" t="n">
        <f aca="false">SUM(L86:L91)</f>
        <v>95000</v>
      </c>
      <c r="M92" s="40" t="n">
        <f aca="false">SUM(M86:M91)</f>
        <v>95000</v>
      </c>
      <c r="N92" s="40" t="n">
        <f aca="false">SUM(N86:N91)</f>
        <v>95000</v>
      </c>
      <c r="O92" s="11" t="n">
        <f aca="false">SUM(C92:N92)</f>
        <v>1940000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35000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35000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35000</v>
      </c>
      <c r="O94" s="40" t="n">
        <f aca="false">SUM(C94:N94)</f>
        <v>558000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18000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18000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18000</v>
      </c>
      <c r="O95" s="40" t="n">
        <f aca="false">SUM(C95:N95)</f>
        <v>179200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176000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580000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139996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168000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455500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455500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486933</v>
      </c>
      <c r="J102" s="40" t="n">
        <f aca="false">J92+SUM(J94:J101)</f>
        <v>506933</v>
      </c>
      <c r="K102" s="40" t="n">
        <f aca="false">K92+SUM(K94:K101)</f>
        <v>666833</v>
      </c>
      <c r="L102" s="40" t="n">
        <f aca="false">L92+SUM(L94:L101)</f>
        <v>211333</v>
      </c>
      <c r="M102" s="40" t="n">
        <f aca="false">M92+SUM(M94:M101)</f>
        <v>211333</v>
      </c>
      <c r="N102" s="40" t="n">
        <f aca="false">N92+SUM(N94:N101)</f>
        <v>211333</v>
      </c>
      <c r="O102" s="11" t="n">
        <f aca="false">SUM(C102:N102)</f>
        <v>4466696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-85168.1413742495</v>
      </c>
      <c r="J103" s="40" t="n">
        <f aca="false">J78-J102</f>
        <v>-135826.38860442</v>
      </c>
      <c r="K103" s="40" t="n">
        <f aca="false">K78-K102</f>
        <v>-441082.107391886</v>
      </c>
      <c r="L103" s="40" t="n">
        <f aca="false">L78-L102</f>
        <v>-7547.56897907212</v>
      </c>
      <c r="M103" s="40" t="n">
        <f aca="false">M78-M102</f>
        <v>-7628.81295559197</v>
      </c>
      <c r="N103" s="40" t="n">
        <f aca="false">N78-N102</f>
        <v>-7168.16076939993</v>
      </c>
      <c r="O103" s="11" t="n">
        <f aca="false">SUM(C103:N103)</f>
        <v>-1446485.61999304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-0.17985879337917</v>
      </c>
      <c r="J104" s="8" t="n">
        <f aca="false">IFERROR(J103/J66,0)</f>
        <v>-0.26616021305555</v>
      </c>
      <c r="K104" s="8" t="n">
        <f aca="false">IFERROR(K103/K66,0)</f>
        <v>-1.64492310878876</v>
      </c>
      <c r="L104" s="8" t="n">
        <f aca="false">IFERROR(L103/L66,0)</f>
        <v>-0.0314561036275044</v>
      </c>
      <c r="M104" s="8" t="n">
        <f aca="false">IFERROR(M103/M66,0)</f>
        <v>-0.0318696787578725</v>
      </c>
      <c r="N104" s="8" t="n">
        <f aca="false">IFERROR(N103/N66,0)</f>
        <v>-0.0299178532498913</v>
      </c>
      <c r="O104" s="8" t="n">
        <f aca="false">IFERROR(O103/O66,0)</f>
        <v>-0.374692221699674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-160168.141374249</v>
      </c>
      <c r="J105" s="10" t="n">
        <f aca="false">J103-INDEX(Assumptions!$C$204:$E$204,$B$3)</f>
        <v>-210826.38860442</v>
      </c>
      <c r="K105" s="10" t="n">
        <f aca="false">K103-INDEX(Assumptions!$C$204:$E$204,$B$3)</f>
        <v>-516082.107391886</v>
      </c>
      <c r="L105" s="10" t="n">
        <f aca="false">L103-INDEX(Assumptions!$C$204:$E$204,$B$3)</f>
        <v>-82547.5689790721</v>
      </c>
      <c r="M105" s="10" t="n">
        <f aca="false">M103-INDEX(Assumptions!$C$204:$E$204,$B$3)</f>
        <v>-82628.812955592</v>
      </c>
      <c r="N105" s="10" t="n">
        <f aca="false">N103-INDEX(Assumptions!$C$204:$E$204,$B$3)</f>
        <v>-82168.1607693999</v>
      </c>
      <c r="O105" s="40" t="n">
        <f aca="false">SUM(C105:N105)</f>
        <v>-2346485.61999304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-4406.33898305084</v>
      </c>
      <c r="J113" s="10" t="n">
        <f aca="false">((J67+IF(INDEX(Assumptions!$C$87:$E$87,$B$3)&gt;=2,I67,0)+IF(INDEX(Assumptions!$C$87:$E$87,$B$3)&gt;=3,H67,0))/INDEX(Assumptions!$C$87:$E$87,$B$3))-J67</f>
        <v>-12590.8169491525</v>
      </c>
      <c r="K113" s="10" t="n">
        <f aca="false">((K67+IF(INDEX(Assumptions!$C$87:$E$87,$B$3)&gt;=2,J67,0)+IF(INDEX(Assumptions!$C$87:$E$87,$B$3)&gt;=3,I67,0))/INDEX(Assumptions!$C$87:$E$87,$B$3))-K67</f>
        <v>88965.579661017</v>
      </c>
      <c r="L113" s="10" t="n">
        <f aca="false">((L67+IF(INDEX(Assumptions!$C$87:$E$87,$B$3)&gt;=2,K67,0)+IF(INDEX(Assumptions!$C$87:$E$87,$B$3)&gt;=3,J67,0))/INDEX(Assumptions!$C$87:$E$87,$B$3))-L67</f>
        <v>16368.1016949153</v>
      </c>
      <c r="M113" s="10" t="n">
        <f aca="false">((M67+IF(INDEX(Assumptions!$C$87:$E$87,$B$3)&gt;=2,L67,0)+IF(INDEX(Assumptions!$C$87:$E$87,$B$3)&gt;=3,K67,0))/INDEX(Assumptions!$C$87:$E$87,$B$3))-M67</f>
        <v>4002.46779661017</v>
      </c>
      <c r="N113" s="10" t="n">
        <f aca="false">((N67+IF(INDEX(Assumptions!$C$87:$E$87,$B$3)&gt;=2,M67,0)+IF(INDEX(Assumptions!$C$87:$E$87,$B$3)&gt;=3,L67,0))/INDEX(Assumptions!$C$87:$E$87,$B$3))-N67</f>
        <v>3610.49491525424</v>
      </c>
      <c r="O113" s="40" t="n">
        <f aca="false">SUM(C113:N113)</f>
        <v>-72405.8847457626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-1481683.91976909</v>
      </c>
      <c r="I114" s="40" t="n">
        <f aca="false">I103+I113-I112</f>
        <v>-89574.4803573003</v>
      </c>
      <c r="J114" s="40" t="n">
        <f aca="false">J103+J113-J112</f>
        <v>-148417.205553573</v>
      </c>
      <c r="K114" s="40" t="n">
        <f aca="false">K103+K113-K112</f>
        <v>-352116.527730869</v>
      </c>
      <c r="L114" s="40" t="n">
        <f aca="false">L103+L113-L112</f>
        <v>8820.53271584315</v>
      </c>
      <c r="M114" s="40" t="n">
        <f aca="false">M103+M113-M112</f>
        <v>-3626.3451589818</v>
      </c>
      <c r="N114" s="40" t="n">
        <f aca="false">N103+N113-N112</f>
        <v>-3557.66585414569</v>
      </c>
      <c r="O114" s="11" t="n">
        <f aca="false">SUM(C114:N114)</f>
        <v>-3240891.5047388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-2652419.81279978</v>
      </c>
      <c r="I115" s="40" t="n">
        <f aca="false">H115+I114</f>
        <v>-2741994.29315708</v>
      </c>
      <c r="J115" s="40" t="n">
        <f aca="false">I115+J114</f>
        <v>-2890411.49871065</v>
      </c>
      <c r="K115" s="40" t="n">
        <f aca="false">J115+K114</f>
        <v>-3242528.02644152</v>
      </c>
      <c r="L115" s="40" t="n">
        <f aca="false">K115+L114</f>
        <v>-3233707.49372567</v>
      </c>
      <c r="M115" s="40" t="n">
        <f aca="false">L115+M114</f>
        <v>-3237333.83888466</v>
      </c>
      <c r="N115" s="40" t="n">
        <f aca="false">M115+N114</f>
        <v>-3240891.5047388</v>
      </c>
      <c r="O115" s="11" t="n">
        <f aca="false">N115</f>
        <v>-3240891.5047388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2652419.81279978</v>
      </c>
      <c r="I116" s="40" t="n">
        <f aca="false">-MIN(0,MIN($C$115:I115))</f>
        <v>2741994.29315708</v>
      </c>
      <c r="J116" s="40" t="n">
        <f aca="false">-MIN(0,MIN($C$115:J115))</f>
        <v>2890411.49871065</v>
      </c>
      <c r="K116" s="40" t="n">
        <f aca="false">-MIN(0,MIN($C$115:K115))</f>
        <v>3242528.02644152</v>
      </c>
      <c r="L116" s="40" t="n">
        <f aca="false">-MIN(0,MIN($C$115:L115))</f>
        <v>3242528.02644152</v>
      </c>
      <c r="M116" s="40" t="n">
        <f aca="false">-MIN(0,MIN($C$115:M115))</f>
        <v>3242528.02644152</v>
      </c>
      <c r="N116" s="40" t="n">
        <f aca="false">-MIN(0,MIN($C$115:N115))</f>
        <v>3242528.02644152</v>
      </c>
      <c r="O116" s="11" t="n">
        <f aca="false">MAX(C116:N116)</f>
        <v>3242528.02644152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6.96168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7.390944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3.844584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3.1223232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6.96168</v>
      </c>
      <c r="D132" s="8" t="n">
        <f aca="false">C132/INDEX(Assumptions!$C$179:$E$179,$B$3)</f>
        <v>0.58014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7.390944</v>
      </c>
      <c r="D133" s="8" t="n">
        <f aca="false">C133/INDEX(Assumptions!$C$179:$E$179,$B$3)</f>
        <v>0.615912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3.844584</v>
      </c>
      <c r="D134" s="8" t="n">
        <f aca="false">C134/INDEX(Assumptions!$C$179:$E$179,$B$3)</f>
        <v>0.320382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3.1223232</v>
      </c>
      <c r="D135" s="8" t="n">
        <f aca="false">C135/INDEX(Assumptions!$C$179:$E$179,$B$3)</f>
        <v>0.2601936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9.6885216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6.1273584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4.0976064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9.6885216</v>
      </c>
      <c r="D146" s="8" t="n">
        <f aca="false">C146/INDEX(Assumptions!$C$179:$E$179,$B$3)</f>
        <v>0.8073768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6.1273584</v>
      </c>
      <c r="D147" s="8" t="n">
        <f aca="false">C147/INDEX(Assumptions!$C$179:$E$179,$B$3)</f>
        <v>0.5106132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4.0976064</v>
      </c>
      <c r="D148" s="8" t="n">
        <f aca="false">C148/INDEX(Assumptions!$C$179:$E$179,$B$3)</f>
        <v>0.3414672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3860463.431644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-1446485.61999304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-0.374692221699674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-2346485.61999304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3242528.02644152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-242528.026441518</v>
      </c>
    </row>
    <row r="160" customFormat="false" ht="15" hidden="false" customHeight="false" outlineLevel="0" collapsed="false">
      <c r="A160" s="3" t="s">
        <v>51</v>
      </c>
      <c r="B160" s="7" t="n">
        <f aca="false">O38</f>
        <v>54.328875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4.606</v>
      </c>
    </row>
    <row r="162" customFormat="false" ht="15" hidden="false" customHeight="false" outlineLevel="0" collapsed="false">
      <c r="A162" s="3" t="s">
        <v>53</v>
      </c>
      <c r="B162" s="11" t="n">
        <f aca="false">O46</f>
        <v>80.92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0.388512</v>
      </c>
    </row>
    <row r="164" customFormat="false" ht="15" hidden="false" customHeight="false" outlineLevel="0" collapsed="false">
      <c r="A164" s="3" t="s">
        <v>55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42580.1919067797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211333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81533.8865390747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3.04834496155144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36.5801395386173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15930.3882195448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0.281967871485944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0.604999718094159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6.50158867132066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-22344.542704064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-3240891.5047388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1170735.89303069</v>
      </c>
    </row>
    <row r="182" customFormat="false" ht="15" hidden="false" customHeight="false" outlineLevel="0" collapsed="false">
      <c r="A182" s="3" t="s">
        <v>73</v>
      </c>
      <c r="B182" s="11" t="n">
        <f aca="false">O86</f>
        <v>756000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2056593.325</v>
      </c>
    </row>
    <row r="187" customFormat="false" ht="15" hidden="false" customHeight="false" outlineLevel="0" collapsed="false">
      <c r="A187" s="3" t="s">
        <v>78</v>
      </c>
      <c r="B187" s="11" t="n">
        <f aca="false">O97</f>
        <v>580000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455500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312000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1160000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-110497.264989335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0.433274014285714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3.1223232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2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3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0.681850666666667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14.94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0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611654.457295936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1576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0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1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0.333333333333333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0.3</v>
      </c>
      <c r="O12" s="39" t="n">
        <f aca="false">N12</f>
        <v>0.3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80000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100000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100000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100000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820000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1.65</v>
      </c>
      <c r="M30" s="16" t="n">
        <f aca="false">MAX(M24*INDEX(Assumptions!$C$26:$E$26,$B$3)*M28,M29)</f>
        <v>1.575</v>
      </c>
      <c r="N30" s="16" t="n">
        <f aca="false">MAX(N24*INDEX(Assumptions!$C$26:$E$26,$B$3)*N28,N29)</f>
        <v>1.5</v>
      </c>
      <c r="O30" s="38" t="n">
        <f aca="false">SUM(C30:N30)</f>
        <v>4.725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8.60896215257244</v>
      </c>
      <c r="J31" s="6" t="n">
        <f aca="false">I34+H34+I37+H37+1.25*I35</f>
        <v>11.7502735068007</v>
      </c>
      <c r="K31" s="6" t="n">
        <f aca="false">J34+I34+J37+I37+1.25*J35</f>
        <v>17.0481113542283</v>
      </c>
      <c r="L31" s="6" t="n">
        <f aca="false">K34+J34+K37+J37+1.25*K35</f>
        <v>15.9006487570424</v>
      </c>
      <c r="M31" s="6" t="n">
        <f aca="false">L34+K34+L37+K37+1.25*L35</f>
        <v>13.6107386094122</v>
      </c>
      <c r="N31" s="6" t="n">
        <f aca="false">M34+L34+M37+L37+1.25*M35</f>
        <v>13.2157369927081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12.1513113542283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14.12</v>
      </c>
      <c r="L32" s="6" t="n">
        <f aca="false">L24*(INDEX(Assumptions!$C$26:$E$26,$B$3)*(1-L28)+(1-INDEX(Assumptions!$C$26:$E$26,$B$3)))+1.25*L30+K36*INDEX(Assumptions!$C$89:$E$89,$B$3)</f>
        <v>12.4697119666188</v>
      </c>
      <c r="M32" s="6" t="n">
        <f aca="false">M24*(INDEX(Assumptions!$C$26:$E$26,$B$3)*(1-M28)+(1-INDEX(Assumptions!$C$26:$E$26,$B$3)))+1.25*M30+L36*INDEX(Assumptions!$C$89:$E$89,$B$3)</f>
        <v>12.0686884171763</v>
      </c>
      <c r="N32" s="6" t="n">
        <f aca="false">N24*(INDEX(Assumptions!$C$26:$E$26,$B$3)*(1-N28)+(1-INDEX(Assumptions!$C$26:$E$26,$B$3)))+1.25*N30+M36*INDEX(Assumptions!$C$89:$E$89,$B$3)</f>
        <v>11.635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0.806475458308693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0.704807977745873</v>
      </c>
      <c r="L33" s="8" t="n">
        <f aca="false">IF(L32&lt;=0,1,MAX(0,MIN(1,(L27-L31)/L32)))</f>
        <v>0.890104861497234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0.704807977745873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3.55655677114134</v>
      </c>
      <c r="I34" s="38" t="n">
        <f aca="false">I24*INDEX(Assumptions!$C$26:$E$26,$B$3)*(1-I28)*I33</f>
        <v>6.864</v>
      </c>
      <c r="J34" s="38" t="n">
        <f aca="false">J24*INDEX(Assumptions!$C$26:$E$26,$B$3)*(1-J28)*J33</f>
        <v>8.1</v>
      </c>
      <c r="K34" s="38" t="n">
        <f aca="false">K24*INDEX(Assumptions!$C$26:$E$26,$B$3)*(1-K28)*K33</f>
        <v>5.28605983309405</v>
      </c>
      <c r="L34" s="38" t="n">
        <f aca="false">L24*INDEX(Assumptions!$C$26:$E$26,$B$3)*(1-L28)*L33</f>
        <v>4.40601906441131</v>
      </c>
      <c r="M34" s="38" t="n">
        <f aca="false">M24*INDEX(Assumptions!$C$26:$E$26,$B$3)*(1-M28)*M33</f>
        <v>4.725</v>
      </c>
      <c r="N34" s="38" t="n">
        <f aca="false">N24*INDEX(Assumptions!$C$26:$E$26,$B$3)*(1-N28)*N33</f>
        <v>4.5</v>
      </c>
      <c r="O34" s="17" t="n">
        <f aca="false">SUM(C34:N34)</f>
        <v>49.0433606686467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1.46867302147044</v>
      </c>
      <c r="M35" s="16" t="n">
        <f aca="false">M30*M33</f>
        <v>1.575</v>
      </c>
      <c r="N35" s="16" t="n">
        <f aca="false">N30*N33</f>
        <v>1.5</v>
      </c>
      <c r="O35" s="38" t="n">
        <f aca="false">SUM(C35:N35)</f>
        <v>4.54367302147044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2.37103784742756</v>
      </c>
      <c r="I36" s="16" t="n">
        <f aca="false">I24*(1-INDEX(Assumptions!$C$26:$E$26,$B$3))*I33</f>
        <v>4.576</v>
      </c>
      <c r="J36" s="16" t="n">
        <f aca="false">J24*(1-INDEX(Assumptions!$C$26:$E$26,$B$3))*J33</f>
        <v>5.4</v>
      </c>
      <c r="K36" s="16" t="n">
        <f aca="false">K24*(1-INDEX(Assumptions!$C$26:$E$26,$B$3))*K33</f>
        <v>3.52403988872937</v>
      </c>
      <c r="L36" s="16" t="n">
        <f aca="false">L24*(1-INDEX(Assumptions!$C$26:$E$26,$B$3))*L33</f>
        <v>3.91646139058783</v>
      </c>
      <c r="M36" s="16" t="n">
        <f aca="false">M24*(1-INDEX(Assumptions!$C$26:$E$26,$B$3))*M33</f>
        <v>4.2</v>
      </c>
      <c r="N36" s="16" t="n">
        <f aca="false">N24*(1-INDEX(Assumptions!$C$26:$E$26,$B$3))*N33</f>
        <v>4</v>
      </c>
      <c r="O36" s="38" t="n">
        <f aca="false">SUM(C36:N36)</f>
        <v>35.7246891267448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0.618405381431106</v>
      </c>
      <c r="I37" s="16" t="n">
        <f aca="false">H36*INDEX(Assumptions!$C$89:$E$89,$B$3)*I33</f>
        <v>0.711311354228267</v>
      </c>
      <c r="J37" s="16" t="n">
        <f aca="false">I36*INDEX(Assumptions!$C$89:$E$89,$B$3)*J33</f>
        <v>1.3728</v>
      </c>
      <c r="K37" s="16" t="n">
        <f aca="false">J36*INDEX(Assumptions!$C$89:$E$89,$B$3)*K33</f>
        <v>1.14178892394831</v>
      </c>
      <c r="L37" s="16" t="n">
        <f aca="false">K36*INDEX(Assumptions!$C$89:$E$89,$B$3)*L33</f>
        <v>0.941029511120454</v>
      </c>
      <c r="M37" s="16" t="n">
        <f aca="false">L36*INDEX(Assumptions!$C$89:$E$89,$B$3)*M33</f>
        <v>1.17493841717635</v>
      </c>
      <c r="N37" s="16" t="n">
        <f aca="false">M36*INDEX(Assumptions!$C$89:$E$89,$B$3)*N33</f>
        <v>1.26</v>
      </c>
      <c r="O37" s="38" t="n">
        <f aca="false">SUM(C37:N37)</f>
        <v>8.77461858790449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5.9275946185689</v>
      </c>
      <c r="I38" s="38" t="n">
        <f aca="false">I34+I35+I36</f>
        <v>11.44</v>
      </c>
      <c r="J38" s="38" t="n">
        <f aca="false">J34+J35+J36</f>
        <v>13.5</v>
      </c>
      <c r="K38" s="38" t="n">
        <f aca="false">K34+K35+K36</f>
        <v>8.81009972182342</v>
      </c>
      <c r="L38" s="38" t="n">
        <f aca="false">L34+L35+L36</f>
        <v>9.79115347646957</v>
      </c>
      <c r="M38" s="38" t="n">
        <f aca="false">M34+M35+M36</f>
        <v>10.5</v>
      </c>
      <c r="N38" s="38" t="n">
        <f aca="false">N34+N35+N36</f>
        <v>10</v>
      </c>
      <c r="O38" s="17" t="n">
        <f aca="false">SUM(C38:N38)</f>
        <v>89.3117228168619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13.5</v>
      </c>
      <c r="K39" s="16" t="n">
        <f aca="false">IF(9&lt;IF($Q$3=1,$Q$4+1,INDEX(Assumptions!$C$215:$E$215,$D$3)),K24,K38)</f>
        <v>8.81009972182342</v>
      </c>
      <c r="L39" s="16" t="n">
        <f aca="false">IF(10&lt;IF($Q$3=1,$Q$4+1,INDEX(Assumptions!$C$215:$E$215,$D$3)),L24,L38)</f>
        <v>9.79115347646957</v>
      </c>
      <c r="M39" s="16" t="n">
        <f aca="false">IF(11&lt;IF($Q$3=1,$Q$4+1,INDEX(Assumptions!$C$215:$E$215,$D$3)),M24,M38)</f>
        <v>10.5</v>
      </c>
      <c r="N39" s="16" t="n">
        <f aca="false">IF(12&lt;IF($Q$3=1,$Q$4+1,INDEX(Assumptions!$C$215:$E$215,$D$3)),N24,N38)</f>
        <v>10</v>
      </c>
      <c r="O39" s="38" t="n">
        <f aca="false">SUM(C39:N39)</f>
        <v>90.734128198293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1.48189865464222</v>
      </c>
      <c r="I40" s="16" t="n">
        <f aca="false">I38*INDEX(Assumptions!$C$74:$E$74,$B$3)</f>
        <v>2.86</v>
      </c>
      <c r="J40" s="16" t="n">
        <f aca="false">J38*INDEX(Assumptions!$C$74:$E$74,$B$3)</f>
        <v>3.375</v>
      </c>
      <c r="K40" s="16" t="n">
        <f aca="false">K38*INDEX(Assumptions!$C$74:$E$74,$B$3)</f>
        <v>2.20252493045585</v>
      </c>
      <c r="L40" s="16" t="n">
        <f aca="false">L38*INDEX(Assumptions!$C$74:$E$74,$B$3)</f>
        <v>2.44778836911739</v>
      </c>
      <c r="M40" s="16" t="n">
        <f aca="false">M38*INDEX(Assumptions!$C$74:$E$74,$B$3)</f>
        <v>2.625</v>
      </c>
      <c r="N40" s="16" t="n">
        <f aca="false">N38*INDEX(Assumptions!$C$74:$E$74,$B$3)</f>
        <v>2.5</v>
      </c>
      <c r="O40" s="38" t="n">
        <f aca="false">SUM(C40:N40)</f>
        <v>22.3279307042155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2.9033116499113</v>
      </c>
      <c r="I41" s="16" t="n">
        <f aca="false">I10*MIN(I16,I21*I20)*I22*I23*I33</f>
        <v>6.24</v>
      </c>
      <c r="J41" s="16" t="n">
        <f aca="false">J10*MIN(J16,J21*J20)*J22*J23*J33</f>
        <v>8.1</v>
      </c>
      <c r="K41" s="16" t="n">
        <f aca="false">K10*MIN(K16,K21*K20)*K22*K23*K33</f>
        <v>5.28605983309405</v>
      </c>
      <c r="L41" s="16" t="n">
        <f aca="false">L10*MIN(L16,L21*L20)*L22*L23*L33</f>
        <v>5.87469208588174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48.1963135688871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14.4</v>
      </c>
      <c r="I42" s="6" t="n">
        <f aca="false">I31+I34+I37+I36+1.25*I35</f>
        <v>20.7602735068007</v>
      </c>
      <c r="J42" s="6" t="n">
        <f aca="false">J31+J34+J37+J36+1.25*J35</f>
        <v>26.6230735068007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25.6794270265885</v>
      </c>
      <c r="N42" s="6" t="n">
        <f aca="false">N31+N34+N37+N36+1.25*N35</f>
        <v>24.8507369927081</v>
      </c>
      <c r="O42" s="41" t="n">
        <f aca="false">AVERAGE(C42:N42)</f>
        <v>16.7702392527415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0.8002715625</v>
      </c>
      <c r="H43" s="39" t="n">
        <f aca="false">H42/(H25*H26)</f>
        <v>0.9</v>
      </c>
      <c r="I43" s="39" t="n">
        <f aca="false">I42/(I25*I26)</f>
        <v>0.692009116893357</v>
      </c>
      <c r="J43" s="39" t="n">
        <f aca="false">J42/(J25*J26)</f>
        <v>0.887435783560024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0.855980900886284</v>
      </c>
      <c r="N43" s="39" t="n">
        <f aca="false">N42/(N25*N26)</f>
        <v>0.828357899756937</v>
      </c>
      <c r="O43" s="9" t="n">
        <f aca="false">N43</f>
        <v>0.828357899756937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63333.3333333333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180841.869719051</v>
      </c>
      <c r="I56" s="10" t="n">
        <f aca="false">I34*I53/(1+INDEX(Assumptions!$C$15:$E$15,$B$3)*$H$4)</f>
        <v>387796.610169492</v>
      </c>
      <c r="J56" s="10" t="n">
        <f aca="false">J34*J53/(1+INDEX(Assumptions!$C$15:$E$15,$B$3)*$H$4)</f>
        <v>457627.118644068</v>
      </c>
      <c r="K56" s="10" t="n">
        <f aca="false">K34*K53/(1+INDEX(Assumptions!$C$15:$E$15,$B$3)*$H$4)</f>
        <v>298647.448197404</v>
      </c>
      <c r="L56" s="10" t="n">
        <f aca="false">L34*L53/(1+INDEX(Assumptions!$C$15:$E$15,$B$3)*$H$4)</f>
        <v>248927.630757701</v>
      </c>
      <c r="M56" s="10" t="n">
        <f aca="false">M34*M53/(1+INDEX(Assumptions!$C$15:$E$15,$B$3)*$H$4)</f>
        <v>266949.152542373</v>
      </c>
      <c r="N56" s="10" t="n">
        <f aca="false">N34*N53/(1+INDEX(Assumptions!$C$15:$E$15,$B$3)*$H$4)</f>
        <v>254237.288135593</v>
      </c>
      <c r="O56" s="40" t="n">
        <f aca="false">SUM(C56:N56)</f>
        <v>2685148.72833517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82975.8769192337</v>
      </c>
      <c r="M57" s="10" t="n">
        <f aca="false">M35*M53/(1+INDEX(Assumptions!$C$15:$E$15,$B$3)*$H$4)</f>
        <v>88983.0508474576</v>
      </c>
      <c r="N57" s="10" t="n">
        <f aca="false">N35*N53/(1+INDEX(Assumptions!$C$15:$E$15,$B$3)*$H$4)</f>
        <v>84745.7627118644</v>
      </c>
      <c r="O57" s="40" t="n">
        <f aca="false">SUM(C57:N57)</f>
        <v>256704.690478556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10533.8543786146</v>
      </c>
      <c r="I58" s="10" t="n">
        <f aca="false">I37*MAX(0,I53-INDEX(Assumptions!$C$18:$E$18,$B$3)*$H$3)/(1+INDEX(Assumptions!$C$15:$E$15,$B$3)*$H$4)</f>
        <v>16135.1134871553</v>
      </c>
      <c r="J58" s="10" t="n">
        <f aca="false">J37*MAX(0,J53-INDEX(Assumptions!$C$18:$E$18,$B$3)*$H$3)/(1+INDEX(Assumptions!$C$15:$E$15,$B$3)*$H$4)</f>
        <v>31140.0677966102</v>
      </c>
      <c r="K58" s="10" t="n">
        <f aca="false">K37*MAX(0,K53-INDEX(Assumptions!$C$18:$E$18,$B$3)*$H$3)/(1+INDEX(Assumptions!$C$15:$E$15,$B$3)*$H$4)</f>
        <v>25899.9012974717</v>
      </c>
      <c r="L58" s="10" t="n">
        <f aca="false">L37*MAX(0,L53-INDEX(Assumptions!$C$18:$E$18,$B$3)*$H$3)/(1+INDEX(Assumptions!$C$15:$E$15,$B$3)*$H$4)</f>
        <v>21345.9519047945</v>
      </c>
      <c r="M58" s="10" t="n">
        <f aca="false">M37*MAX(0,M53-INDEX(Assumptions!$C$18:$E$18,$B$3)*$H$3)/(1+INDEX(Assumptions!$C$15:$E$15,$B$3)*$H$4)</f>
        <v>26651.8516664578</v>
      </c>
      <c r="N58" s="10" t="n">
        <f aca="false">N37*MAX(0,N53-INDEX(Assumptions!$C$18:$E$18,$B$3)*$H$3)/(1+INDEX(Assumptions!$C$15:$E$15,$B$3)*$H$4)</f>
        <v>28581.3559322034</v>
      </c>
      <c r="O58" s="40" t="n">
        <f aca="false">SUM(C58:N58)</f>
        <v>186764.651124324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80173.2289087793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182593.220338983</v>
      </c>
      <c r="K59" s="10" t="n">
        <f aca="false">K36*INDEX(Assumptions!$C$18:$E$18,$B$3)*$H$3/(1+INDEX(Assumptions!$C$15:$E$15,$B$3)*$H$4)</f>
        <v>119160.331830764</v>
      </c>
      <c r="L59" s="10" t="n">
        <f aca="false">L36*INDEX(Assumptions!$C$18:$E$18,$B$3)*$H$3/(1+INDEX(Assumptions!$C$15:$E$15,$B$3)*$H$4)</f>
        <v>132429.499563097</v>
      </c>
      <c r="M59" s="10" t="n">
        <f aca="false">M36*INDEX(Assumptions!$C$18:$E$18,$B$3)*$H$3/(1+INDEX(Assumptions!$C$15:$E$15,$B$3)*$H$4)</f>
        <v>142016.949152542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1207978.8950484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7776</v>
      </c>
      <c r="K65" s="10" t="n">
        <f aca="false">(K34+K35)*(1-K54)*INDEX(Assumptions!$C$90:$E$90,$B$3)</f>
        <v>5074.61743977029</v>
      </c>
      <c r="L65" s="10" t="n">
        <f aca="false">(L34+L35)*(1-L54)*INDEX(Assumptions!$C$90:$E$90,$B$3)</f>
        <v>5639.70440244647</v>
      </c>
      <c r="M65" s="10" t="n">
        <f aca="false">(M34+M35)*(1-M54)*INDEX(Assumptions!$C$90:$E$90,$B$3)</f>
        <v>6048</v>
      </c>
      <c r="N65" s="10" t="n">
        <f aca="false">(N34+N35)*(1-N54)*INDEX(Assumptions!$C$90:$E$90,$B$3)</f>
        <v>5760</v>
      </c>
      <c r="O65" s="40" t="n">
        <f aca="false">SUM(C65:N65)</f>
        <v>36887.7618422168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450922.531311212</v>
      </c>
      <c r="I66" s="40" t="n">
        <f aca="false">SUM(I56:I65)</f>
        <v>772003.222647966</v>
      </c>
      <c r="J66" s="40" t="n">
        <f aca="false">SUM(J56:J65)</f>
        <v>911824.900794988</v>
      </c>
      <c r="K66" s="40" t="n">
        <f aca="false">SUM(K56:K65)</f>
        <v>701086.684121724</v>
      </c>
      <c r="L66" s="40" t="n">
        <f aca="false">SUM(L56:L65)</f>
        <v>755268.072355744</v>
      </c>
      <c r="M66" s="40" t="n">
        <f aca="false">SUM(M56:M65)</f>
        <v>813307.629874236</v>
      </c>
      <c r="N66" s="40" t="n">
        <f aca="false">SUM(N56:N65)</f>
        <v>809946.486590136</v>
      </c>
      <c r="O66" s="11" t="n">
        <f aca="false">SUM(C66:N66)</f>
        <v>6587835.35745677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271548.953006445</v>
      </c>
      <c r="I67" s="10" t="n">
        <f aca="false">I56+I57+I58+I59</f>
        <v>558662.571114274</v>
      </c>
      <c r="J67" s="10" t="n">
        <f aca="false">J56+J57+J58+J59</f>
        <v>671360.406779661</v>
      </c>
      <c r="K67" s="10" t="n">
        <f aca="false">K56+K57+K58+K59</f>
        <v>443707.68132564</v>
      </c>
      <c r="L67" s="10" t="n">
        <f aca="false">L56+L57+L58+L59</f>
        <v>485678.959144826</v>
      </c>
      <c r="M67" s="10" t="n">
        <f aca="false">M56+M57+M58+M59</f>
        <v>524601.004208831</v>
      </c>
      <c r="N67" s="10" t="n">
        <f aca="false">N56+N57+N58+N59</f>
        <v>502818.644067797</v>
      </c>
      <c r="O67" s="40" t="n">
        <f aca="false">SUM(C67:N67)</f>
        <v>4336596.96498646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25049.7729154347</v>
      </c>
      <c r="I69" s="10" t="n">
        <f aca="false">((I34+I37)*INDEX(Assumptions!$C$91:$E$91,$B$3)+I35*(INDEX(Assumptions!$C$93:$E$93,$B$3)+IF($Q$3=1,INDEX(Assumptions!$C$282:$E$282,$B$3),0)))*$N$3</f>
        <v>45451.8681253696</v>
      </c>
      <c r="J69" s="10" t="n">
        <f aca="false">((J34+J37)*INDEX(Assumptions!$C$91:$E$91,$B$3)+J35*(INDEX(Assumptions!$C$93:$E$93,$B$3)+IF($Q$3=1,INDEX(Assumptions!$C$282:$E$282,$B$3),0)))*$N$3</f>
        <v>56836.8</v>
      </c>
      <c r="K69" s="10" t="n">
        <f aca="false">((K34+K37)*INDEX(Assumptions!$C$91:$E$91,$B$3)+K35*(INDEX(Assumptions!$C$93:$E$93,$B$3)+IF($Q$3=1,INDEX(Assumptions!$C$282:$E$282,$B$3),0)))*$N$3</f>
        <v>38567.0925422542</v>
      </c>
      <c r="L69" s="10" t="n">
        <f aca="false">((L34+L37)*INDEX(Assumptions!$C$91:$E$91,$B$3)+L35*(INDEX(Assumptions!$C$93:$E$93,$B$3)+IF($Q$3=1,INDEX(Assumptions!$C$282:$E$282,$B$3),0)))*$N$3</f>
        <v>43097.3391142188</v>
      </c>
      <c r="M69" s="10" t="n">
        <f aca="false">((M34+M37)*INDEX(Assumptions!$C$91:$E$91,$B$3)+M35*(INDEX(Assumptions!$C$93:$E$93,$B$3)+IF($Q$3=1,INDEX(Assumptions!$C$282:$E$282,$B$3),0)))*$N$3</f>
        <v>47212.1305030581</v>
      </c>
      <c r="N69" s="10" t="n">
        <f aca="false">((N34+N37)*INDEX(Assumptions!$C$91:$E$91,$B$3)+N35*(INDEX(Assumptions!$C$93:$E$93,$B$3)+IF($Q$3=1,INDEX(Assumptions!$C$282:$E$282,$B$3),0)))*$N$3</f>
        <v>45810</v>
      </c>
      <c r="O69" s="40" t="n">
        <f aca="false">SUM(C69:N69)</f>
        <v>380985.423200335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42678.681253696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181947.381253696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4742.07569485512</v>
      </c>
      <c r="I71" s="10" t="n">
        <f aca="false">I36*INDEX(Assumptions!$C$92:$E$92,$B$3)*$N$3</f>
        <v>9152</v>
      </c>
      <c r="J71" s="10" t="n">
        <f aca="false">J36*INDEX(Assumptions!$C$92:$E$92,$B$3)*$N$3</f>
        <v>10800</v>
      </c>
      <c r="K71" s="10" t="n">
        <f aca="false">K36*INDEX(Assumptions!$C$92:$E$92,$B$3)*$N$3</f>
        <v>7048.07977745873</v>
      </c>
      <c r="L71" s="10" t="n">
        <f aca="false">L36*INDEX(Assumptions!$C$92:$E$92,$B$3)*$N$3</f>
        <v>7832.92278117566</v>
      </c>
      <c r="M71" s="10" t="n">
        <f aca="false">M36*INDEX(Assumptions!$C$92:$E$92,$B$3)*$N$3</f>
        <v>8400</v>
      </c>
      <c r="N71" s="10" t="n">
        <f aca="false">N36*INDEX(Assumptions!$C$92:$E$92,$B$3)*$N$3</f>
        <v>8000</v>
      </c>
      <c r="O71" s="40" t="n">
        <f aca="false">SUM(C71:N71)</f>
        <v>71449.3782534895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14593.6804415614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26560.4661480017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31612.1100587617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23247.5485123419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25118.9278479583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27094.4208019443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26704.9420835272</v>
      </c>
      <c r="O75" s="40" t="n">
        <f aca="false">SUM(C75:N75)</f>
        <v>220078.877580201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3556.55677114134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8100</v>
      </c>
      <c r="K76" s="10" t="n">
        <f aca="false">K38*INDEX(Assumptions!$C$240:$E$240,$B$3)*INDEX(Assumptions!$C$69:$E$69,$B$3)</f>
        <v>5286.05983309405</v>
      </c>
      <c r="L76" s="10" t="n">
        <f aca="false">L38*INDEX(Assumptions!$C$240:$E$240,$B$3)*INDEX(Assumptions!$C$69:$E$69,$B$3)</f>
        <v>5874.69208588174</v>
      </c>
      <c r="M76" s="10" t="n">
        <f aca="false">M38*INDEX(Assumptions!$C$240:$E$240,$B$3)*INDEX(Assumptions!$C$69:$E$69,$B$3)</f>
        <v>6300</v>
      </c>
      <c r="N76" s="10" t="n">
        <f aca="false">N38*INDEX(Assumptions!$C$240:$E$240,$B$3)*INDEX(Assumptions!$C$69:$E$69,$B$3)</f>
        <v>6000</v>
      </c>
      <c r="O76" s="40" t="n">
        <f aca="false">SUM(C76:N76)</f>
        <v>53587.0336901171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112648.500660178</v>
      </c>
      <c r="I77" s="40" t="n">
        <f aca="false">SUM(I69:I76)</f>
        <v>114291.26110264</v>
      </c>
      <c r="J77" s="40" t="n">
        <f aca="false">SUM(J69:J76)</f>
        <v>137370.951334559</v>
      </c>
      <c r="K77" s="40" t="n">
        <f aca="false">SUM(K69:K76)</f>
        <v>129936.300364961</v>
      </c>
      <c r="L77" s="40" t="n">
        <f aca="false">SUM(L69:L76)</f>
        <v>138559.619165069</v>
      </c>
      <c r="M77" s="40" t="n">
        <f aca="false">SUM(M69:M76)</f>
        <v>147325.027852845</v>
      </c>
      <c r="N77" s="40" t="n">
        <f aca="false">SUM(N69:N76)</f>
        <v>146516.157843377</v>
      </c>
      <c r="O77" s="11" t="n">
        <f aca="false">SUM(C77:N77)</f>
        <v>1272896.06653881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338274.030651033</v>
      </c>
      <c r="I78" s="40" t="n">
        <f aca="false">I66-I77</f>
        <v>657711.961545326</v>
      </c>
      <c r="J78" s="40" t="n">
        <f aca="false">J66-J77</f>
        <v>774453.949460429</v>
      </c>
      <c r="K78" s="40" t="n">
        <f aca="false">K66-K77</f>
        <v>571150.383756763</v>
      </c>
      <c r="L78" s="40" t="n">
        <f aca="false">L66-L77</f>
        <v>616708.453190675</v>
      </c>
      <c r="M78" s="40" t="n">
        <f aca="false">M66-M77</f>
        <v>665982.602021391</v>
      </c>
      <c r="N78" s="40" t="n">
        <f aca="false">N66-N77</f>
        <v>663430.328746759</v>
      </c>
      <c r="O78" s="11" t="n">
        <f aca="false">SUM(C78:N78)</f>
        <v>5314939.29091796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0.750182142523209</v>
      </c>
      <c r="I79" s="8" t="n">
        <f aca="false">IFERROR(I78/I66,0)</f>
        <v>0.851954942998008</v>
      </c>
      <c r="J79" s="8" t="n">
        <f aca="false">IFERROR(J78/J66,0)</f>
        <v>0.84934503190822</v>
      </c>
      <c r="K79" s="8" t="n">
        <f aca="false">IFERROR(K78/K66,0)</f>
        <v>0.814664429794816</v>
      </c>
      <c r="L79" s="8" t="n">
        <f aca="false">IFERROR(L78/L66,0)</f>
        <v>0.816542464541245</v>
      </c>
      <c r="M79" s="8" t="n">
        <f aca="false">IFERROR(M78/M66,0)</f>
        <v>0.818856946078785</v>
      </c>
      <c r="N79" s="8" t="n">
        <f aca="false">IFERROR(N78/N66,0)</f>
        <v>0.819103903444031</v>
      </c>
      <c r="O79" s="13" t="n">
        <f aca="false">IFERROR(O78/O66,0)</f>
        <v>0.806780832022764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1.6</v>
      </c>
      <c r="J82" s="6" t="n">
        <f aca="false">J81*(1-J12)</f>
        <v>1.7</v>
      </c>
      <c r="K82" s="6" t="n">
        <f aca="false">K81*(1-K12)</f>
        <v>1.8</v>
      </c>
      <c r="L82" s="6" t="n">
        <f aca="false">L81*(1-L12)</f>
        <v>1.9</v>
      </c>
      <c r="M82" s="6" t="n">
        <f aca="false">M81*(1-M12)</f>
        <v>2</v>
      </c>
      <c r="N82" s="6" t="n">
        <f aca="false">N81*(1-N12)</f>
        <v>2.1</v>
      </c>
      <c r="O82" s="41" t="n">
        <f aca="false">MAX(C82:N82)</f>
        <v>2.1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96000</v>
      </c>
      <c r="M86" s="10" t="n">
        <f aca="false">M83*INDEX(Assumptions!$C$98:$E$98,$B$3)*$W$4+M84*INDEX(Assumptions!$C$99:$E$99,$B$3)+M85*INDEX(Assumptions!$C$100:$E$100,$B$3)</f>
        <v>96000</v>
      </c>
      <c r="N86" s="10" t="n">
        <f aca="false">N83*INDEX(Assumptions!$C$98:$E$98,$B$3)*$W$4+N84*INDEX(Assumptions!$C$99:$E$99,$B$3)+N85*INDEX(Assumptions!$C$100:$E$100,$B$3)</f>
        <v>96000</v>
      </c>
      <c r="O86" s="40" t="n">
        <f aca="false">SUM(C86:N86)</f>
        <v>984000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43000</v>
      </c>
      <c r="D92" s="40" t="n">
        <f aca="false">SUM(D86:D91)</f>
        <v>178000</v>
      </c>
      <c r="E92" s="40" t="n">
        <f aca="false">SUM(E86:E91)</f>
        <v>193000</v>
      </c>
      <c r="F92" s="40" t="n">
        <f aca="false">SUM(F86:F91)</f>
        <v>193000</v>
      </c>
      <c r="G92" s="40" t="n">
        <f aca="false">SUM(G86:G91)</f>
        <v>193000</v>
      </c>
      <c r="H92" s="40" t="n">
        <f aca="false">SUM(H86:H91)</f>
        <v>193000</v>
      </c>
      <c r="I92" s="40" t="n">
        <f aca="false">SUM(I86:I91)</f>
        <v>241500</v>
      </c>
      <c r="J92" s="40" t="n">
        <f aca="false">SUM(J86:J91)</f>
        <v>241500</v>
      </c>
      <c r="K92" s="40" t="n">
        <f aca="false">SUM(K86:K91)</f>
        <v>241500</v>
      </c>
      <c r="L92" s="40" t="n">
        <f aca="false">SUM(L86:L91)</f>
        <v>241500</v>
      </c>
      <c r="M92" s="40" t="n">
        <f aca="false">SUM(M86:M91)</f>
        <v>241500</v>
      </c>
      <c r="N92" s="40" t="n">
        <f aca="false">SUM(N86:N91)</f>
        <v>241500</v>
      </c>
      <c r="O92" s="11" t="n">
        <f aca="false">SUM(C92:N92)</f>
        <v>2442000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153600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271833</v>
      </c>
      <c r="D102" s="40" t="n">
        <f aca="false">D92+SUM(D94:D101)</f>
        <v>286833</v>
      </c>
      <c r="E102" s="40" t="n">
        <f aca="false">E92+SUM(E94:E101)</f>
        <v>476833</v>
      </c>
      <c r="F102" s="40" t="n">
        <f aca="false">F92+SUM(F94:F101)</f>
        <v>336833</v>
      </c>
      <c r="G102" s="40" t="n">
        <f aca="false">G92+SUM(G94:G101)</f>
        <v>346833</v>
      </c>
      <c r="H102" s="40" t="n">
        <f aca="false">H92+SUM(H94:H101)</f>
        <v>346833</v>
      </c>
      <c r="I102" s="40" t="n">
        <f aca="false">I92+SUM(I94:I101)</f>
        <v>489933</v>
      </c>
      <c r="J102" s="40" t="n">
        <f aca="false">J92+SUM(J94:J101)</f>
        <v>509933</v>
      </c>
      <c r="K102" s="40" t="n">
        <f aca="false">K92+SUM(K94:K101)</f>
        <v>514933</v>
      </c>
      <c r="L102" s="40" t="n">
        <f aca="false">L92+SUM(L94:L101)</f>
        <v>514933</v>
      </c>
      <c r="M102" s="40" t="n">
        <f aca="false">M92+SUM(M94:M101)</f>
        <v>514933</v>
      </c>
      <c r="N102" s="40" t="n">
        <f aca="false">N92+SUM(N94:N101)</f>
        <v>514933</v>
      </c>
      <c r="O102" s="11" t="n">
        <f aca="false">SUM(C102:N102)</f>
        <v>5125596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-184431.846949089</v>
      </c>
      <c r="D103" s="40" t="n">
        <f aca="false">D78-D102</f>
        <v>-164413.933075441</v>
      </c>
      <c r="E103" s="40" t="n">
        <f aca="false">E78-E102</f>
        <v>-273143.711470079</v>
      </c>
      <c r="F103" s="40" t="n">
        <f aca="false">F78-F102</f>
        <v>-54086.1106493325</v>
      </c>
      <c r="G103" s="40" t="n">
        <f aca="false">G78-G102</f>
        <v>-15861.8163104748</v>
      </c>
      <c r="H103" s="40" t="n">
        <f aca="false">H78-H102</f>
        <v>-8558.96934896655</v>
      </c>
      <c r="I103" s="40" t="n">
        <f aca="false">I78-I102</f>
        <v>167778.961545326</v>
      </c>
      <c r="J103" s="40" t="n">
        <f aca="false">J78-J102</f>
        <v>264520.949460429</v>
      </c>
      <c r="K103" s="40" t="n">
        <f aca="false">K78-K102</f>
        <v>56217.3837567626</v>
      </c>
      <c r="L103" s="40" t="n">
        <f aca="false">L78-L102</f>
        <v>101775.453190675</v>
      </c>
      <c r="M103" s="40" t="n">
        <f aca="false">M78-M102</f>
        <v>151049.602021391</v>
      </c>
      <c r="N103" s="40" t="n">
        <f aca="false">N78-N102</f>
        <v>148497.328746759</v>
      </c>
      <c r="O103" s="11" t="n">
        <f aca="false">SUM(C103:N103)</f>
        <v>189343.290917959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-1.54800095967371</v>
      </c>
      <c r="D104" s="8" t="n">
        <f aca="false">IFERROR(D103/D66,0)</f>
        <v>-0.998411826484288</v>
      </c>
      <c r="E104" s="8" t="n">
        <f aca="false">IFERROR(E103/E66,0)</f>
        <v>-1.01652991340101</v>
      </c>
      <c r="F104" s="8" t="n">
        <f aca="false">IFERROR(F103/F66,0)</f>
        <v>-0.144174804474631</v>
      </c>
      <c r="G104" s="8" t="n">
        <f aca="false">IFERROR(G103/G66,0)</f>
        <v>-0.0355794701276828</v>
      </c>
      <c r="H104" s="8" t="n">
        <f aca="false">IFERROR(H103/H66,0)</f>
        <v>-0.0189810194759584</v>
      </c>
      <c r="I104" s="8" t="n">
        <f aca="false">IFERROR(I103/I66,0)</f>
        <v>0.217329353846277</v>
      </c>
      <c r="J104" s="8" t="n">
        <f aca="false">IFERROR(J103/J66,0)</f>
        <v>0.290100598513818</v>
      </c>
      <c r="K104" s="8" t="n">
        <f aca="false">IFERROR(K103/K66,0)</f>
        <v>0.0801860669015389</v>
      </c>
      <c r="L104" s="8" t="n">
        <f aca="false">IFERROR(L103/L66,0)</f>
        <v>0.134754078605797</v>
      </c>
      <c r="M104" s="8" t="n">
        <f aca="false">IFERROR(M103/M66,0)</f>
        <v>0.185722593116148</v>
      </c>
      <c r="N104" s="8" t="n">
        <f aca="false">IFERROR(N103/N66,0)</f>
        <v>0.183342148160838</v>
      </c>
      <c r="O104" s="8" t="n">
        <f aca="false">IFERROR(O103/O66,0)</f>
        <v>0.0287413513914918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-259431.846949089</v>
      </c>
      <c r="D105" s="10" t="n">
        <f aca="false">D103-INDEX(Assumptions!$C$204:$E$204,$B$3)</f>
        <v>-239413.933075441</v>
      </c>
      <c r="E105" s="10" t="n">
        <f aca="false">E103-INDEX(Assumptions!$C$204:$E$204,$B$3)</f>
        <v>-348143.711470079</v>
      </c>
      <c r="F105" s="10" t="n">
        <f aca="false">F103-INDEX(Assumptions!$C$204:$E$204,$B$3)</f>
        <v>-129086.110649333</v>
      </c>
      <c r="G105" s="10" t="n">
        <f aca="false">G103-INDEX(Assumptions!$C$204:$E$204,$B$3)</f>
        <v>-90861.8163104748</v>
      </c>
      <c r="H105" s="10" t="n">
        <f aca="false">H103-INDEX(Assumptions!$C$204:$E$204,$B$3)</f>
        <v>-83558.9693489666</v>
      </c>
      <c r="I105" s="10" t="n">
        <f aca="false">I103-INDEX(Assumptions!$C$204:$E$204,$B$3)</f>
        <v>92778.9615453261</v>
      </c>
      <c r="J105" s="10" t="n">
        <f aca="false">J103-INDEX(Assumptions!$C$204:$E$204,$B$3)</f>
        <v>189520.949460429</v>
      </c>
      <c r="K105" s="10" t="n">
        <f aca="false">K103-INDEX(Assumptions!$C$204:$E$204,$B$3)</f>
        <v>-18782.6162432374</v>
      </c>
      <c r="L105" s="10" t="n">
        <f aca="false">L103-INDEX(Assumptions!$C$204:$E$204,$B$3)</f>
        <v>26775.4531906745</v>
      </c>
      <c r="M105" s="10" t="n">
        <f aca="false">M103-INDEX(Assumptions!$C$204:$E$204,$B$3)</f>
        <v>76049.6020213913</v>
      </c>
      <c r="N105" s="10" t="n">
        <f aca="false">N103-INDEX(Assumptions!$C$204:$E$204,$B$3)</f>
        <v>73497.3287467586</v>
      </c>
      <c r="O105" s="40" t="n">
        <f aca="false">SUM(C105:N105)</f>
        <v>-710656.709082041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350000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350000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350000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1972000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10023.9980730487</v>
      </c>
      <c r="I113" s="10" t="n">
        <f aca="false">((I67+IF(INDEX(Assumptions!$C$87:$E$87,$B$3)&gt;=2,H67,0)+IF(INDEX(Assumptions!$C$87:$E$87,$B$3)&gt;=3,G67,0))/INDEX(Assumptions!$C$87:$E$87,$B$3))-I67</f>
        <v>-143556.809053915</v>
      </c>
      <c r="J113" s="10" t="n">
        <f aca="false">((J67+IF(INDEX(Assumptions!$C$87:$E$87,$B$3)&gt;=2,I67,0)+IF(INDEX(Assumptions!$C$87:$E$87,$B$3)&gt;=3,H67,0))/INDEX(Assumptions!$C$87:$E$87,$B$3))-J67</f>
        <v>-56348.9178326934</v>
      </c>
      <c r="K113" s="10" t="n">
        <f aca="false">((K67+IF(INDEX(Assumptions!$C$87:$E$87,$B$3)&gt;=2,J67,0)+IF(INDEX(Assumptions!$C$87:$E$87,$B$3)&gt;=3,I67,0))/INDEX(Assumptions!$C$87:$E$87,$B$3))-K67</f>
        <v>113826.362727011</v>
      </c>
      <c r="L113" s="10" t="n">
        <f aca="false">((L67+IF(INDEX(Assumptions!$C$87:$E$87,$B$3)&gt;=2,K67,0)+IF(INDEX(Assumptions!$C$87:$E$87,$B$3)&gt;=3,J67,0))/INDEX(Assumptions!$C$87:$E$87,$B$3))-L67</f>
        <v>-20985.6389095931</v>
      </c>
      <c r="M113" s="10" t="n">
        <f aca="false">((M67+IF(INDEX(Assumptions!$C$87:$E$87,$B$3)&gt;=2,L67,0)+IF(INDEX(Assumptions!$C$87:$E$87,$B$3)&gt;=3,K67,0))/INDEX(Assumptions!$C$87:$E$87,$B$3))-M67</f>
        <v>-19461.0225320023</v>
      </c>
      <c r="N113" s="10" t="n">
        <f aca="false">((N67+IF(INDEX(Assumptions!$C$87:$E$87,$B$3)&gt;=2,M67,0)+IF(INDEX(Assumptions!$C$87:$E$87,$B$3)&gt;=3,L67,0))/INDEX(Assumptions!$C$87:$E$87,$B$3))-N67</f>
        <v>10891.1800705171</v>
      </c>
      <c r="O113" s="40" t="n">
        <f aca="false">SUM(C113:N113)</f>
        <v>-251409.322033898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-378465.745254174</v>
      </c>
      <c r="D114" s="40" t="n">
        <f aca="false">D103+D113-D112</f>
        <v>-176428.926719509</v>
      </c>
      <c r="E114" s="40" t="n">
        <f aca="false">E103+E113-E112</f>
        <v>-296661.06295313</v>
      </c>
      <c r="F114" s="40" t="n">
        <f aca="false">F103+F113-F112</f>
        <v>-88181.7316239088</v>
      </c>
      <c r="G114" s="40" t="n">
        <f aca="false">G103+G113-G112</f>
        <v>-47998.4264799663</v>
      </c>
      <c r="H114" s="40" t="n">
        <f aca="false">H103+H113-H112</f>
        <v>-1470534.97127592</v>
      </c>
      <c r="I114" s="40" t="n">
        <f aca="false">I103+I113-I112</f>
        <v>24222.1524914115</v>
      </c>
      <c r="J114" s="40" t="n">
        <f aca="false">J103+J113-J112</f>
        <v>-141827.968372264</v>
      </c>
      <c r="K114" s="40" t="n">
        <f aca="false">K103+K113-K112</f>
        <v>170043.746483773</v>
      </c>
      <c r="L114" s="40" t="n">
        <f aca="false">L103+L113-L112</f>
        <v>80789.8142810814</v>
      </c>
      <c r="M114" s="40" t="n">
        <f aca="false">M103+M113-M112</f>
        <v>131588.579489389</v>
      </c>
      <c r="N114" s="40" t="n">
        <f aca="false">N103+N113-N112</f>
        <v>159388.508817276</v>
      </c>
      <c r="O114" s="11" t="n">
        <f aca="false">SUM(C114:N114)</f>
        <v>-2034066.03111594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-378465.745254174</v>
      </c>
      <c r="D115" s="40" t="n">
        <f aca="false">C115+D114</f>
        <v>-554894.671973683</v>
      </c>
      <c r="E115" s="40" t="n">
        <f aca="false">D115+E114</f>
        <v>-851555.734926813</v>
      </c>
      <c r="F115" s="40" t="n">
        <f aca="false">E115+F114</f>
        <v>-939737.466550722</v>
      </c>
      <c r="G115" s="40" t="n">
        <f aca="false">F115+G114</f>
        <v>-987735.893030688</v>
      </c>
      <c r="H115" s="40" t="n">
        <f aca="false">G115+H114</f>
        <v>-2458270.86430661</v>
      </c>
      <c r="I115" s="40" t="n">
        <f aca="false">H115+I114</f>
        <v>-2434048.71181519</v>
      </c>
      <c r="J115" s="40" t="n">
        <f aca="false">I115+J114</f>
        <v>-2575876.68018746</v>
      </c>
      <c r="K115" s="40" t="n">
        <f aca="false">J115+K114</f>
        <v>-2405832.93370369</v>
      </c>
      <c r="L115" s="40" t="n">
        <f aca="false">K115+L114</f>
        <v>-2325043.1194226</v>
      </c>
      <c r="M115" s="40" t="n">
        <f aca="false">L115+M114</f>
        <v>-2193454.53993322</v>
      </c>
      <c r="N115" s="40" t="n">
        <f aca="false">M115+N114</f>
        <v>-2034066.03111594</v>
      </c>
      <c r="O115" s="11" t="n">
        <f aca="false">N115</f>
        <v>-2034066.03111594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378465.745254174</v>
      </c>
      <c r="D116" s="40" t="n">
        <f aca="false">-MIN(0,MIN($C$115:D115))</f>
        <v>554894.671973683</v>
      </c>
      <c r="E116" s="40" t="n">
        <f aca="false">-MIN(0,MIN($C$115:E115))</f>
        <v>851555.734926813</v>
      </c>
      <c r="F116" s="40" t="n">
        <f aca="false">-MIN(0,MIN($C$115:F115))</f>
        <v>939737.466550722</v>
      </c>
      <c r="G116" s="40" t="n">
        <f aca="false">-MIN(0,MIN($C$115:G115))</f>
        <v>987735.893030688</v>
      </c>
      <c r="H116" s="40" t="n">
        <f aca="false">-MIN(0,MIN($C$115:H115))</f>
        <v>2458270.86430661</v>
      </c>
      <c r="I116" s="40" t="n">
        <f aca="false">-MIN(0,MIN($C$115:I115))</f>
        <v>2458270.86430661</v>
      </c>
      <c r="J116" s="40" t="n">
        <f aca="false">-MIN(0,MIN($C$115:J115))</f>
        <v>2575876.68018746</v>
      </c>
      <c r="K116" s="40" t="n">
        <f aca="false">-MIN(0,MIN($C$115:K115))</f>
        <v>2575876.68018746</v>
      </c>
      <c r="L116" s="40" t="n">
        <f aca="false">-MIN(0,MIN($C$115:L115))</f>
        <v>2575876.68018746</v>
      </c>
      <c r="M116" s="40" t="n">
        <f aca="false">-MIN(0,MIN($C$115:M115))</f>
        <v>2575876.68018746</v>
      </c>
      <c r="N116" s="40" t="n">
        <f aca="false">-MIN(0,MIN($C$115:N115))</f>
        <v>2575876.68018746</v>
      </c>
      <c r="O116" s="11" t="n">
        <f aca="false">MAX(C116:N116)</f>
        <v>2575876.68018746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5.9787359964518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8.23595655824956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12.2780012905149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8.1588117348821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7.91341168221993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5.9787359964518</v>
      </c>
      <c r="D131" s="8" t="n">
        <f aca="false">C131/INDEX(Assumptions!$C$179:$E$179,$B$3)</f>
        <v>0.498227999704317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8.23595655824956</v>
      </c>
      <c r="D132" s="8" t="n">
        <f aca="false">C132/INDEX(Assumptions!$C$179:$E$179,$B$3)</f>
        <v>0.686329713187463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12.2780012905149</v>
      </c>
      <c r="D133" s="8" t="n">
        <f aca="false">C133/INDEX(Assumptions!$C$179:$E$179,$B$3)</f>
        <v>1.02316677420957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8.1588117348821</v>
      </c>
      <c r="D134" s="8" t="n">
        <f aca="false">C134/INDEX(Assumptions!$C$179:$E$179,$B$3)</f>
        <v>0.679900977906842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7.91341168221993</v>
      </c>
      <c r="D135" s="8" t="n">
        <f aca="false">C135/INDEX(Assumptions!$C$179:$E$179,$B$3)</f>
        <v>0.659450973518328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7.89921858663513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14.6318309201656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12.1204560732976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10.5812036764529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7.89921858663513</v>
      </c>
      <c r="D145" s="8" t="n">
        <f aca="false">C145/INDEX(Assumptions!$C$179:$E$179,$B$3)</f>
        <v>0.658268215552927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14.6318309201656</v>
      </c>
      <c r="D146" s="8" t="n">
        <f aca="false">C146/INDEX(Assumptions!$C$179:$E$179,$B$3)</f>
        <v>1.21931924334713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12.1204560732976</v>
      </c>
      <c r="D147" s="8" t="n">
        <f aca="false">C147/INDEX(Assumptions!$C$179:$E$179,$B$3)</f>
        <v>1.01003800610813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10.5812036764529</v>
      </c>
      <c r="D148" s="8" t="n">
        <f aca="false">C148/INDEX(Assumptions!$C$179:$E$179,$B$3)</f>
        <v>0.881766973037739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6587835.35745677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189343.290917959</v>
      </c>
    </row>
    <row r="154" customFormat="false" ht="15" hidden="false" customHeight="false" outlineLevel="0" collapsed="false">
      <c r="A154" s="3" t="s">
        <v>45</v>
      </c>
      <c r="B154" s="9" t="n">
        <f aca="false">O104</f>
        <v>0.0287413513914918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-710656.709082041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1972000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2575876.68018746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424123.319812542</v>
      </c>
    </row>
    <row r="160" customFormat="false" ht="15" hidden="false" customHeight="false" outlineLevel="0" collapsed="false">
      <c r="A160" s="3" t="s">
        <v>51</v>
      </c>
      <c r="B160" s="7" t="n">
        <f aca="false">O38</f>
        <v>89.3117228168619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10.6735421997155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0.828357899756937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0.3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3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42355.1919067797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514933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6.493999387995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77.92799265594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10740.527089785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0.190107329489194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0.488339192013916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20.4049712973981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401322.383958824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-2034066.03111594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6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2575876.68018746</v>
      </c>
    </row>
    <row r="182" customFormat="false" ht="15" hidden="false" customHeight="false" outlineLevel="0" collapsed="false">
      <c r="A182" s="3" t="s">
        <v>73</v>
      </c>
      <c r="B182" s="11" t="n">
        <f aca="false">O86</f>
        <v>984000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1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76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2853583.03369012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8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148306.613120224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0.610606991218075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7.91341168221993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1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0.962541821669398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37.8007519189758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4.54367302147044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1946121.38395882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1577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1</v>
      </c>
      <c r="C3" s="13" t="s">
        <v>1386</v>
      </c>
      <c r="D3" s="37" t="n">
        <v>1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0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1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1</v>
      </c>
      <c r="D9" s="10" t="n">
        <f aca="false">IF(2&gt;=$U$4,1,$D$3)</f>
        <v>1</v>
      </c>
      <c r="E9" s="10" t="n">
        <f aca="false">IF(3&gt;=$U$4,1,$D$3)</f>
        <v>1</v>
      </c>
      <c r="F9" s="10" t="n">
        <f aca="false">IF(4&gt;=$U$4,1,$D$3)</f>
        <v>1</v>
      </c>
      <c r="G9" s="10" t="n">
        <f aca="false">IF(5&gt;=$U$4,1,$D$3)</f>
        <v>1</v>
      </c>
      <c r="H9" s="10" t="n">
        <f aca="false">IF(6&gt;=$U$4,1,$D$3)</f>
        <v>1</v>
      </c>
      <c r="I9" s="10" t="n">
        <f aca="false">IF(7&gt;=$U$4,1,$D$3)</f>
        <v>1</v>
      </c>
      <c r="J9" s="10" t="n">
        <f aca="false">IF(8&gt;=$U$4,1,$D$3)</f>
        <v>1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0.933333333333333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0.866666666666667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0.8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0.733333333333333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0.666666666666667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0.6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0.566666666666667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0.533333333333333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1.65</v>
      </c>
      <c r="E15" s="16" t="n">
        <f aca="false">E14+(INDEX(Assumptions!$C$25:$E$25,E$9)*(1-(INDEX(Assumptions!$C$27:$E$27,$B$3)+INDEX(Assumptions!$C$28:$E$28,$B$3)+INDEX(Assumptions!$C$31:$E$31,$B$3)))-E14)*MIN(1,(3-1)/6)*$N$4</f>
        <v>1.8</v>
      </c>
      <c r="F15" s="16" t="n">
        <f aca="false">F14+(INDEX(Assumptions!$C$25:$E$25,F$9)*(1-(INDEX(Assumptions!$C$27:$E$27,$B$3)+INDEX(Assumptions!$C$28:$E$28,$B$3)+INDEX(Assumptions!$C$31:$E$31,$B$3)))-F14)*MIN(1,(4-1)/6)*$N$4</f>
        <v>1.95</v>
      </c>
      <c r="G15" s="16" t="n">
        <f aca="false">G14+(INDEX(Assumptions!$C$25:$E$25,G$9)*(1-(INDEX(Assumptions!$C$27:$E$27,$B$3)+INDEX(Assumptions!$C$28:$E$28,$B$3)+INDEX(Assumptions!$C$31:$E$31,$B$3)))-G14)*MIN(1,(5-1)/6)*$N$4</f>
        <v>2.1</v>
      </c>
      <c r="H15" s="16" t="n">
        <f aca="false">H14+(INDEX(Assumptions!$C$25:$E$25,H$9)*(1-(INDEX(Assumptions!$C$27:$E$27,$B$3)+INDEX(Assumptions!$C$28:$E$28,$B$3)+INDEX(Assumptions!$C$31:$E$31,$B$3)))-H14)*MIN(1,(6-1)/6)*$N$4</f>
        <v>2.25</v>
      </c>
      <c r="I15" s="16" t="n">
        <f aca="false">I14+(INDEX(Assumptions!$C$25:$E$25,I$9)*(1-(INDEX(Assumptions!$C$27:$E$27,$B$3)+INDEX(Assumptions!$C$28:$E$28,$B$3)+INDEX(Assumptions!$C$31:$E$31,$B$3)))-I14)*MIN(1,(7-1)/6)*$N$4</f>
        <v>2.4</v>
      </c>
      <c r="J15" s="16" t="n">
        <f aca="false">J14+(INDEX(Assumptions!$C$25:$E$25,J$9)*(1-(INDEX(Assumptions!$C$27:$E$27,$B$3)+INDEX(Assumptions!$C$28:$E$28,$B$3)+INDEX(Assumptions!$C$31:$E$31,$B$3)))-J14)*MIN(1,(8-1)/6)*$N$4</f>
        <v>2.4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25.65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0.6</v>
      </c>
      <c r="E16" s="16" t="n">
        <f aca="false">INDEX(Assumptions!$C$25:$E$25,E$9)*(INDEX(Assumptions!$C$27:$E$27,$B$3)+INDEX(Assumptions!$C$28:$E$28,$B$3)+INDEX(Assumptions!$C$31:$E$31,$B$3))*MIN(1,(3-1)/6)</f>
        <v>1.2</v>
      </c>
      <c r="F16" s="16" t="n">
        <f aca="false">INDEX(Assumptions!$C$25:$E$25,F$9)*(INDEX(Assumptions!$C$27:$E$27,$B$3)+INDEX(Assumptions!$C$28:$E$28,$B$3)+INDEX(Assumptions!$C$31:$E$31,$B$3))*MIN(1,(4-1)/6)</f>
        <v>1.8</v>
      </c>
      <c r="G16" s="16" t="n">
        <f aca="false">INDEX(Assumptions!$C$25:$E$25,G$9)*(INDEX(Assumptions!$C$27:$E$27,$B$3)+INDEX(Assumptions!$C$28:$E$28,$B$3)+INDEX(Assumptions!$C$31:$E$31,$B$3))*MIN(1,(5-1)/6)</f>
        <v>2.4</v>
      </c>
      <c r="H16" s="16" t="n">
        <f aca="false">INDEX(Assumptions!$C$25:$E$25,H$9)*(INDEX(Assumptions!$C$27:$E$27,$B$3)+INDEX(Assumptions!$C$28:$E$28,$B$3)+INDEX(Assumptions!$C$31:$E$31,$B$3))*MIN(1,(6-1)/6)</f>
        <v>3</v>
      </c>
      <c r="I16" s="16" t="n">
        <f aca="false">INDEX(Assumptions!$C$25:$E$25,I$9)*(INDEX(Assumptions!$C$27:$E$27,$B$3)+INDEX(Assumptions!$C$28:$E$28,$B$3)+INDEX(Assumptions!$C$31:$E$31,$B$3))*MIN(1,(7-1)/6)</f>
        <v>3.6</v>
      </c>
      <c r="J16" s="16" t="n">
        <f aca="false">INDEX(Assumptions!$C$25:$E$25,J$9)*(INDEX(Assumptions!$C$27:$E$27,$B$3)+INDEX(Assumptions!$C$28:$E$28,$B$3)+INDEX(Assumptions!$C$31:$E$31,$B$3))*MIN(1,(8-1)/6)</f>
        <v>3.6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30.6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1.5</v>
      </c>
      <c r="D17" s="16" t="n">
        <f aca="false">D15+D16</f>
        <v>2.25</v>
      </c>
      <c r="E17" s="16" t="n">
        <f aca="false">E15+E16</f>
        <v>3</v>
      </c>
      <c r="F17" s="16" t="n">
        <f aca="false">F15+F16</f>
        <v>3.75</v>
      </c>
      <c r="G17" s="16" t="n">
        <f aca="false">G15+G16</f>
        <v>4.5</v>
      </c>
      <c r="H17" s="16" t="n">
        <f aca="false">H15+H16</f>
        <v>5.25</v>
      </c>
      <c r="I17" s="16" t="n">
        <f aca="false">I15+I16</f>
        <v>6</v>
      </c>
      <c r="J17" s="16" t="n">
        <f aca="false">J15+J16</f>
        <v>6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56.25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10000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30000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35000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40000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40000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40000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40000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40000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40000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40000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40000</v>
      </c>
      <c r="O18" s="40" t="n">
        <f aca="false">SUM(C18:N18)</f>
        <v>410000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0.5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0.875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0.173597122302158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0.520791366906475</v>
      </c>
      <c r="F21" s="16" t="n">
        <f aca="false">F18*INDEX(Assumptions!$C$119:$E$119,$B$3)/F19</f>
        <v>0.607589928057554</v>
      </c>
      <c r="G21" s="16" t="n">
        <f aca="false">G18*INDEX(Assumptions!$C$119:$E$119,$B$3)/G19</f>
        <v>0.694388489208633</v>
      </c>
      <c r="H21" s="16" t="n">
        <f aca="false">H18*INDEX(Assumptions!$C$119:$E$119,$B$3)/H19</f>
        <v>0.694388489208633</v>
      </c>
      <c r="I21" s="16" t="n">
        <f aca="false">I18*INDEX(Assumptions!$C$119:$E$119,$B$3)/I19</f>
        <v>0.694388489208633</v>
      </c>
      <c r="J21" s="16" t="n">
        <f aca="false">J18*INDEX(Assumptions!$C$119:$E$119,$B$3)/J19</f>
        <v>0.694388489208633</v>
      </c>
      <c r="K21" s="16" t="n">
        <f aca="false">K18*INDEX(Assumptions!$C$119:$E$119,$B$3)/K19</f>
        <v>0.694388489208633</v>
      </c>
      <c r="L21" s="16" t="n">
        <f aca="false">L18*INDEX(Assumptions!$C$119:$E$119,$B$3)/L19</f>
        <v>0.694388489208633</v>
      </c>
      <c r="M21" s="16" t="n">
        <f aca="false">M18*INDEX(Assumptions!$C$119:$E$119,$B$3)/M19</f>
        <v>0.694388489208633</v>
      </c>
      <c r="N21" s="16" t="n">
        <f aca="false">N18*INDEX(Assumptions!$C$119:$E$119,$B$3)/N19</f>
        <v>0.694388489208633</v>
      </c>
      <c r="O21" s="38" t="n">
        <f aca="false">SUM(C21:N21)</f>
        <v>7.11748201438849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1.27889838129496</v>
      </c>
      <c r="E24" s="38" t="n">
        <f aca="false">E10*(E14*$F$3+(E15-E14)*$F$3*E20+MIN(E16,E21*E20))*E22*E23</f>
        <v>1.33727697841727</v>
      </c>
      <c r="F24" s="38" t="n">
        <f aca="false">F10*(F14*$F$3+(F15-F14)*$F$3*F20+MIN(F16,F21*F20))*F22*F23</f>
        <v>2.04607194244604</v>
      </c>
      <c r="G24" s="38" t="n">
        <f aca="false">G10*(G14*$F$3+(G15-G14)*$F$3*G20+MIN(G16,G21*G20))*G22*G23</f>
        <v>2.51494964028777</v>
      </c>
      <c r="H24" s="38" t="n">
        <f aca="false">H10*(H14*$F$3+(H15-H14)*$F$3*H20+MIN(H16,H21*H20))*H22*H23</f>
        <v>2.94438848920863</v>
      </c>
      <c r="I24" s="38" t="n">
        <f aca="false">I10*(I14*$F$3+(I15-I14)*$F$3*I20+MIN(I16,I21*I20))*I22*I23</f>
        <v>4.02270503597122</v>
      </c>
      <c r="J24" s="38" t="n">
        <f aca="false">J10*(J14*$F$3+(J15-J14)*$F$3*J20+MIN(J16,J21*J20))*J22*J23</f>
        <v>4.17742446043166</v>
      </c>
      <c r="K24" s="38" t="n">
        <f aca="false">K10*(K14*$F$3+(K15-K14)*$F$3*K20+MIN(K16,K21*K20))*K22*K23</f>
        <v>3.86798561151079</v>
      </c>
      <c r="L24" s="38" t="n">
        <f aca="false">L10*(L14*$F$3+(L15-L14)*$F$3*L20+MIN(L16,L21*L20))*L22*L23</f>
        <v>3.4038273381295</v>
      </c>
      <c r="M24" s="38" t="n">
        <f aca="false">M10*(M14*$F$3+(M15-M14)*$F$3*M20+MIN(M16,M21*M20))*M22*M23</f>
        <v>3.24910791366907</v>
      </c>
      <c r="N24" s="38" t="n">
        <f aca="false">N10*(N14*$F$3+(N15-N14)*$F$3*N20+MIN(N16,N21*N20))*N22*N23</f>
        <v>3.09438848920863</v>
      </c>
      <c r="O24" s="17" t="n">
        <f aca="false">SUM(C24:N24)</f>
        <v>33.1370242805755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</v>
      </c>
      <c r="O26" s="41" t="n">
        <f aca="false">N26</f>
        <v>2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14.4</v>
      </c>
      <c r="J27" s="6" t="n">
        <f aca="false">J25*J26*INDEX(Assumptions!$C$220:$E$220,$B$3)</f>
        <v>14.4</v>
      </c>
      <c r="K27" s="6" t="n">
        <f aca="false">K25*K26*INDEX(Assumptions!$C$220:$E$220,$B$3)</f>
        <v>14.4</v>
      </c>
      <c r="L27" s="6" t="n">
        <f aca="false">L25*L26*INDEX(Assumptions!$C$220:$E$220,$B$3)</f>
        <v>14.4</v>
      </c>
      <c r="M27" s="6" t="n">
        <f aca="false">M25*M26*INDEX(Assumptions!$C$220:$E$220,$B$3)</f>
        <v>14.4</v>
      </c>
      <c r="N27" s="6" t="n">
        <f aca="false">N25*N26*INDEX(Assumptions!$C$220:$E$220,$B$3)</f>
        <v>14.4</v>
      </c>
      <c r="O27" s="41" t="n">
        <f aca="false">N27</f>
        <v>14.4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1.38944919064748</v>
      </c>
      <c r="F31" s="6" t="n">
        <f aca="false">E34+D34+E37+D37+1.25*E35</f>
        <v>1.61794997751799</v>
      </c>
      <c r="G31" s="6" t="n">
        <f aca="false">F34+E34+F37+E37+1.25*F35</f>
        <v>2.01869638039568</v>
      </c>
      <c r="H31" s="6" t="n">
        <f aca="false">G34+F34+G37+F37+1.25*G35</f>
        <v>2.70342940647482</v>
      </c>
      <c r="I31" s="6" t="n">
        <f aca="false">H34+G34+H37+G37+1.25*H35</f>
        <v>3.29979676258993</v>
      </c>
      <c r="J31" s="6" t="n">
        <f aca="false">I34+H34+I37+H37+1.25*I35</f>
        <v>4.16596402877698</v>
      </c>
      <c r="K31" s="6" t="n">
        <f aca="false">J34+I34+J37+I37+1.25*J35</f>
        <v>4.97095143884892</v>
      </c>
      <c r="L31" s="6" t="n">
        <f aca="false">K34+J34+K37+J37+1.25*K35</f>
        <v>5.04772122302158</v>
      </c>
      <c r="M31" s="6" t="n">
        <f aca="false">L34+K34+L37+K37+1.25*L35</f>
        <v>4.64158273381295</v>
      </c>
      <c r="N31" s="6" t="n">
        <f aca="false">M34+L34+M37+L37+1.25*M35</f>
        <v>4.23544424460432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1.42889838129496</v>
      </c>
      <c r="E32" s="6" t="n">
        <f aca="false">E24*(INDEX(Assumptions!$C$26:$E$26,$B$3)*(1-E28)+(1-INDEX(Assumptions!$C$26:$E$26,$B$3)))+1.25*E30+D36*INDEX(Assumptions!$C$89:$E$89,$B$3)</f>
        <v>1.49713927607914</v>
      </c>
      <c r="F32" s="6" t="n">
        <f aca="false">F24*(INDEX(Assumptions!$C$26:$E$26,$B$3)*(1-F28)+(1-INDEX(Assumptions!$C$26:$E$26,$B$3)))+1.25*F30+E36*INDEX(Assumptions!$C$89:$E$89,$B$3)</f>
        <v>2.2132315647482</v>
      </c>
      <c r="G32" s="6" t="n">
        <f aca="false">G24*(INDEX(Assumptions!$C$26:$E$26,$B$3)*(1-G28)+(1-INDEX(Assumptions!$C$26:$E$26,$B$3)))+1.25*G30+F36*INDEX(Assumptions!$C$89:$E$89,$B$3)</f>
        <v>2.77070863309353</v>
      </c>
      <c r="H32" s="6" t="n">
        <f aca="false">H24*(INDEX(Assumptions!$C$26:$E$26,$B$3)*(1-H28)+(1-INDEX(Assumptions!$C$26:$E$26,$B$3)))+1.25*H30+G36*INDEX(Assumptions!$C$89:$E$89,$B$3)</f>
        <v>3.25875719424461</v>
      </c>
      <c r="I32" s="6" t="n">
        <f aca="false">I24*(INDEX(Assumptions!$C$26:$E$26,$B$3)*(1-I28)+(1-INDEX(Assumptions!$C$26:$E$26,$B$3)))+1.25*I30+H36*INDEX(Assumptions!$C$89:$E$89,$B$3)</f>
        <v>4.3907535971223</v>
      </c>
      <c r="J32" s="6" t="n">
        <f aca="false">J24*(INDEX(Assumptions!$C$26:$E$26,$B$3)*(1-J28)+(1-INDEX(Assumptions!$C$26:$E$26,$B$3)))+1.25*J30+I36*INDEX(Assumptions!$C$89:$E$89,$B$3)</f>
        <v>4.68026258992806</v>
      </c>
      <c r="K32" s="6" t="n">
        <f aca="false">K24*(INDEX(Assumptions!$C$26:$E$26,$B$3)*(1-K28)+(1-INDEX(Assumptions!$C$26:$E$26,$B$3)))+1.25*K30+J36*INDEX(Assumptions!$C$89:$E$89,$B$3)</f>
        <v>4.39016366906475</v>
      </c>
      <c r="L32" s="6" t="n">
        <f aca="false">L24*(INDEX(Assumptions!$C$26:$E$26,$B$3)*(1-L28)+(1-INDEX(Assumptions!$C$26:$E$26,$B$3)))+1.25*L30+K36*INDEX(Assumptions!$C$89:$E$89,$B$3)</f>
        <v>3.88732553956835</v>
      </c>
      <c r="M32" s="6" t="n">
        <f aca="false">M24*(INDEX(Assumptions!$C$26:$E$26,$B$3)*(1-M28)+(1-INDEX(Assumptions!$C$26:$E$26,$B$3)))+1.25*M30+L36*INDEX(Assumptions!$C$89:$E$89,$B$3)</f>
        <v>3.67458633093525</v>
      </c>
      <c r="N32" s="6" t="n">
        <f aca="false">N24*(INDEX(Assumptions!$C$26:$E$26,$B$3)*(1-N28)+(1-INDEX(Assumptions!$C$26:$E$26,$B$3)))+1.25*N30+M36*INDEX(Assumptions!$C$89:$E$89,$B$3)</f>
        <v>3.50052697841727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0.639449190647482</v>
      </c>
      <c r="E34" s="38" t="n">
        <f aca="false">E24*INDEX(Assumptions!$C$26:$E$26,$B$3)*(1-E28)*E33</f>
        <v>0.668638489208633</v>
      </c>
      <c r="F34" s="38" t="n">
        <f aca="false">F24*INDEX(Assumptions!$C$26:$E$26,$B$3)*(1-F28)*F33</f>
        <v>1.02303597122302</v>
      </c>
      <c r="G34" s="38" t="n">
        <f aca="false">G24*INDEX(Assumptions!$C$26:$E$26,$B$3)*(1-G28)*G33</f>
        <v>1.25747482014389</v>
      </c>
      <c r="H34" s="38" t="n">
        <f aca="false">H24*INDEX(Assumptions!$C$26:$E$26,$B$3)*(1-H28)*H33</f>
        <v>1.47219424460432</v>
      </c>
      <c r="I34" s="38" t="n">
        <f aca="false">I24*INDEX(Assumptions!$C$26:$E$26,$B$3)*(1-I28)*I33</f>
        <v>2.01135251798561</v>
      </c>
      <c r="J34" s="38" t="n">
        <f aca="false">J24*INDEX(Assumptions!$C$26:$E$26,$B$3)*(1-J28)*J33</f>
        <v>2.08871223021583</v>
      </c>
      <c r="K34" s="38" t="n">
        <f aca="false">K24*INDEX(Assumptions!$C$26:$E$26,$B$3)*(1-K28)*K33</f>
        <v>1.9339928057554</v>
      </c>
      <c r="L34" s="38" t="n">
        <f aca="false">L24*INDEX(Assumptions!$C$26:$E$26,$B$3)*(1-L28)*L33</f>
        <v>1.70191366906475</v>
      </c>
      <c r="M34" s="38" t="n">
        <f aca="false">M24*INDEX(Assumptions!$C$26:$E$26,$B$3)*(1-M28)*M33</f>
        <v>1.62455395683453</v>
      </c>
      <c r="N34" s="38" t="n">
        <f aca="false">N24*INDEX(Assumptions!$C$26:$E$26,$B$3)*(1-N28)*N33</f>
        <v>1.54719424460432</v>
      </c>
      <c r="O34" s="17" t="n">
        <f aca="false">SUM(C34:N34)</f>
        <v>16.5685121402878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0.6</v>
      </c>
      <c r="D36" s="16" t="n">
        <f aca="false">D24*(1-INDEX(Assumptions!$C$26:$E$26,$B$3))*D33</f>
        <v>0.639449190647482</v>
      </c>
      <c r="E36" s="16" t="n">
        <f aca="false">E24*(1-INDEX(Assumptions!$C$26:$E$26,$B$3))*E33</f>
        <v>0.668638489208633</v>
      </c>
      <c r="F36" s="16" t="n">
        <f aca="false">F24*(1-INDEX(Assumptions!$C$26:$E$26,$B$3))*F33</f>
        <v>1.02303597122302</v>
      </c>
      <c r="G36" s="16" t="n">
        <f aca="false">G24*(1-INDEX(Assumptions!$C$26:$E$26,$B$3))*G33</f>
        <v>1.25747482014389</v>
      </c>
      <c r="H36" s="16" t="n">
        <f aca="false">H24*(1-INDEX(Assumptions!$C$26:$E$26,$B$3))*H33</f>
        <v>1.47219424460432</v>
      </c>
      <c r="I36" s="16" t="n">
        <f aca="false">I24*(1-INDEX(Assumptions!$C$26:$E$26,$B$3))*I33</f>
        <v>2.01135251798561</v>
      </c>
      <c r="J36" s="16" t="n">
        <f aca="false">J24*(1-INDEX(Assumptions!$C$26:$E$26,$B$3))*J33</f>
        <v>2.08871223021583</v>
      </c>
      <c r="K36" s="16" t="n">
        <f aca="false">K24*(1-INDEX(Assumptions!$C$26:$E$26,$B$3))*K33</f>
        <v>1.9339928057554</v>
      </c>
      <c r="L36" s="16" t="n">
        <f aca="false">L24*(1-INDEX(Assumptions!$C$26:$E$26,$B$3))*L33</f>
        <v>1.70191366906475</v>
      </c>
      <c r="M36" s="16" t="n">
        <f aca="false">M24*(1-INDEX(Assumptions!$C$26:$E$26,$B$3))*M33</f>
        <v>1.62455395683453</v>
      </c>
      <c r="N36" s="16" t="n">
        <f aca="false">N24*(1-INDEX(Assumptions!$C$26:$E$26,$B$3))*N33</f>
        <v>1.54719424460432</v>
      </c>
      <c r="O36" s="38" t="n">
        <f aca="false">SUM(C36:N36)</f>
        <v>16.5685121402878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0.159862297661871</v>
      </c>
      <c r="F37" s="16" t="n">
        <f aca="false">E36*INDEX(Assumptions!$C$89:$E$89,$B$3)*F33</f>
        <v>0.167159622302158</v>
      </c>
      <c r="G37" s="16" t="n">
        <f aca="false">F36*INDEX(Assumptions!$C$89:$E$89,$B$3)*G33</f>
        <v>0.255758992805755</v>
      </c>
      <c r="H37" s="16" t="n">
        <f aca="false">G36*INDEX(Assumptions!$C$89:$E$89,$B$3)*H33</f>
        <v>0.314368705035971</v>
      </c>
      <c r="I37" s="16" t="n">
        <f aca="false">H36*INDEX(Assumptions!$C$89:$E$89,$B$3)*I33</f>
        <v>0.368048561151079</v>
      </c>
      <c r="J37" s="16" t="n">
        <f aca="false">I36*INDEX(Assumptions!$C$89:$E$89,$B$3)*J33</f>
        <v>0.502838129496403</v>
      </c>
      <c r="K37" s="16" t="n">
        <f aca="false">J36*INDEX(Assumptions!$C$89:$E$89,$B$3)*K33</f>
        <v>0.522178057553957</v>
      </c>
      <c r="L37" s="16" t="n">
        <f aca="false">K36*INDEX(Assumptions!$C$89:$E$89,$B$3)*L33</f>
        <v>0.483498201438849</v>
      </c>
      <c r="M37" s="16" t="n">
        <f aca="false">L36*INDEX(Assumptions!$C$89:$E$89,$B$3)*M33</f>
        <v>0.425478417266187</v>
      </c>
      <c r="N37" s="16" t="n">
        <f aca="false">M36*INDEX(Assumptions!$C$89:$E$89,$B$3)*N33</f>
        <v>0.406138489208633</v>
      </c>
      <c r="O37" s="38" t="n">
        <f aca="false">SUM(C37:N37)</f>
        <v>3.75532947392086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1.2</v>
      </c>
      <c r="D38" s="38" t="n">
        <f aca="false">D34+D35+D36</f>
        <v>1.27889838129496</v>
      </c>
      <c r="E38" s="38" t="n">
        <f aca="false">E34+E35+E36</f>
        <v>1.33727697841727</v>
      </c>
      <c r="F38" s="38" t="n">
        <f aca="false">F34+F35+F36</f>
        <v>2.04607194244604</v>
      </c>
      <c r="G38" s="38" t="n">
        <f aca="false">G34+G35+G36</f>
        <v>2.51494964028777</v>
      </c>
      <c r="H38" s="38" t="n">
        <f aca="false">H34+H35+H36</f>
        <v>2.94438848920863</v>
      </c>
      <c r="I38" s="38" t="n">
        <f aca="false">I34+I35+I36</f>
        <v>4.02270503597122</v>
      </c>
      <c r="J38" s="38" t="n">
        <f aca="false">J34+J35+J36</f>
        <v>4.17742446043166</v>
      </c>
      <c r="K38" s="38" t="n">
        <f aca="false">K34+K35+K36</f>
        <v>3.86798561151079</v>
      </c>
      <c r="L38" s="38" t="n">
        <f aca="false">L34+L35+L36</f>
        <v>3.4038273381295</v>
      </c>
      <c r="M38" s="38" t="n">
        <f aca="false">M34+M35+M36</f>
        <v>3.24910791366907</v>
      </c>
      <c r="N38" s="38" t="n">
        <f aca="false">N34+N35+N36</f>
        <v>3.09438848920863</v>
      </c>
      <c r="O38" s="17" t="n">
        <f aca="false">SUM(C38:N38)</f>
        <v>33.1370242805755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1.27889838129496</v>
      </c>
      <c r="E39" s="16" t="n">
        <f aca="false">IF(3&lt;IF($Q$3=1,$Q$4+1,INDEX(Assumptions!$C$215:$E$215,$D$3)),E24,E38)</f>
        <v>1.33727697841727</v>
      </c>
      <c r="F39" s="16" t="n">
        <f aca="false">IF(4&lt;IF($Q$3=1,$Q$4+1,INDEX(Assumptions!$C$215:$E$215,$D$3)),F24,F38)</f>
        <v>2.04607194244604</v>
      </c>
      <c r="G39" s="16" t="n">
        <f aca="false">IF(5&lt;IF($Q$3=1,$Q$4+1,INDEX(Assumptions!$C$215:$E$215,$D$3)),G24,G38)</f>
        <v>2.51494964028777</v>
      </c>
      <c r="H39" s="16" t="n">
        <f aca="false">IF(6&lt;IF($Q$3=1,$Q$4+1,INDEX(Assumptions!$C$215:$E$215,$D$3)),H24,H38)</f>
        <v>2.94438848920863</v>
      </c>
      <c r="I39" s="16" t="n">
        <f aca="false">IF(7&lt;IF($Q$3=1,$Q$4+1,INDEX(Assumptions!$C$215:$E$215,$D$3)),I24,I38)</f>
        <v>4.02270503597122</v>
      </c>
      <c r="J39" s="16" t="n">
        <f aca="false">IF(8&lt;IF($Q$3=1,$Q$4+1,INDEX(Assumptions!$C$215:$E$215,$D$3)),J24,J38)</f>
        <v>4.17742446043166</v>
      </c>
      <c r="K39" s="16" t="n">
        <f aca="false">IF(9&lt;IF($Q$3=1,$Q$4+1,INDEX(Assumptions!$C$215:$E$215,$D$3)),K24,K38)</f>
        <v>3.86798561151079</v>
      </c>
      <c r="L39" s="16" t="n">
        <f aca="false">IF(10&lt;IF($Q$3=1,$Q$4+1,INDEX(Assumptions!$C$215:$E$215,$D$3)),L24,L38)</f>
        <v>3.4038273381295</v>
      </c>
      <c r="M39" s="16" t="n">
        <f aca="false">IF(11&lt;IF($Q$3=1,$Q$4+1,INDEX(Assumptions!$C$215:$E$215,$D$3)),M24,M38)</f>
        <v>3.24910791366907</v>
      </c>
      <c r="N39" s="16" t="n">
        <f aca="false">IF(12&lt;IF($Q$3=1,$Q$4+1,INDEX(Assumptions!$C$215:$E$215,$D$3)),N24,N38)</f>
        <v>3.09438848920863</v>
      </c>
      <c r="O39" s="38" t="n">
        <f aca="false">SUM(C39:N39)</f>
        <v>33.1370242805755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0.18</v>
      </c>
      <c r="D40" s="16" t="n">
        <f aca="false">D38*INDEX(Assumptions!$C$74:$E$74,$B$3)</f>
        <v>0.191834757194245</v>
      </c>
      <c r="E40" s="16" t="n">
        <f aca="false">E38*INDEX(Assumptions!$C$74:$E$74,$B$3)</f>
        <v>0.20059154676259</v>
      </c>
      <c r="F40" s="16" t="n">
        <f aca="false">F38*INDEX(Assumptions!$C$74:$E$74,$B$3)</f>
        <v>0.306910791366907</v>
      </c>
      <c r="G40" s="16" t="n">
        <f aca="false">G38*INDEX(Assumptions!$C$74:$E$74,$B$3)</f>
        <v>0.377242446043166</v>
      </c>
      <c r="H40" s="16" t="n">
        <f aca="false">H38*INDEX(Assumptions!$C$74:$E$74,$B$3)</f>
        <v>0.441658273381295</v>
      </c>
      <c r="I40" s="16" t="n">
        <f aca="false">I38*INDEX(Assumptions!$C$74:$E$74,$B$3)</f>
        <v>0.603405755395684</v>
      </c>
      <c r="J40" s="16" t="n">
        <f aca="false">J38*INDEX(Assumptions!$C$74:$E$74,$B$3)</f>
        <v>0.626613669064748</v>
      </c>
      <c r="K40" s="16" t="n">
        <f aca="false">K38*INDEX(Assumptions!$C$74:$E$74,$B$3)</f>
        <v>0.580197841726619</v>
      </c>
      <c r="L40" s="16" t="n">
        <f aca="false">L38*INDEX(Assumptions!$C$74:$E$74,$B$3)</f>
        <v>0.510574100719425</v>
      </c>
      <c r="M40" s="16" t="n">
        <f aca="false">M38*INDEX(Assumptions!$C$74:$E$74,$B$3)</f>
        <v>0.48736618705036</v>
      </c>
      <c r="N40" s="16" t="n">
        <f aca="false">N38*INDEX(Assumptions!$C$74:$E$74,$B$3)</f>
        <v>0.464158273381295</v>
      </c>
      <c r="O40" s="38" t="n">
        <f aca="false">SUM(C40:N40)</f>
        <v>4.97055364208633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0.182276978417266</v>
      </c>
      <c r="F41" s="16" t="n">
        <f aca="false">F10*MIN(F16,F21*F20)*F22*F23*F33</f>
        <v>0.486071942446043</v>
      </c>
      <c r="G41" s="16" t="n">
        <f aca="false">G10*MIN(G16,G21*G20)*G22*G23*G33</f>
        <v>0.62494964028777</v>
      </c>
      <c r="H41" s="16" t="n">
        <f aca="false">H10*MIN(H16,H21*H20)*H22*H23*H33</f>
        <v>0.694388489208633</v>
      </c>
      <c r="I41" s="16" t="n">
        <f aca="false">I10*MIN(I16,I21*I20)*I22*I23*I33</f>
        <v>0.902705035971223</v>
      </c>
      <c r="J41" s="16" t="n">
        <f aca="false">J10*MIN(J16,J21*J20)*J22*J23*J33</f>
        <v>0.937424460431655</v>
      </c>
      <c r="K41" s="16" t="n">
        <f aca="false">K10*MIN(K16,K21*K20)*K22*K23*K33</f>
        <v>0.867985611510792</v>
      </c>
      <c r="L41" s="16" t="n">
        <f aca="false">L10*MIN(L16,L21*L20)*L22*L23*L33</f>
        <v>0.763827338129497</v>
      </c>
      <c r="M41" s="16" t="n">
        <f aca="false">M10*MIN(M16,M21*M20)*M22*M23*M33</f>
        <v>0.729107913669065</v>
      </c>
      <c r="N41" s="16" t="n">
        <f aca="false">N10*MIN(N16,N21*N20)*N22*N23*N33</f>
        <v>0.694388489208633</v>
      </c>
      <c r="O41" s="38" t="n">
        <f aca="false">SUM(C41:N41)</f>
        <v>6.98077428057554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1.2</v>
      </c>
      <c r="D42" s="6" t="n">
        <f aca="false">D31+D34+D37+D36+1.25*D35</f>
        <v>2.02889838129496</v>
      </c>
      <c r="E42" s="6" t="n">
        <f aca="false">E31+E34+E37+E36+1.25*E35</f>
        <v>2.88658846672662</v>
      </c>
      <c r="F42" s="6" t="n">
        <f aca="false">F31+F34+F37+F36+1.25*F35</f>
        <v>3.83118154226619</v>
      </c>
      <c r="G42" s="6" t="n">
        <f aca="false">G31+G34+G37+G36+1.25*G35</f>
        <v>4.78940501348921</v>
      </c>
      <c r="H42" s="6" t="n">
        <f aca="false">H31+H34+H37+H36+1.25*H35</f>
        <v>5.96218660071943</v>
      </c>
      <c r="I42" s="6" t="n">
        <f aca="false">I31+I34+I37+I36+1.25*I35</f>
        <v>7.69055035971223</v>
      </c>
      <c r="J42" s="6" t="n">
        <f aca="false">J31+J34+J37+J36+1.25*J35</f>
        <v>8.84622661870504</v>
      </c>
      <c r="K42" s="6" t="n">
        <f aca="false">K31+K34+K37+K36+1.25*K35</f>
        <v>9.36111510791367</v>
      </c>
      <c r="L42" s="6" t="n">
        <f aca="false">L31+L34+L37+L36+1.25*L35</f>
        <v>8.93504676258993</v>
      </c>
      <c r="M42" s="6" t="n">
        <f aca="false">M31+M34+M37+M36+1.25*M35</f>
        <v>8.3161690647482</v>
      </c>
      <c r="N42" s="6" t="n">
        <f aca="false">N31+N34+N37+N36+1.25*N35</f>
        <v>7.73597122302158</v>
      </c>
      <c r="O42" s="41" t="n">
        <f aca="false">AVERAGE(C42:N42)</f>
        <v>5.96527826176559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0.075</v>
      </c>
      <c r="D43" s="39" t="n">
        <f aca="false">D42/(D25*D26)</f>
        <v>0.126806148830935</v>
      </c>
      <c r="E43" s="39" t="n">
        <f aca="false">E42/(E25*E26)</f>
        <v>0.180411779170414</v>
      </c>
      <c r="F43" s="39" t="n">
        <f aca="false">F42/(F25*F26)</f>
        <v>0.239448846391637</v>
      </c>
      <c r="G43" s="39" t="n">
        <f aca="false">G42/(G25*G26)</f>
        <v>0.299337813343076</v>
      </c>
      <c r="H43" s="39" t="n">
        <f aca="false">H42/(H25*H26)</f>
        <v>0.372636662544964</v>
      </c>
      <c r="I43" s="39" t="n">
        <f aca="false">I42/(I25*I26)</f>
        <v>0.480659397482014</v>
      </c>
      <c r="J43" s="39" t="n">
        <f aca="false">J42/(J25*J26)</f>
        <v>0.552889163669065</v>
      </c>
      <c r="K43" s="39" t="n">
        <f aca="false">K42/(K25*K26)</f>
        <v>0.585069694244604</v>
      </c>
      <c r="L43" s="39" t="n">
        <f aca="false">L42/(L25*L26)</f>
        <v>0.558440422661871</v>
      </c>
      <c r="M43" s="39" t="n">
        <f aca="false">M42/(M25*M26)</f>
        <v>0.519760566546763</v>
      </c>
      <c r="N43" s="39" t="n">
        <f aca="false">N42/(N25*N26)</f>
        <v>0.483498201438849</v>
      </c>
      <c r="O43" s="9" t="n">
        <f aca="false">N43</f>
        <v>0.483498201438849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1.5</v>
      </c>
      <c r="F46" s="6" t="n">
        <f aca="false">IF(4&gt;=3,INDEX(Assumptions!$C$234:$E$234,F$9)*INDEX(Assumptions!$C$235:$E$235,$B$3)*MIN(1,(4-2)/6),0)*$F$3*F22*$W$3</f>
        <v>3</v>
      </c>
      <c r="G46" s="6" t="n">
        <f aca="false">IF(5&gt;=3,INDEX(Assumptions!$C$234:$E$234,G$9)*INDEX(Assumptions!$C$235:$E$235,$B$3)*MIN(1,(5-2)/6),0)*$F$3*G22*$W$3</f>
        <v>4.5</v>
      </c>
      <c r="H46" s="6" t="n">
        <f aca="false">IF(6&gt;=3,INDEX(Assumptions!$C$234:$E$234,H$9)*INDEX(Assumptions!$C$235:$E$235,$B$3)*MIN(1,(6-2)/6),0)*$F$3*H22*$W$3</f>
        <v>6</v>
      </c>
      <c r="I46" s="6" t="n">
        <f aca="false">IF(7&gt;=3,INDEX(Assumptions!$C$234:$E$234,I$9)*INDEX(Assumptions!$C$235:$E$235,$B$3)*MIN(1,(7-2)/6),0)*$F$3*I22*$W$3</f>
        <v>7.5</v>
      </c>
      <c r="J46" s="6" t="n">
        <f aca="false">IF(8&gt;=3,INDEX(Assumptions!$C$234:$E$234,J$9)*INDEX(Assumptions!$C$235:$E$235,$B$3)*MIN(1,(8-2)/6),0)*$F$3*J22*$W$3</f>
        <v>9</v>
      </c>
      <c r="K46" s="6" t="n">
        <f aca="false">IF(9&gt;=3,INDEX(Assumptions!$C$234:$E$234,K$9)*INDEX(Assumptions!$C$235:$E$235,$B$3)*MIN(1,(9-2)/6),0)*$F$3*K22*$W$3</f>
        <v>9</v>
      </c>
      <c r="L46" s="6" t="n">
        <f aca="false">IF(10&gt;=3,INDEX(Assumptions!$C$234:$E$234,L$9)*INDEX(Assumptions!$C$235:$E$235,$B$3)*MIN(1,(10-2)/6),0)*$F$3*L22*$W$3</f>
        <v>9</v>
      </c>
      <c r="M46" s="6" t="n">
        <f aca="false">IF(11&gt;=3,INDEX(Assumptions!$C$234:$E$234,M$9)*INDEX(Assumptions!$C$235:$E$235,$B$3)*MIN(1,(11-2)/6),0)*$F$3*M22*$W$3</f>
        <v>9</v>
      </c>
      <c r="N46" s="6" t="n">
        <f aca="false">IF(12&gt;=3,INDEX(Assumptions!$C$234:$E$234,N$9)*INDEX(Assumptions!$C$235:$E$235,$B$3)*MIN(1,(12-2)/6),0)*$F$3*N22*$W$3</f>
        <v>9</v>
      </c>
      <c r="O46" s="41" t="n">
        <f aca="false">SUM(C46:N46)</f>
        <v>67.5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4.66666666666667</v>
      </c>
      <c r="D47" s="6" t="n">
        <f aca="false">INDEX(Assumptions!$C$236:$E$236,D$9)*D11*MIN(1,2/3)*$F$3*D22</f>
        <v>8</v>
      </c>
      <c r="E47" s="6" t="n">
        <f aca="false">INDEX(Assumptions!$C$236:$E$236,E$9)*E11*MIN(1,3/3)*$F$3*E22</f>
        <v>12</v>
      </c>
      <c r="F47" s="6" t="n">
        <f aca="false">INDEX(Assumptions!$C$236:$E$236,F$9)*F11*MIN(1,4/3)*$F$3*F22</f>
        <v>13</v>
      </c>
      <c r="G47" s="6" t="n">
        <f aca="false">INDEX(Assumptions!$C$236:$E$236,G$9)*G11*MIN(1,5/3)*$F$3*G22</f>
        <v>9</v>
      </c>
      <c r="H47" s="6" t="n">
        <f aca="false">INDEX(Assumptions!$C$236:$E$236,H$9)*H11*MIN(1,6/3)*$F$3*H22</f>
        <v>8</v>
      </c>
      <c r="I47" s="6" t="n">
        <f aca="false">INDEX(Assumptions!$C$236:$E$236,I$9)*I11*MIN(1,7/3)*$F$3*I22</f>
        <v>7</v>
      </c>
      <c r="J47" s="6" t="n">
        <f aca="false">INDEX(Assumptions!$C$236:$E$236,J$9)*J11*MIN(1,8/3)*$F$3*J22</f>
        <v>6</v>
      </c>
      <c r="K47" s="6" t="n">
        <f aca="false">INDEX(Assumptions!$C$236:$E$236,K$9)*K11*MIN(1,9/3)*$F$3*K22</f>
        <v>6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106.666666666667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2.13149730215827</v>
      </c>
      <c r="E48" s="6" t="n">
        <f aca="false">E24*INDEX(Assumptions!$C$31:$E$31,$B$3)/(INDEX(Assumptions!$C$56:$E$56,$B$3)*INDEX(Assumptions!$C$57:$E$57,$B$3)*INDEX(Assumptions!$C$58:$E$58,$B$3))</f>
        <v>2.22879496402878</v>
      </c>
      <c r="F48" s="6" t="n">
        <f aca="false">F24*INDEX(Assumptions!$C$31:$E$31,$B$3)/(INDEX(Assumptions!$C$56:$E$56,$B$3)*INDEX(Assumptions!$C$57:$E$57,$B$3)*INDEX(Assumptions!$C$58:$E$58,$B$3))</f>
        <v>3.41011990407674</v>
      </c>
      <c r="G48" s="6" t="n">
        <f aca="false">G24*INDEX(Assumptions!$C$31:$E$31,$B$3)/(INDEX(Assumptions!$C$56:$E$56,$B$3)*INDEX(Assumptions!$C$57:$E$57,$B$3)*INDEX(Assumptions!$C$58:$E$58,$B$3))</f>
        <v>4.19158273381295</v>
      </c>
      <c r="H48" s="6" t="n">
        <f aca="false">H24*INDEX(Assumptions!$C$31:$E$31,$B$3)/(INDEX(Assumptions!$C$56:$E$56,$B$3)*INDEX(Assumptions!$C$57:$E$57,$B$3)*INDEX(Assumptions!$C$58:$E$58,$B$3))</f>
        <v>4.90731414868106</v>
      </c>
      <c r="I48" s="6" t="n">
        <f aca="false">I24*INDEX(Assumptions!$C$31:$E$31,$B$3)/(INDEX(Assumptions!$C$56:$E$56,$B$3)*INDEX(Assumptions!$C$57:$E$57,$B$3)*INDEX(Assumptions!$C$58:$E$58,$B$3))</f>
        <v>6.70450839328537</v>
      </c>
      <c r="J48" s="6" t="n">
        <f aca="false">J24*INDEX(Assumptions!$C$31:$E$31,$B$3)/(INDEX(Assumptions!$C$56:$E$56,$B$3)*INDEX(Assumptions!$C$57:$E$57,$B$3)*INDEX(Assumptions!$C$58:$E$58,$B$3))</f>
        <v>6.96237410071943</v>
      </c>
      <c r="K48" s="6" t="n">
        <f aca="false">K24*INDEX(Assumptions!$C$31:$E$31,$B$3)/(INDEX(Assumptions!$C$56:$E$56,$B$3)*INDEX(Assumptions!$C$57:$E$57,$B$3)*INDEX(Assumptions!$C$58:$E$58,$B$3))</f>
        <v>6.44664268585132</v>
      </c>
      <c r="L48" s="6" t="n">
        <f aca="false">L24*INDEX(Assumptions!$C$31:$E$31,$B$3)/(INDEX(Assumptions!$C$56:$E$56,$B$3)*INDEX(Assumptions!$C$57:$E$57,$B$3)*INDEX(Assumptions!$C$58:$E$58,$B$3))</f>
        <v>5.67304556354916</v>
      </c>
      <c r="M48" s="6" t="n">
        <f aca="false">M24*INDEX(Assumptions!$C$31:$E$31,$B$3)/(INDEX(Assumptions!$C$56:$E$56,$B$3)*INDEX(Assumptions!$C$57:$E$57,$B$3)*INDEX(Assumptions!$C$58:$E$58,$B$3))</f>
        <v>5.41517985611511</v>
      </c>
      <c r="N48" s="6" t="n">
        <f aca="false">N24*INDEX(Assumptions!$C$31:$E$31,$B$3)/(INDEX(Assumptions!$C$56:$E$56,$B$3)*INDEX(Assumptions!$C$57:$E$57,$B$3)*INDEX(Assumptions!$C$58:$E$58,$B$3))</f>
        <v>5.15731414868106</v>
      </c>
      <c r="O48" s="41" t="n">
        <f aca="false">SUM(C48:N48)</f>
        <v>55.2283738009593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0.0525</v>
      </c>
      <c r="F51" s="16" t="n">
        <f aca="false">F46*0.7*INDEX(Assumptions!$C$73:$E$73,$B$3)</f>
        <v>0.105</v>
      </c>
      <c r="G51" s="16" t="n">
        <f aca="false">G46*0.7*INDEX(Assumptions!$C$73:$E$73,$B$3)</f>
        <v>0.1575</v>
      </c>
      <c r="H51" s="16" t="n">
        <f aca="false">H46*0.7*INDEX(Assumptions!$C$73:$E$73,$B$3)</f>
        <v>0.21</v>
      </c>
      <c r="I51" s="16" t="n">
        <f aca="false">I46*0.7*INDEX(Assumptions!$C$73:$E$73,$B$3)</f>
        <v>0.2625</v>
      </c>
      <c r="J51" s="16" t="n">
        <f aca="false">J46*0.7*INDEX(Assumptions!$C$73:$E$73,$B$3)</f>
        <v>0.315</v>
      </c>
      <c r="K51" s="16" t="n">
        <f aca="false">K46*0.7*INDEX(Assumptions!$C$73:$E$73,$B$3)</f>
        <v>0.315</v>
      </c>
      <c r="L51" s="16" t="n">
        <f aca="false">L46*0.7*INDEX(Assumptions!$C$73:$E$73,$B$3)</f>
        <v>0.315</v>
      </c>
      <c r="M51" s="16" t="n">
        <f aca="false">M46*0.7*INDEX(Assumptions!$C$73:$E$73,$B$3)</f>
        <v>0.315</v>
      </c>
      <c r="N51" s="16" t="n">
        <f aca="false">N46*0.7*INDEX(Assumptions!$C$73:$E$73,$B$3)</f>
        <v>0.315</v>
      </c>
      <c r="O51" s="38" t="n">
        <f aca="false">SUM(C51:N51)</f>
        <v>2.3625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O53" s="40" t="n">
        <f aca="false">AVERAGE(C53:N53)</f>
        <v>46250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21676.2437507621</v>
      </c>
      <c r="E56" s="10" t="n">
        <f aca="false">E34*E53/(1+INDEX(Assumptions!$C$15:$E$15,$B$3)*$H$4)</f>
        <v>22665.7114985977</v>
      </c>
      <c r="F56" s="10" t="n">
        <f aca="false">F34*F53/(1+INDEX(Assumptions!$C$15:$E$15,$B$3)*$H$4)</f>
        <v>34679.1854651872</v>
      </c>
      <c r="G56" s="10" t="n">
        <f aca="false">G34*G53/(1+INDEX(Assumptions!$C$15:$E$15,$B$3)*$H$4)</f>
        <v>42626.2650896232</v>
      </c>
      <c r="H56" s="10" t="n">
        <f aca="false">H34*H53/(1+INDEX(Assumptions!$C$15:$E$15,$B$3)*$H$4)</f>
        <v>49904.889647604</v>
      </c>
      <c r="I56" s="10" t="n">
        <f aca="false">I34*I53/(1+INDEX(Assumptions!$C$15:$E$15,$B$3)*$H$4)</f>
        <v>68181.4412876479</v>
      </c>
      <c r="J56" s="10" t="n">
        <f aca="false">J34*J53/(1+INDEX(Assumptions!$C$15:$E$15,$B$3)*$H$4)</f>
        <v>70803.8044140959</v>
      </c>
      <c r="K56" s="10" t="n">
        <f aca="false">K34*K53/(1+INDEX(Assumptions!$C$15:$E$15,$B$3)*$H$4)</f>
        <v>65559.0781611999</v>
      </c>
      <c r="L56" s="10" t="n">
        <f aca="false">L34*L53/(1+INDEX(Assumptions!$C$15:$E$15,$B$3)*$H$4)</f>
        <v>93749.4817705158</v>
      </c>
      <c r="M56" s="10" t="n">
        <f aca="false">M34*M53/(1+INDEX(Assumptions!$C$15:$E$15,$B$3)*$H$4)</f>
        <v>89488.1416900378</v>
      </c>
      <c r="N56" s="10" t="n">
        <f aca="false">N34*N53/(1+INDEX(Assumptions!$C$15:$E$15,$B$3)*$H$4)</f>
        <v>85226.8016095598</v>
      </c>
      <c r="O56" s="40" t="n">
        <f aca="false">SUM(C56:N56)</f>
        <v>664900.027435679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1354.76523442263</v>
      </c>
      <c r="F58" s="10" t="n">
        <f aca="false">F37*MAX(0,F53-INDEX(Assumptions!$C$18:$E$18,$B$3)*$H$3)/(1+INDEX(Assumptions!$C$15:$E$15,$B$3)*$H$4)</f>
        <v>1416.60696866236</v>
      </c>
      <c r="G58" s="10" t="n">
        <f aca="false">G37*MAX(0,G53-INDEX(Assumptions!$C$18:$E$18,$B$3)*$H$3)/(1+INDEX(Assumptions!$C$15:$E$15,$B$3)*$H$4)</f>
        <v>2167.4490915742</v>
      </c>
      <c r="H58" s="10" t="n">
        <f aca="false">H37*MAX(0,H53-INDEX(Assumptions!$C$18:$E$18,$B$3)*$H$3)/(1+INDEX(Assumptions!$C$15:$E$15,$B$3)*$H$4)</f>
        <v>2664.14156810145</v>
      </c>
      <c r="I58" s="10" t="n">
        <f aca="false">I37*MAX(0,I53-INDEX(Assumptions!$C$18:$E$18,$B$3)*$H$3)/(1+INDEX(Assumptions!$C$15:$E$15,$B$3)*$H$4)</f>
        <v>3119.05560297525</v>
      </c>
      <c r="J58" s="10" t="n">
        <f aca="false">J37*MAX(0,J53-INDEX(Assumptions!$C$18:$E$18,$B$3)*$H$3)/(1+INDEX(Assumptions!$C$15:$E$15,$B$3)*$H$4)</f>
        <v>4261.34008047799</v>
      </c>
      <c r="K58" s="10" t="n">
        <f aca="false">K37*MAX(0,K53-INDEX(Assumptions!$C$18:$E$18,$B$3)*$H$3)/(1+INDEX(Assumptions!$C$15:$E$15,$B$3)*$H$4)</f>
        <v>4425.23777588099</v>
      </c>
      <c r="L58" s="10" t="n">
        <f aca="false">L37*MAX(0,L53-INDEX(Assumptions!$C$18:$E$18,$B$3)*$H$3)/(1+INDEX(Assumptions!$C$15:$E$15,$B$3)*$H$4)</f>
        <v>14341.0483477625</v>
      </c>
      <c r="M58" s="10" t="n">
        <f aca="false">M37*MAX(0,M53-INDEX(Assumptions!$C$18:$E$18,$B$3)*$H$3)/(1+INDEX(Assumptions!$C$15:$E$15,$B$3)*$H$4)</f>
        <v>12620.122546031</v>
      </c>
      <c r="N58" s="10" t="n">
        <f aca="false">N37*MAX(0,N53-INDEX(Assumptions!$C$18:$E$18,$B$3)*$H$3)/(1+INDEX(Assumptions!$C$15:$E$15,$B$3)*$H$4)</f>
        <v>12046.4806121205</v>
      </c>
      <c r="O58" s="40" t="n">
        <f aca="false">SUM(C58:N58)</f>
        <v>59687.4342686868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16257.1828130716</v>
      </c>
      <c r="E59" s="10" t="n">
        <f aca="false">E36*INDEX(Assumptions!$C$18:$E$18,$B$3)*$H$3/(1+INDEX(Assumptions!$C$15:$E$15,$B$3)*$H$4)</f>
        <v>16999.2836239483</v>
      </c>
      <c r="F59" s="10" t="n">
        <f aca="false">F36*INDEX(Assumptions!$C$18:$E$18,$B$3)*$H$3/(1+INDEX(Assumptions!$C$15:$E$15,$B$3)*$H$4)</f>
        <v>26009.3890988904</v>
      </c>
      <c r="G59" s="10" t="n">
        <f aca="false">G36*INDEX(Assumptions!$C$18:$E$18,$B$3)*$H$3/(1+INDEX(Assumptions!$C$15:$E$15,$B$3)*$H$4)</f>
        <v>31969.6988172174</v>
      </c>
      <c r="H59" s="10" t="n">
        <f aca="false">H36*INDEX(Assumptions!$C$18:$E$18,$B$3)*$H$3/(1+INDEX(Assumptions!$C$15:$E$15,$B$3)*$H$4)</f>
        <v>37428.667235703</v>
      </c>
      <c r="I59" s="10" t="n">
        <f aca="false">I36*INDEX(Assumptions!$C$18:$E$18,$B$3)*$H$3/(1+INDEX(Assumptions!$C$15:$E$15,$B$3)*$H$4)</f>
        <v>51136.0809657359</v>
      </c>
      <c r="J59" s="10" t="n">
        <f aca="false">J36*INDEX(Assumptions!$C$18:$E$18,$B$3)*$H$3/(1+INDEX(Assumptions!$C$15:$E$15,$B$3)*$H$4)</f>
        <v>53102.8533105719</v>
      </c>
      <c r="K59" s="10" t="n">
        <f aca="false">K36*INDEX(Assumptions!$C$18:$E$18,$B$3)*$H$3/(1+INDEX(Assumptions!$C$15:$E$15,$B$3)*$H$4)</f>
        <v>49169.3086208999</v>
      </c>
      <c r="L59" s="10" t="n">
        <f aca="false">L36*INDEX(Assumptions!$C$18:$E$18,$B$3)*$H$3/(1+INDEX(Assumptions!$C$15:$E$15,$B$3)*$H$4)</f>
        <v>43268.9915863919</v>
      </c>
      <c r="M59" s="10" t="n">
        <f aca="false">M36*INDEX(Assumptions!$C$18:$E$18,$B$3)*$H$3/(1+INDEX(Assumptions!$C$15:$E$15,$B$3)*$H$4)</f>
        <v>41302.2192415559</v>
      </c>
      <c r="N59" s="10" t="n">
        <f aca="false">N36*INDEX(Assumptions!$C$18:$E$18,$B$3)*$H$3/(1+INDEX(Assumptions!$C$15:$E$15,$B$3)*$H$4)</f>
        <v>39335.4468967199</v>
      </c>
      <c r="O59" s="40" t="n">
        <f aca="false">SUM(C59:N59)</f>
        <v>421233.359498842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1696.27445471589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1773.70525332277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2713.81965857822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3335.71837458847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3905.30713937325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5335.53868796488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5540.75171442507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5130.3256615047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4514.68658212413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4309.47355566394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4104.26052920376</v>
      </c>
      <c r="O60" s="40" t="n">
        <f aca="false">SUM(C60:N60)</f>
        <v>43951.4887301091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6355.93220338983</v>
      </c>
      <c r="F61" s="10" t="n">
        <f aca="false">F46*INDEX(Assumptions!$C$21:$E$21,$B$3)*$H$3/(1+INDEX(Assumptions!$C$15:$E$15,$B$3)*$H$4)</f>
        <v>12711.8644067797</v>
      </c>
      <c r="G61" s="10" t="n">
        <f aca="false">G46*INDEX(Assumptions!$C$21:$E$21,$B$3)*$H$3/(1+INDEX(Assumptions!$C$15:$E$15,$B$3)*$H$4)</f>
        <v>19067.7966101695</v>
      </c>
      <c r="H61" s="10" t="n">
        <f aca="false">H46*INDEX(Assumptions!$C$21:$E$21,$B$3)*$H$3/(1+INDEX(Assumptions!$C$15:$E$15,$B$3)*$H$4)</f>
        <v>25423.7288135593</v>
      </c>
      <c r="I61" s="10" t="n">
        <f aca="false">I46*INDEX(Assumptions!$C$21:$E$21,$B$3)*$H$3/(1+INDEX(Assumptions!$C$15:$E$15,$B$3)*$H$4)</f>
        <v>31779.6610169492</v>
      </c>
      <c r="J61" s="10" t="n">
        <f aca="false">J46*INDEX(Assumptions!$C$21:$E$21,$B$3)*$H$3/(1+INDEX(Assumptions!$C$15:$E$15,$B$3)*$H$4)</f>
        <v>38135.593220339</v>
      </c>
      <c r="K61" s="10" t="n">
        <f aca="false">K46*INDEX(Assumptions!$C$21:$E$21,$B$3)*$H$3/(1+INDEX(Assumptions!$C$15:$E$15,$B$3)*$H$4)</f>
        <v>38135.593220339</v>
      </c>
      <c r="L61" s="10" t="n">
        <f aca="false">L46*INDEX(Assumptions!$C$21:$E$21,$B$3)*$H$3/(1+INDEX(Assumptions!$C$15:$E$15,$B$3)*$H$4)</f>
        <v>38135.593220339</v>
      </c>
      <c r="M61" s="10" t="n">
        <f aca="false">M46*INDEX(Assumptions!$C$21:$E$21,$B$3)*$H$3/(1+INDEX(Assumptions!$C$15:$E$15,$B$3)*$H$4)</f>
        <v>38135.593220339</v>
      </c>
      <c r="N61" s="10" t="n">
        <f aca="false">N46*INDEX(Assumptions!$C$21:$E$21,$B$3)*$H$3/(1+INDEX(Assumptions!$C$15:$E$15,$B$3)*$H$4)</f>
        <v>38135.593220339</v>
      </c>
      <c r="O61" s="40" t="n">
        <f aca="false">SUM(C61:N61)</f>
        <v>286016.949152542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11864.406779661</v>
      </c>
      <c r="D62" s="10" t="n">
        <f aca="false">D47*INDEX(Assumptions!$C$22:$E$22,$B$3)*$H$3/(1+INDEX(Assumptions!$C$15:$E$15,$B$3)*$H$4)</f>
        <v>20338.9830508475</v>
      </c>
      <c r="E62" s="10" t="n">
        <f aca="false">E47*INDEX(Assumptions!$C$22:$E$22,$B$3)*$H$3/(1+INDEX(Assumptions!$C$15:$E$15,$B$3)*$H$4)</f>
        <v>30508.4745762712</v>
      </c>
      <c r="F62" s="10" t="n">
        <f aca="false">F47*INDEX(Assumptions!$C$22:$E$22,$B$3)*$H$3/(1+INDEX(Assumptions!$C$15:$E$15,$B$3)*$H$4)</f>
        <v>33050.8474576271</v>
      </c>
      <c r="G62" s="10" t="n">
        <f aca="false">G47*INDEX(Assumptions!$C$22:$E$22,$B$3)*$H$3/(1+INDEX(Assumptions!$C$15:$E$15,$B$3)*$H$4)</f>
        <v>22881.3559322034</v>
      </c>
      <c r="H62" s="10" t="n">
        <f aca="false">H47*INDEX(Assumptions!$C$22:$E$22,$B$3)*$H$3/(1+INDEX(Assumptions!$C$15:$E$15,$B$3)*$H$4)</f>
        <v>20338.9830508475</v>
      </c>
      <c r="I62" s="10" t="n">
        <f aca="false">I47*INDEX(Assumptions!$C$22:$E$22,$B$3)*$H$3/(1+INDEX(Assumptions!$C$15:$E$15,$B$3)*$H$4)</f>
        <v>17796.6101694915</v>
      </c>
      <c r="J62" s="10" t="n">
        <f aca="false">J47*INDEX(Assumptions!$C$22:$E$22,$B$3)*$H$3/(1+INDEX(Assumptions!$C$15:$E$15,$B$3)*$H$4)</f>
        <v>15254.2372881356</v>
      </c>
      <c r="K62" s="10" t="n">
        <f aca="false">K47*INDEX(Assumptions!$C$22:$E$22,$B$3)*$H$3/(1+INDEX(Assumptions!$C$15:$E$15,$B$3)*$H$4)</f>
        <v>15254.2372881356</v>
      </c>
      <c r="L62" s="10" t="n">
        <f aca="false">L47*INDEX(Assumptions!$C$22:$E$22,$B$3)*$H$3/(1+INDEX(Assumptions!$C$15:$E$15,$B$3)*$H$4)</f>
        <v>20338.9830508475</v>
      </c>
      <c r="M62" s="10" t="n">
        <f aca="false">M47*INDEX(Assumptions!$C$22:$E$22,$B$3)*$H$3/(1+INDEX(Assumptions!$C$15:$E$15,$B$3)*$H$4)</f>
        <v>27966.1016949153</v>
      </c>
      <c r="N62" s="10" t="n">
        <f aca="false">N47*INDEX(Assumptions!$C$22:$E$22,$B$3)*$H$3/(1+INDEX(Assumptions!$C$15:$E$15,$B$3)*$H$4)</f>
        <v>35593.2203389831</v>
      </c>
      <c r="O62" s="40" t="n">
        <f aca="false">SUM(C62:N62)</f>
        <v>271186.440677966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222.41313559322</v>
      </c>
      <c r="F64" s="10" t="n">
        <f aca="false">F51*INDEX(Assumptions!$C$23:$E$23,$B$3)/(1+INDEX(Assumptions!$C$15:$E$15,$B$3)*$H$4)</f>
        <v>444.826271186441</v>
      </c>
      <c r="G64" s="10" t="n">
        <f aca="false">G51*INDEX(Assumptions!$C$23:$E$23,$B$3)/(1+INDEX(Assumptions!$C$15:$E$15,$B$3)*$H$4)</f>
        <v>667.239406779661</v>
      </c>
      <c r="H64" s="10" t="n">
        <f aca="false">H51*INDEX(Assumptions!$C$23:$E$23,$B$3)/(1+INDEX(Assumptions!$C$15:$E$15,$B$3)*$H$4)</f>
        <v>889.652542372881</v>
      </c>
      <c r="I64" s="10" t="n">
        <f aca="false">I51*INDEX(Assumptions!$C$23:$E$23,$B$3)/(1+INDEX(Assumptions!$C$15:$E$15,$B$3)*$H$4)</f>
        <v>1112.0656779661</v>
      </c>
      <c r="J64" s="10" t="n">
        <f aca="false">J51*INDEX(Assumptions!$C$23:$E$23,$B$3)/(1+INDEX(Assumptions!$C$15:$E$15,$B$3)*$H$4)</f>
        <v>1334.47881355932</v>
      </c>
      <c r="K64" s="10" t="n">
        <f aca="false">K51*INDEX(Assumptions!$C$23:$E$23,$B$3)/(1+INDEX(Assumptions!$C$15:$E$15,$B$3)*$H$4)</f>
        <v>1334.47881355932</v>
      </c>
      <c r="L64" s="10" t="n">
        <f aca="false">L51*INDEX(Assumptions!$C$23:$E$23,$B$3)/(1+INDEX(Assumptions!$C$15:$E$15,$B$3)*$H$4)</f>
        <v>1334.47881355932</v>
      </c>
      <c r="M64" s="10" t="n">
        <f aca="false">M51*INDEX(Assumptions!$C$23:$E$23,$B$3)/(1+INDEX(Assumptions!$C$15:$E$15,$B$3)*$H$4)</f>
        <v>1334.47881355932</v>
      </c>
      <c r="N64" s="10" t="n">
        <f aca="false">N51*INDEX(Assumptions!$C$23:$E$23,$B$3)/(1+INDEX(Assumptions!$C$15:$E$15,$B$3)*$H$4)</f>
        <v>1334.47881355932</v>
      </c>
      <c r="O64" s="40" t="n">
        <f aca="false">SUM(C64:N64)</f>
        <v>10008.5911016949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1021.14820143885</v>
      </c>
      <c r="M65" s="10" t="n">
        <f aca="false">(M34+M35)*(1-M54)*INDEX(Assumptions!$C$90:$E$90,$B$3)</f>
        <v>974.73237410072</v>
      </c>
      <c r="N65" s="10" t="n">
        <f aca="false">(N34+N35)*(1-N54)*INDEX(Assumptions!$C$90:$E$90,$B$3)</f>
        <v>928.31654676259</v>
      </c>
      <c r="O65" s="40" t="n">
        <f aca="false">SUM(C65:N65)</f>
        <v>2924.19712230216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49049.2542372881</v>
      </c>
      <c r="D66" s="40" t="n">
        <f aca="false">SUM(D56:D65)</f>
        <v>61239.870510075</v>
      </c>
      <c r="E66" s="40" t="n">
        <f aca="false">SUM(E56:E65)</f>
        <v>79880.2855255457</v>
      </c>
      <c r="F66" s="40" t="n">
        <f aca="false">SUM(F56:F65)</f>
        <v>111026.539326911</v>
      </c>
      <c r="G66" s="40" t="n">
        <f aca="false">SUM(G56:G65)</f>
        <v>122715.523322156</v>
      </c>
      <c r="H66" s="40" t="n">
        <f aca="false">SUM(H56:H65)</f>
        <v>140555.369997561</v>
      </c>
      <c r="I66" s="40" t="n">
        <f aca="false">SUM(I56:I65)</f>
        <v>178460.453408731</v>
      </c>
      <c r="J66" s="40" t="n">
        <f aca="false">SUM(J56:J65)</f>
        <v>188433.058841605</v>
      </c>
      <c r="K66" s="40" t="n">
        <f aca="false">SUM(K56:K65)</f>
        <v>179008.259541519</v>
      </c>
      <c r="L66" s="40" t="n">
        <f aca="false">SUM(L56:L65)</f>
        <v>216704.411572979</v>
      </c>
      <c r="M66" s="40" t="n">
        <f aca="false">SUM(M56:M65)</f>
        <v>216130.863136203</v>
      </c>
      <c r="N66" s="40" t="n">
        <f aca="false">SUM(N56:N65)</f>
        <v>216704.598567248</v>
      </c>
      <c r="O66" s="11" t="n">
        <f aca="false">SUM(C66:N66)</f>
        <v>1759908.48798782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35593.2203389831</v>
      </c>
      <c r="D67" s="10" t="n">
        <f aca="false">D56+D57+D58+D59</f>
        <v>39204.6130045117</v>
      </c>
      <c r="E67" s="10" t="n">
        <f aca="false">E56+E57+E58+E59</f>
        <v>41019.7603569687</v>
      </c>
      <c r="F67" s="10" t="n">
        <f aca="false">F56+F57+F58+F59</f>
        <v>62105.1815327399</v>
      </c>
      <c r="G67" s="10" t="n">
        <f aca="false">G56+G57+G58+G59</f>
        <v>76763.4129984148</v>
      </c>
      <c r="H67" s="10" t="n">
        <f aca="false">H56+H57+H58+H59</f>
        <v>89997.6984514084</v>
      </c>
      <c r="I67" s="10" t="n">
        <f aca="false">I56+I57+I58+I59</f>
        <v>122436.577856359</v>
      </c>
      <c r="J67" s="10" t="n">
        <f aca="false">J56+J57+J58+J59</f>
        <v>128167.997805146</v>
      </c>
      <c r="K67" s="10" t="n">
        <f aca="false">K56+K57+K58+K59</f>
        <v>119153.624557981</v>
      </c>
      <c r="L67" s="10" t="n">
        <f aca="false">L56+L57+L58+L59</f>
        <v>151359.52170467</v>
      </c>
      <c r="M67" s="10" t="n">
        <f aca="false">M56+M57+M58+M59</f>
        <v>143410.483477625</v>
      </c>
      <c r="N67" s="10" t="n">
        <f aca="false">N56+N57+N58+N59</f>
        <v>136608.7291184</v>
      </c>
      <c r="O67" s="40" t="n">
        <f aca="false">SUM(C67:N67)</f>
        <v>1145820.82120321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5526.14433453238</v>
      </c>
      <c r="E69" s="10" t="n">
        <f aca="false">((E34+E37)*INDEX(Assumptions!$C$91:$E$91,$B$3)+E35*(INDEX(Assumptions!$C$93:$E$93,$B$3)+IF($Q$3=1,INDEX(Assumptions!$C$282:$E$282,$B$3),0)))*$N$3</f>
        <v>5799.50550809352</v>
      </c>
      <c r="F69" s="10" t="n">
        <f aca="false">((F34+F37)*INDEX(Assumptions!$C$91:$E$91,$B$3)+F35*(INDEX(Assumptions!$C$93:$E$93,$B$3)+IF($Q$3=1,INDEX(Assumptions!$C$282:$E$282,$B$3),0)))*$N$3</f>
        <v>8331.36915467626</v>
      </c>
      <c r="G69" s="10" t="n">
        <f aca="false">((G34+G37)*INDEX(Assumptions!$C$91:$E$91,$B$3)+G35*(INDEX(Assumptions!$C$93:$E$93,$B$3)+IF($Q$3=1,INDEX(Assumptions!$C$282:$E$282,$B$3),0)))*$N$3</f>
        <v>10592.6366906475</v>
      </c>
      <c r="H69" s="10" t="n">
        <f aca="false">((H34+H37)*INDEX(Assumptions!$C$91:$E$91,$B$3)+H35*(INDEX(Assumptions!$C$93:$E$93,$B$3)+IF($Q$3=1,INDEX(Assumptions!$C$282:$E$282,$B$3),0)))*$N$3</f>
        <v>12505.940647482</v>
      </c>
      <c r="I69" s="10" t="n">
        <f aca="false">((I34+I37)*INDEX(Assumptions!$C$91:$E$91,$B$3)+I35*(INDEX(Assumptions!$C$93:$E$93,$B$3)+IF($Q$3=1,INDEX(Assumptions!$C$282:$E$282,$B$3),0)))*$N$3</f>
        <v>16655.8075539568</v>
      </c>
      <c r="J69" s="10" t="n">
        <f aca="false">((J34+J37)*INDEX(Assumptions!$C$91:$E$91,$B$3)+J35*(INDEX(Assumptions!$C$93:$E$93,$B$3)+IF($Q$3=1,INDEX(Assumptions!$C$282:$E$282,$B$3),0)))*$N$3</f>
        <v>18140.8525179856</v>
      </c>
      <c r="K69" s="10" t="n">
        <f aca="false">((K34+K37)*INDEX(Assumptions!$C$91:$E$91,$B$3)+K35*(INDEX(Assumptions!$C$93:$E$93,$B$3)+IF($Q$3=1,INDEX(Assumptions!$C$282:$E$282,$B$3),0)))*$N$3</f>
        <v>17193.1960431655</v>
      </c>
      <c r="L69" s="10" t="n">
        <f aca="false">((L34+L37)*INDEX(Assumptions!$C$91:$E$91,$B$3)+L35*(INDEX(Assumptions!$C$93:$E$93,$B$3)+IF($Q$3=1,INDEX(Assumptions!$C$282:$E$282,$B$3),0)))*$N$3</f>
        <v>15297.8830935252</v>
      </c>
      <c r="M69" s="10" t="n">
        <f aca="false">((M34+M37)*INDEX(Assumptions!$C$91:$E$91,$B$3)+M35*(INDEX(Assumptions!$C$93:$E$93,$B$3)+IF($Q$3=1,INDEX(Assumptions!$C$282:$E$282,$B$3),0)))*$N$3</f>
        <v>14350.226618705</v>
      </c>
      <c r="N69" s="10" t="n">
        <f aca="false">((N34+N37)*INDEX(Assumptions!$C$91:$E$91,$B$3)+N35*(INDEX(Assumptions!$C$93:$E$93,$B$3)+IF($Q$3=1,INDEX(Assumptions!$C$282:$E$282,$B$3),0)))*$N$3</f>
        <v>13673.3291366907</v>
      </c>
      <c r="O69" s="40" t="n">
        <f aca="false">SUM(C69:N69)</f>
        <v>142266.89129946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9591.73785971223</v>
      </c>
      <c r="E70" s="10" t="n">
        <f aca="false">(E34+E35)*E54*INDEX(Assumptions!$C$14:$E$14,$B$3)*$N$3</f>
        <v>10029.5773381295</v>
      </c>
      <c r="F70" s="10" t="n">
        <f aca="false">(F34+F35)*F54*INDEX(Assumptions!$C$14:$E$14,$B$3)*$N$3</f>
        <v>15345.5395683453</v>
      </c>
      <c r="G70" s="10" t="n">
        <f aca="false">(G34+G35)*G54*INDEX(Assumptions!$C$14:$E$14,$B$3)*$N$3</f>
        <v>18862.1223021583</v>
      </c>
      <c r="H70" s="10" t="n">
        <f aca="false">(H34+H35)*H54*INDEX(Assumptions!$C$14:$E$14,$B$3)*$N$3</f>
        <v>22082.9136690648</v>
      </c>
      <c r="I70" s="10" t="n">
        <f aca="false">(I34+I35)*I54*INDEX(Assumptions!$C$14:$E$14,$B$3)*$N$3</f>
        <v>30170.2877697842</v>
      </c>
      <c r="J70" s="10" t="n">
        <f aca="false">(J34+J35)*J54*INDEX(Assumptions!$C$14:$E$14,$B$3)*$N$3</f>
        <v>31330.6834532374</v>
      </c>
      <c r="K70" s="10" t="n">
        <f aca="false">(K34+K35)*K54*INDEX(Assumptions!$C$14:$E$14,$B$3)*$N$3</f>
        <v>29009.8920863309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175422.754046763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1500</v>
      </c>
      <c r="D71" s="10" t="n">
        <f aca="false">D36*INDEX(Assumptions!$C$92:$E$92,$B$3)*$N$3</f>
        <v>1598.62297661871</v>
      </c>
      <c r="E71" s="10" t="n">
        <f aca="false">E36*INDEX(Assumptions!$C$92:$E$92,$B$3)*$N$3</f>
        <v>1671.59622302158</v>
      </c>
      <c r="F71" s="10" t="n">
        <f aca="false">F36*INDEX(Assumptions!$C$92:$E$92,$B$3)*$N$3</f>
        <v>2557.58992805755</v>
      </c>
      <c r="G71" s="10" t="n">
        <f aca="false">G36*INDEX(Assumptions!$C$92:$E$92,$B$3)*$N$3</f>
        <v>3143.68705035971</v>
      </c>
      <c r="H71" s="10" t="n">
        <f aca="false">H36*INDEX(Assumptions!$C$92:$E$92,$B$3)*$N$3</f>
        <v>3680.48561151079</v>
      </c>
      <c r="I71" s="10" t="n">
        <f aca="false">I36*INDEX(Assumptions!$C$92:$E$92,$B$3)*$N$3</f>
        <v>5028.38129496403</v>
      </c>
      <c r="J71" s="10" t="n">
        <f aca="false">J36*INDEX(Assumptions!$C$92:$E$92,$B$3)*$N$3</f>
        <v>5221.78057553957</v>
      </c>
      <c r="K71" s="10" t="n">
        <f aca="false">K36*INDEX(Assumptions!$C$92:$E$92,$B$3)*$N$3</f>
        <v>4834.98201438849</v>
      </c>
      <c r="L71" s="10" t="n">
        <f aca="false">L36*INDEX(Assumptions!$C$92:$E$92,$B$3)*$N$3</f>
        <v>4254.78417266187</v>
      </c>
      <c r="M71" s="10" t="n">
        <f aca="false">M36*INDEX(Assumptions!$C$92:$E$92,$B$3)*$N$3</f>
        <v>4061.38489208633</v>
      </c>
      <c r="N71" s="10" t="n">
        <f aca="false">N36*INDEX(Assumptions!$C$92:$E$92,$B$3)*$N$3</f>
        <v>3867.98561151079</v>
      </c>
      <c r="O71" s="40" t="n">
        <f aca="false">SUM(C71:N71)</f>
        <v>41421.2803507194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2933.33333333333</v>
      </c>
      <c r="D72" s="10" t="n">
        <f aca="false">(D46*INDEX(Assumptions!$C$94:$E$94,$B$3)+D47*INDEX(Assumptions!$C$95:$E$95,$B$3)+D48*INDEX(Assumptions!$C$96:$E$96,$B$3))*$N$3</f>
        <v>4639.44919064748</v>
      </c>
      <c r="E72" s="10" t="n">
        <f aca="false">(E46*INDEX(Assumptions!$C$94:$E$94,$B$3)+E47*INDEX(Assumptions!$C$95:$E$95,$B$3)+E48*INDEX(Assumptions!$C$96:$E$96,$B$3))*$N$3</f>
        <v>8468.63848920863</v>
      </c>
      <c r="F72" s="10" t="n">
        <f aca="false">(F46*INDEX(Assumptions!$C$94:$E$94,$B$3)+F47*INDEX(Assumptions!$C$95:$E$95,$B$3)+F48*INDEX(Assumptions!$C$96:$E$96,$B$3))*$N$3</f>
        <v>11123.035971223</v>
      </c>
      <c r="G72" s="10" t="n">
        <f aca="false">(G46*INDEX(Assumptions!$C$94:$E$94,$B$3)+G47*INDEX(Assumptions!$C$95:$E$95,$B$3)+G48*INDEX(Assumptions!$C$96:$E$96,$B$3))*$N$3</f>
        <v>11157.4748201439</v>
      </c>
      <c r="H72" s="10" t="n">
        <f aca="false">(H46*INDEX(Assumptions!$C$94:$E$94,$B$3)+H47*INDEX(Assumptions!$C$95:$E$95,$B$3)+H48*INDEX(Assumptions!$C$96:$E$96,$B$3))*$N$3</f>
        <v>12672.1942446043</v>
      </c>
      <c r="I72" s="10" t="n">
        <f aca="false">(I46*INDEX(Assumptions!$C$94:$E$94,$B$3)+I47*INDEX(Assumptions!$C$95:$E$95,$B$3)+I48*INDEX(Assumptions!$C$96:$E$96,$B$3))*$N$3</f>
        <v>14511.3525179856</v>
      </c>
      <c r="J72" s="10" t="n">
        <f aca="false">(J46*INDEX(Assumptions!$C$94:$E$94,$B$3)+J47*INDEX(Assumptions!$C$95:$E$95,$B$3)+J48*INDEX(Assumptions!$C$96:$E$96,$B$3))*$N$3</f>
        <v>15888.7122302158</v>
      </c>
      <c r="K72" s="10" t="n">
        <f aca="false">(K46*INDEX(Assumptions!$C$94:$E$94,$B$3)+K47*INDEX(Assumptions!$C$95:$E$95,$B$3)+K48*INDEX(Assumptions!$C$96:$E$96,$B$3))*$N$3</f>
        <v>15733.9928057554</v>
      </c>
      <c r="L72" s="10" t="n">
        <f aca="false">(L46*INDEX(Assumptions!$C$94:$E$94,$B$3)+L47*INDEX(Assumptions!$C$95:$E$95,$B$3)+L48*INDEX(Assumptions!$C$96:$E$96,$B$3))*$N$3</f>
        <v>16501.9136690648</v>
      </c>
      <c r="M72" s="10" t="n">
        <f aca="false">(M46*INDEX(Assumptions!$C$94:$E$94,$B$3)+M47*INDEX(Assumptions!$C$95:$E$95,$B$3)+M48*INDEX(Assumptions!$C$96:$E$96,$B$3))*$N$3</f>
        <v>17924.5539568345</v>
      </c>
      <c r="N72" s="10" t="n">
        <f aca="false">(N46*INDEX(Assumptions!$C$94:$E$94,$B$3)+N47*INDEX(Assumptions!$C$95:$E$95,$B$3)+N48*INDEX(Assumptions!$C$96:$E$96,$B$3))*$N$3</f>
        <v>19347.1942446043</v>
      </c>
      <c r="O72" s="40" t="n">
        <f aca="false">SUM(C72:N72)</f>
        <v>150901.845473621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131.25</v>
      </c>
      <c r="F74" s="10" t="n">
        <f aca="false">F51*INDEX(Assumptions!$C$97:$E$97,$B$3)</f>
        <v>262.5</v>
      </c>
      <c r="G74" s="10" t="n">
        <f aca="false">G51*INDEX(Assumptions!$C$97:$E$97,$B$3)</f>
        <v>393.75</v>
      </c>
      <c r="H74" s="10" t="n">
        <f aca="false">H51*INDEX(Assumptions!$C$97:$E$97,$B$3)</f>
        <v>525</v>
      </c>
      <c r="I74" s="10" t="n">
        <f aca="false">I51*INDEX(Assumptions!$C$97:$E$97,$B$3)</f>
        <v>656.25</v>
      </c>
      <c r="J74" s="10" t="n">
        <f aca="false">J51*INDEX(Assumptions!$C$97:$E$97,$B$3)</f>
        <v>787.5</v>
      </c>
      <c r="K74" s="10" t="n">
        <f aca="false">K51*INDEX(Assumptions!$C$97:$E$97,$B$3)</f>
        <v>787.5</v>
      </c>
      <c r="L74" s="10" t="n">
        <f aca="false">L51*INDEX(Assumptions!$C$97:$E$97,$B$3)</f>
        <v>787.5</v>
      </c>
      <c r="M74" s="10" t="n">
        <f aca="false">M51*INDEX(Assumptions!$C$97:$E$97,$B$3)</f>
        <v>787.5</v>
      </c>
      <c r="N74" s="10" t="n">
        <f aca="false">N51*INDEX(Assumptions!$C$97:$E$97,$B$3)</f>
        <v>787.5</v>
      </c>
      <c r="O74" s="40" t="n">
        <f aca="false">SUM(C74:N74)</f>
        <v>5906.25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2229.07488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2682.0419997518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3254.25537515719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4635.02782125612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5325.28401616691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6151.62906753957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7998.71056211799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8436.61469402015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7959.86615841727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10601.2078296317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10337.8973569669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10154.4607871799</v>
      </c>
      <c r="O75" s="40" t="n">
        <f aca="false">SUM(C75:N75)</f>
        <v>79766.0705482054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1278.89838129496</v>
      </c>
      <c r="E76" s="10" t="n">
        <f aca="false">E38*INDEX(Assumptions!$C$240:$E$240,$B$3)*INDEX(Assumptions!$C$69:$E$69,$B$3)</f>
        <v>1337.27697841727</v>
      </c>
      <c r="F76" s="10" t="n">
        <f aca="false">F38*INDEX(Assumptions!$C$240:$E$240,$B$3)*INDEX(Assumptions!$C$69:$E$69,$B$3)</f>
        <v>2046.07194244604</v>
      </c>
      <c r="G76" s="10" t="n">
        <f aca="false">G38*INDEX(Assumptions!$C$240:$E$240,$B$3)*INDEX(Assumptions!$C$69:$E$69,$B$3)</f>
        <v>2514.94964028777</v>
      </c>
      <c r="H76" s="10" t="n">
        <f aca="false">H38*INDEX(Assumptions!$C$240:$E$240,$B$3)*INDEX(Assumptions!$C$69:$E$69,$B$3)</f>
        <v>2944.38848920863</v>
      </c>
      <c r="I76" s="10" t="n">
        <f aca="false">I38*INDEX(Assumptions!$C$240:$E$240,$B$3)*INDEX(Assumptions!$C$69:$E$69,$B$3)</f>
        <v>4022.70503597122</v>
      </c>
      <c r="J76" s="10" t="n">
        <f aca="false">J38*INDEX(Assumptions!$C$240:$E$240,$B$3)*INDEX(Assumptions!$C$69:$E$69,$B$3)</f>
        <v>4177.42446043166</v>
      </c>
      <c r="K76" s="10" t="n">
        <f aca="false">K38*INDEX(Assumptions!$C$240:$E$240,$B$3)*INDEX(Assumptions!$C$69:$E$69,$B$3)</f>
        <v>3867.98561151079</v>
      </c>
      <c r="L76" s="10" t="n">
        <f aca="false">L38*INDEX(Assumptions!$C$240:$E$240,$B$3)*INDEX(Assumptions!$C$69:$E$69,$B$3)</f>
        <v>3403.8273381295</v>
      </c>
      <c r="M76" s="10" t="n">
        <f aca="false">M38*INDEX(Assumptions!$C$240:$E$240,$B$3)*INDEX(Assumptions!$C$69:$E$69,$B$3)</f>
        <v>3249.10791366907</v>
      </c>
      <c r="N76" s="10" t="n">
        <f aca="false">N38*INDEX(Assumptions!$C$240:$E$240,$B$3)*INDEX(Assumptions!$C$69:$E$69,$B$3)</f>
        <v>3094.38848920863</v>
      </c>
      <c r="O76" s="40" t="n">
        <f aca="false">SUM(C76:N76)</f>
        <v>33137.0242805756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21062.4082133333</v>
      </c>
      <c r="D77" s="40" t="n">
        <f aca="false">SUM(D69:D76)</f>
        <v>25316.8947425576</v>
      </c>
      <c r="E77" s="40" t="n">
        <f aca="false">SUM(E69:E76)</f>
        <v>30692.0999120277</v>
      </c>
      <c r="F77" s="40" t="n">
        <f aca="false">SUM(F69:F76)</f>
        <v>44301.1343860043</v>
      </c>
      <c r="G77" s="40" t="n">
        <f aca="false">SUM(G69:G76)</f>
        <v>51989.904519764</v>
      </c>
      <c r="H77" s="40" t="n">
        <f aca="false">SUM(H69:H76)</f>
        <v>60562.5517294101</v>
      </c>
      <c r="I77" s="40" t="n">
        <f aca="false">SUM(I69:I76)</f>
        <v>79043.4947347799</v>
      </c>
      <c r="J77" s="40" t="n">
        <f aca="false">SUM(J69:J76)</f>
        <v>83983.5679314302</v>
      </c>
      <c r="K77" s="40" t="n">
        <f aca="false">SUM(K69:K76)</f>
        <v>79387.4147195684</v>
      </c>
      <c r="L77" s="40" t="n">
        <f aca="false">SUM(L69:L76)</f>
        <v>50847.116103013</v>
      </c>
      <c r="M77" s="40" t="n">
        <f aca="false">SUM(M69:M76)</f>
        <v>50710.6707382619</v>
      </c>
      <c r="N77" s="40" t="n">
        <f aca="false">SUM(N69:N76)</f>
        <v>50924.8582691943</v>
      </c>
      <c r="O77" s="11" t="n">
        <f aca="false">SUM(C77:N77)</f>
        <v>628822.115999345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27986.8460239548</v>
      </c>
      <c r="D78" s="40" t="n">
        <f aca="false">D66-D77</f>
        <v>35922.9757675175</v>
      </c>
      <c r="E78" s="40" t="n">
        <f aca="false">E66-E77</f>
        <v>49188.185613518</v>
      </c>
      <c r="F78" s="40" t="n">
        <f aca="false">F66-F77</f>
        <v>66725.404940907</v>
      </c>
      <c r="G78" s="40" t="n">
        <f aca="false">G66-G77</f>
        <v>70725.6188023918</v>
      </c>
      <c r="H78" s="40" t="n">
        <f aca="false">H66-H77</f>
        <v>79992.8182681512</v>
      </c>
      <c r="I78" s="40" t="n">
        <f aca="false">I66-I77</f>
        <v>99416.9586739508</v>
      </c>
      <c r="J78" s="40" t="n">
        <f aca="false">J66-J77</f>
        <v>104449.490910174</v>
      </c>
      <c r="K78" s="40" t="n">
        <f aca="false">K66-K77</f>
        <v>99620.844821951</v>
      </c>
      <c r="L78" s="40" t="n">
        <f aca="false">L66-L77</f>
        <v>165857.295469966</v>
      </c>
      <c r="M78" s="40" t="n">
        <f aca="false">M66-M77</f>
        <v>165420.192397941</v>
      </c>
      <c r="N78" s="40" t="n">
        <f aca="false">N66-N77</f>
        <v>165779.740298054</v>
      </c>
      <c r="O78" s="11" t="n">
        <f aca="false">SUM(C78:N78)</f>
        <v>1131086.37198848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0.570586575864362</v>
      </c>
      <c r="D79" s="8" t="n">
        <f aca="false">IFERROR(D78/D66,0)</f>
        <v>0.586594574226076</v>
      </c>
      <c r="E79" s="8" t="n">
        <f aca="false">IFERROR(E78/E66,0)</f>
        <v>0.615773783104313</v>
      </c>
      <c r="F79" s="8" t="n">
        <f aca="false">IFERROR(F78/F66,0)</f>
        <v>0.600986082655768</v>
      </c>
      <c r="G79" s="8" t="n">
        <f aca="false">IFERROR(G78/G66,0)</f>
        <v>0.576337996104382</v>
      </c>
      <c r="H79" s="8" t="n">
        <f aca="false">IFERROR(H78/H66,0)</f>
        <v>0.56911961648665</v>
      </c>
      <c r="I79" s="8" t="n">
        <f aca="false">IFERROR(I78/I66,0)</f>
        <v>0.557081172747301</v>
      </c>
      <c r="J79" s="8" t="n">
        <f aca="false">IFERROR(J78/J66,0)</f>
        <v>0.554305553135312</v>
      </c>
      <c r="K79" s="8" t="n">
        <f aca="false">IFERROR(K78/K66,0)</f>
        <v>0.556515353409404</v>
      </c>
      <c r="L79" s="8" t="n">
        <f aca="false">IFERROR(L78/L66,0)</f>
        <v>0.765361878265735</v>
      </c>
      <c r="M79" s="8" t="n">
        <f aca="false">IFERROR(M78/M66,0)</f>
        <v>0.76537052597479</v>
      </c>
      <c r="N79" s="8" t="n">
        <f aca="false">IFERROR(N78/N66,0)</f>
        <v>0.765003333543053</v>
      </c>
      <c r="O79" s="13" t="n">
        <f aca="false">IFERROR(O78/O66,0)</f>
        <v>0.64269612863888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1</v>
      </c>
      <c r="I81" s="10" t="n">
        <f aca="false">ROUNDUP(I42/(INDEX(Assumptions!$C$102:$E$102,$B$3)*$J$3),0)</f>
        <v>1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1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0.0666666666666667</v>
      </c>
      <c r="D82" s="6" t="n">
        <f aca="false">D81*(1-D12)</f>
        <v>0.133333333333333</v>
      </c>
      <c r="E82" s="6" t="n">
        <f aca="false">E81*(1-E12)</f>
        <v>0.2</v>
      </c>
      <c r="F82" s="6" t="n">
        <f aca="false">F81*(1-F12)</f>
        <v>0.266666666666667</v>
      </c>
      <c r="G82" s="6" t="n">
        <f aca="false">G81*(1-G12)</f>
        <v>0.333333333333333</v>
      </c>
      <c r="H82" s="6" t="n">
        <f aca="false">H81*(1-H12)</f>
        <v>0.4</v>
      </c>
      <c r="I82" s="6" t="n">
        <f aca="false">I81*(1-I12)</f>
        <v>0.433333333333333</v>
      </c>
      <c r="J82" s="6" t="n">
        <f aca="false">J81*(1-J12)</f>
        <v>0.933333333333333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0.6</v>
      </c>
      <c r="O82" s="41" t="n">
        <f aca="false">MAX(C82:N82)</f>
        <v>1.13333333333333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0</v>
      </c>
      <c r="E83" s="6" t="n">
        <f aca="false">IF(3&gt;=INDEX(Assumptions!$C$161:$E$161,E$9),INDEX(Assumptions!$C$203:$E$203,E$9),0)</f>
        <v>0.5</v>
      </c>
      <c r="F83" s="6" t="n">
        <f aca="false">IF(4&gt;=INDEX(Assumptions!$C$161:$E$161,F$9),INDEX(Assumptions!$C$203:$E$203,F$9),0)</f>
        <v>0.5</v>
      </c>
      <c r="G83" s="6" t="n">
        <f aca="false">IF(5&gt;=INDEX(Assumptions!$C$161:$E$161,G$9),INDEX(Assumptions!$C$203:$E$203,G$9),0)</f>
        <v>0.5</v>
      </c>
      <c r="H83" s="6" t="n">
        <f aca="false">IF(6&gt;=INDEX(Assumptions!$C$161:$E$161,H$9),INDEX(Assumptions!$C$203:$E$203,H$9),0)</f>
        <v>0.5</v>
      </c>
      <c r="I83" s="6" t="n">
        <f aca="false">IF(7&gt;=INDEX(Assumptions!$C$161:$E$161,I$9),INDEX(Assumptions!$C$203:$E$203,I$9),0)</f>
        <v>0.5</v>
      </c>
      <c r="J83" s="6" t="n">
        <f aca="false">IF(8&gt;=INDEX(Assumptions!$C$161:$E$161,J$9),INDEX(Assumptions!$C$203:$E$203,J$9),0)</f>
        <v>0.5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20000</v>
      </c>
      <c r="E86" s="10" t="n">
        <f aca="false">E83*INDEX(Assumptions!$C$98:$E$98,$B$3)*$W$4+E84*INDEX(Assumptions!$C$99:$E$99,$B$3)+E85*INDEX(Assumptions!$C$100:$E$100,$B$3)</f>
        <v>57500</v>
      </c>
      <c r="F86" s="10" t="n">
        <f aca="false">F83*INDEX(Assumptions!$C$98:$E$98,$B$3)*$W$4+F84*INDEX(Assumptions!$C$99:$E$99,$B$3)+F85*INDEX(Assumptions!$C$100:$E$100,$B$3)</f>
        <v>57500</v>
      </c>
      <c r="G86" s="10" t="n">
        <f aca="false">G83*INDEX(Assumptions!$C$98:$E$98,$B$3)*$W$4+G84*INDEX(Assumptions!$C$99:$E$99,$B$3)+G85*INDEX(Assumptions!$C$100:$E$100,$B$3)</f>
        <v>57500</v>
      </c>
      <c r="H86" s="10" t="n">
        <f aca="false">H83*INDEX(Assumptions!$C$98:$E$98,$B$3)*$W$4+H84*INDEX(Assumptions!$C$99:$E$99,$B$3)+H85*INDEX(Assumptions!$C$100:$E$100,$B$3)</f>
        <v>57500</v>
      </c>
      <c r="I86" s="10" t="n">
        <f aca="false">I83*INDEX(Assumptions!$C$98:$E$98,$B$3)*$W$4+I84*INDEX(Assumptions!$C$99:$E$99,$B$3)+I85*INDEX(Assumptions!$C$100:$E$100,$B$3)</f>
        <v>57500</v>
      </c>
      <c r="J86" s="10" t="n">
        <f aca="false">J83*INDEX(Assumptions!$C$98:$E$98,$B$3)*$W$4+J84*INDEX(Assumptions!$C$99:$E$99,$B$3)+J85*INDEX(Assumptions!$C$100:$E$100,$B$3)</f>
        <v>57500</v>
      </c>
      <c r="K86" s="10" t="n">
        <f aca="false">K83*INDEX(Assumptions!$C$98:$E$98,$B$3)*$W$4+K84*INDEX(Assumptions!$C$99:$E$99,$B$3)+K85*INDEX(Assumptions!$C$100:$E$100,$B$3)</f>
        <v>57500</v>
      </c>
      <c r="L86" s="10" t="n">
        <f aca="false">L83*INDEX(Assumptions!$C$98:$E$98,$B$3)*$W$4+L84*INDEX(Assumptions!$C$99:$E$99,$B$3)+L85*INDEX(Assumptions!$C$100:$E$100,$B$3)</f>
        <v>57500</v>
      </c>
      <c r="M86" s="10" t="n">
        <f aca="false">M83*INDEX(Assumptions!$C$98:$E$98,$B$3)*$W$4+M84*INDEX(Assumptions!$C$99:$E$99,$B$3)+M85*INDEX(Assumptions!$C$100:$E$100,$B$3)</f>
        <v>57500</v>
      </c>
      <c r="N86" s="10" t="n">
        <f aca="false">N83*INDEX(Assumptions!$C$98:$E$98,$B$3)*$W$4+N84*INDEX(Assumptions!$C$99:$E$99,$B$3)+N85*INDEX(Assumptions!$C$100:$E$100,$B$3)</f>
        <v>57500</v>
      </c>
      <c r="O86" s="40" t="n">
        <f aca="false">SUM(C86:N86)</f>
        <v>615000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20000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200000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12000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12000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12000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12000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12000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12000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12000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12000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12000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12000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12000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12000</v>
      </c>
      <c r="O88" s="40" t="n">
        <f aca="false">SUM(C88:N88)</f>
        <v>144000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32000</v>
      </c>
      <c r="D92" s="40" t="n">
        <f aca="false">SUM(D86:D91)</f>
        <v>32000</v>
      </c>
      <c r="E92" s="40" t="n">
        <f aca="false">SUM(E86:E91)</f>
        <v>89500</v>
      </c>
      <c r="F92" s="40" t="n">
        <f aca="false">SUM(F86:F91)</f>
        <v>89500</v>
      </c>
      <c r="G92" s="40" t="n">
        <f aca="false">SUM(G86:G91)</f>
        <v>89500</v>
      </c>
      <c r="H92" s="40" t="n">
        <f aca="false">SUM(H86:H91)</f>
        <v>89500</v>
      </c>
      <c r="I92" s="40" t="n">
        <f aca="false">SUM(I86:I91)</f>
        <v>89500</v>
      </c>
      <c r="J92" s="40" t="n">
        <f aca="false">SUM(J86:J91)</f>
        <v>89500</v>
      </c>
      <c r="K92" s="40" t="n">
        <f aca="false">SUM(K86:K91)</f>
        <v>89500</v>
      </c>
      <c r="L92" s="40" t="n">
        <f aca="false">SUM(L86:L91)</f>
        <v>89500</v>
      </c>
      <c r="M92" s="40" t="n">
        <f aca="false">SUM(M86:M91)</f>
        <v>89500</v>
      </c>
      <c r="N92" s="40" t="n">
        <f aca="false">SUM(N86:N91)</f>
        <v>89500</v>
      </c>
      <c r="O92" s="11" t="n">
        <f aca="false">SUM(C92:N92)</f>
        <v>959000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12000</v>
      </c>
      <c r="O95" s="40" t="n">
        <f aca="false">SUM(C95:N95)</f>
        <v>144000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8000</v>
      </c>
      <c r="D96" s="10" t="n">
        <f aca="false">INDEX(Assumptions!$C$107:$E$107,D$9)+IF(2&gt;=IF($Q$3=1,MAX(INDEX(Assumptions!$C$231:$E$231,D$9),$Q$4+1),INDEX(Assumptions!$C$231:$E$231,D$9))-1,INDEX(Assumptions!$C$230:$E$230,D$9),0)</f>
        <v>8000</v>
      </c>
      <c r="E96" s="10" t="n">
        <f aca="false">INDEX(Assumptions!$C$107:$E$107,E$9)+IF(3&gt;=IF($Q$3=1,MAX(INDEX(Assumptions!$C$231:$E$231,E$9),$Q$4+1),INDEX(Assumptions!$C$231:$E$231,E$9))-1,INDEX(Assumptions!$C$230:$E$230,E$9),0)</f>
        <v>8000</v>
      </c>
      <c r="F96" s="10" t="n">
        <f aca="false">INDEX(Assumptions!$C$107:$E$107,F$9)+IF(4&gt;=IF($Q$3=1,MAX(INDEX(Assumptions!$C$231:$E$231,F$9),$Q$4+1),INDEX(Assumptions!$C$231:$E$231,F$9))-1,INDEX(Assumptions!$C$230:$E$230,F$9),0)</f>
        <v>8000</v>
      </c>
      <c r="G96" s="10" t="n">
        <f aca="false">INDEX(Assumptions!$C$107:$E$107,G$9)+IF(5&gt;=IF($Q$3=1,MAX(INDEX(Assumptions!$C$231:$E$231,G$9),$Q$4+1),INDEX(Assumptions!$C$231:$E$231,G$9))-1,INDEX(Assumptions!$C$230:$E$230,G$9),0)</f>
        <v>8000</v>
      </c>
      <c r="H96" s="10" t="n">
        <f aca="false">INDEX(Assumptions!$C$107:$E$107,H$9)+IF(6&gt;=IF($Q$3=1,MAX(INDEX(Assumptions!$C$231:$E$231,H$9),$Q$4+1),INDEX(Assumptions!$C$231:$E$231,H$9))-1,INDEX(Assumptions!$C$230:$E$230,H$9),0)</f>
        <v>8000</v>
      </c>
      <c r="I96" s="10" t="n">
        <f aca="false">INDEX(Assumptions!$C$107:$E$107,I$9)+IF(7&gt;=IF($Q$3=1,MAX(INDEX(Assumptions!$C$231:$E$231,I$9),$Q$4+1),INDEX(Assumptions!$C$231:$E$231,I$9))-1,INDEX(Assumptions!$C$230:$E$230,I$9),0)</f>
        <v>8000</v>
      </c>
      <c r="J96" s="10" t="n">
        <f aca="false">INDEX(Assumptions!$C$107:$E$107,J$9)+IF(8&gt;=IF($Q$3=1,MAX(INDEX(Assumptions!$C$231:$E$231,J$9),$Q$4+1),INDEX(Assumptions!$C$231:$E$231,J$9))-1,INDEX(Assumptions!$C$230:$E$230,J$9),0)</f>
        <v>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96000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10000</v>
      </c>
      <c r="D97" s="10" t="n">
        <f aca="false">D18</f>
        <v>15000</v>
      </c>
      <c r="E97" s="10" t="n">
        <f aca="false">E18</f>
        <v>30000</v>
      </c>
      <c r="F97" s="10" t="n">
        <f aca="false">F18</f>
        <v>35000</v>
      </c>
      <c r="G97" s="10" t="n">
        <f aca="false">G18</f>
        <v>40000</v>
      </c>
      <c r="H97" s="10" t="n">
        <f aca="false">H18</f>
        <v>40000</v>
      </c>
      <c r="I97" s="10" t="n">
        <f aca="false">I18</f>
        <v>40000</v>
      </c>
      <c r="J97" s="10" t="n">
        <f aca="false">J18</f>
        <v>40000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410000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3333</v>
      </c>
      <c r="D98" s="10" t="n">
        <f aca="false">INDEX(Assumptions!$C$212:$E$212,D$9)</f>
        <v>3333</v>
      </c>
      <c r="E98" s="10" t="n">
        <f aca="false">INDEX(Assumptions!$C$212:$E$212,E$9)</f>
        <v>3333</v>
      </c>
      <c r="F98" s="10" t="n">
        <f aca="false">INDEX(Assumptions!$C$212:$E$212,F$9)</f>
        <v>3333</v>
      </c>
      <c r="G98" s="10" t="n">
        <f aca="false">INDEX(Assumptions!$C$212:$E$212,G$9)</f>
        <v>3333</v>
      </c>
      <c r="H98" s="10" t="n">
        <f aca="false">INDEX(Assumptions!$C$212:$E$212,H$9)</f>
        <v>3333</v>
      </c>
      <c r="I98" s="10" t="n">
        <f aca="false">INDEX(Assumptions!$C$212:$E$212,I$9)</f>
        <v>3333</v>
      </c>
      <c r="J98" s="10" t="n">
        <f aca="false">INDEX(Assumptions!$C$212:$E$212,J$9)</f>
        <v>3333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39996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12000</v>
      </c>
      <c r="D99" s="10" t="n">
        <f aca="false">INDEX(Assumptions!$C$237:$E$237,D$9)</f>
        <v>12000</v>
      </c>
      <c r="E99" s="10" t="n">
        <f aca="false">INDEX(Assumptions!$C$237:$E$237,E$9)</f>
        <v>12000</v>
      </c>
      <c r="F99" s="10" t="n">
        <f aca="false">INDEX(Assumptions!$C$237:$E$237,F$9)</f>
        <v>12000</v>
      </c>
      <c r="G99" s="10" t="n">
        <f aca="false">INDEX(Assumptions!$C$237:$E$237,G$9)</f>
        <v>12000</v>
      </c>
      <c r="H99" s="10" t="n">
        <f aca="false">INDEX(Assumptions!$C$237:$E$237,H$9)</f>
        <v>12000</v>
      </c>
      <c r="I99" s="10" t="n">
        <f aca="false">INDEX(Assumptions!$C$237:$E$237,I$9)</f>
        <v>12000</v>
      </c>
      <c r="J99" s="10" t="n">
        <f aca="false">INDEX(Assumptions!$C$237:$E$237,J$9)</f>
        <v>12000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144000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100000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172333</v>
      </c>
      <c r="D102" s="40" t="n">
        <f aca="false">D92+SUM(D94:D101)</f>
        <v>127333</v>
      </c>
      <c r="E102" s="40" t="n">
        <f aca="false">E92+SUM(E94:E101)</f>
        <v>249833</v>
      </c>
      <c r="F102" s="40" t="n">
        <f aca="false">F92+SUM(F94:F101)</f>
        <v>204833</v>
      </c>
      <c r="G102" s="40" t="n">
        <f aca="false">G92+SUM(G94:G101)</f>
        <v>209833</v>
      </c>
      <c r="H102" s="40" t="n">
        <f aca="false">H92+SUM(H94:H101)</f>
        <v>209833</v>
      </c>
      <c r="I102" s="40" t="n">
        <f aca="false">I92+SUM(I94:I101)</f>
        <v>209833</v>
      </c>
      <c r="J102" s="40" t="n">
        <f aca="false">J92+SUM(J94:J101)</f>
        <v>209833</v>
      </c>
      <c r="K102" s="40" t="n">
        <f aca="false">K92+SUM(K94:K101)</f>
        <v>209833</v>
      </c>
      <c r="L102" s="40" t="n">
        <f aca="false">L92+SUM(L94:L101)</f>
        <v>209833</v>
      </c>
      <c r="M102" s="40" t="n">
        <f aca="false">M92+SUM(M94:M101)</f>
        <v>209833</v>
      </c>
      <c r="N102" s="40" t="n">
        <f aca="false">N92+SUM(N94:N101)</f>
        <v>209833</v>
      </c>
      <c r="O102" s="11" t="n">
        <f aca="false">SUM(C102:N102)</f>
        <v>2432996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-144346.153976045</v>
      </c>
      <c r="D103" s="40" t="n">
        <f aca="false">D78-D102</f>
        <v>-91410.0242324826</v>
      </c>
      <c r="E103" s="40" t="n">
        <f aca="false">E78-E102</f>
        <v>-200644.814386482</v>
      </c>
      <c r="F103" s="40" t="n">
        <f aca="false">F78-F102</f>
        <v>-138107.595059093</v>
      </c>
      <c r="G103" s="40" t="n">
        <f aca="false">G78-G102</f>
        <v>-139107.381197608</v>
      </c>
      <c r="H103" s="40" t="n">
        <f aca="false">H78-H102</f>
        <v>-129840.181731849</v>
      </c>
      <c r="I103" s="40" t="n">
        <f aca="false">I78-I102</f>
        <v>-110416.041326049</v>
      </c>
      <c r="J103" s="40" t="n">
        <f aca="false">J78-J102</f>
        <v>-105383.509089826</v>
      </c>
      <c r="K103" s="40" t="n">
        <f aca="false">K78-K102</f>
        <v>-110212.155178049</v>
      </c>
      <c r="L103" s="40" t="n">
        <f aca="false">L78-L102</f>
        <v>-43975.704530034</v>
      </c>
      <c r="M103" s="40" t="n">
        <f aca="false">M78-M102</f>
        <v>-44412.8076020589</v>
      </c>
      <c r="N103" s="40" t="n">
        <f aca="false">N78-N102</f>
        <v>-44053.2597019463</v>
      </c>
      <c r="O103" s="11" t="n">
        <f aca="false">SUM(C103:N103)</f>
        <v>-1301909.62801152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-2.94288172614683</v>
      </c>
      <c r="D104" s="8" t="n">
        <f aca="false">IFERROR(D103/D66,0)</f>
        <v>-1.49265541339517</v>
      </c>
      <c r="E104" s="8" t="n">
        <f aca="false">IFERROR(E103/E66,0)</f>
        <v>-2.51181894339018</v>
      </c>
      <c r="F104" s="8" t="n">
        <f aca="false">IFERROR(F103/F66,0)</f>
        <v>-1.24391515664956</v>
      </c>
      <c r="G104" s="8" t="n">
        <f aca="false">IFERROR(G103/G66,0)</f>
        <v>-1.13357607441742</v>
      </c>
      <c r="H104" s="8" t="n">
        <f aca="false">IFERROR(H103/H66,0)</f>
        <v>-0.923765358336018</v>
      </c>
      <c r="I104" s="8" t="n">
        <f aca="false">IFERROR(I103/I66,0)</f>
        <v>-0.61871433820221</v>
      </c>
      <c r="J104" s="8" t="n">
        <f aca="false">IFERROR(J103/J66,0)</f>
        <v>-0.559262317014182</v>
      </c>
      <c r="K104" s="8" t="n">
        <f aca="false">IFERROR(K103/K66,0)</f>
        <v>-0.615681954901563</v>
      </c>
      <c r="L104" s="8" t="n">
        <f aca="false">IFERROR(L103/L66,0)</f>
        <v>-0.202929438357209</v>
      </c>
      <c r="M104" s="8" t="n">
        <f aca="false">IFERROR(M103/M66,0)</f>
        <v>-0.205490354119719</v>
      </c>
      <c r="N104" s="8" t="n">
        <f aca="false">IFERROR(N103/N66,0)</f>
        <v>-0.203287147541891</v>
      </c>
      <c r="O104" s="8" t="n">
        <f aca="false">IFERROR(O103/O66,0)</f>
        <v>-0.739759843706448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-219346.153976045</v>
      </c>
      <c r="D105" s="10" t="n">
        <f aca="false">D103-INDEX(Assumptions!$C$204:$E$204,$B$3)</f>
        <v>-166410.024232483</v>
      </c>
      <c r="E105" s="10" t="n">
        <f aca="false">E103-INDEX(Assumptions!$C$204:$E$204,$B$3)</f>
        <v>-275644.814386482</v>
      </c>
      <c r="F105" s="10" t="n">
        <f aca="false">F103-INDEX(Assumptions!$C$204:$E$204,$B$3)</f>
        <v>-213107.595059093</v>
      </c>
      <c r="G105" s="10" t="n">
        <f aca="false">G103-INDEX(Assumptions!$C$204:$E$204,$B$3)</f>
        <v>-214107.381197608</v>
      </c>
      <c r="H105" s="10" t="n">
        <f aca="false">H103-INDEX(Assumptions!$C$204:$E$204,$B$3)</f>
        <v>-204840.181731849</v>
      </c>
      <c r="I105" s="10" t="n">
        <f aca="false">I103-INDEX(Assumptions!$C$204:$E$204,$B$3)</f>
        <v>-185416.041326049</v>
      </c>
      <c r="J105" s="10" t="n">
        <f aca="false">J103-INDEX(Assumptions!$C$204:$E$204,$B$3)</f>
        <v>-180383.509089826</v>
      </c>
      <c r="K105" s="10" t="n">
        <f aca="false">K103-INDEX(Assumptions!$C$204:$E$204,$B$3)</f>
        <v>-185212.155178049</v>
      </c>
      <c r="L105" s="10" t="n">
        <f aca="false">L103-INDEX(Assumptions!$C$204:$E$204,$B$3)</f>
        <v>-118975.704530034</v>
      </c>
      <c r="M105" s="10" t="n">
        <f aca="false">M103-INDEX(Assumptions!$C$204:$E$204,$B$3)</f>
        <v>-119412.807602059</v>
      </c>
      <c r="N105" s="10" t="n">
        <f aca="false">N103-INDEX(Assumptions!$C$204:$E$204,$B$3)</f>
        <v>-119053.259701946</v>
      </c>
      <c r="O105" s="40" t="n">
        <f aca="false">SUM(C105:N105)</f>
        <v>-2201909.62801152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50000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-14272.0018900134</v>
      </c>
      <c r="E113" s="10" t="n">
        <f aca="false">((E67+IF(INDEX(Assumptions!$C$87:$E$87,$B$3)&gt;=2,D67,0)+IF(INDEX(Assumptions!$C$87:$E$87,$B$3)&gt;=3,C67,0))/INDEX(Assumptions!$C$87:$E$87,$B$3))-E67</f>
        <v>-2413.89579014753</v>
      </c>
      <c r="F113" s="10" t="n">
        <f aca="false">((F67+IF(INDEX(Assumptions!$C$87:$E$87,$B$3)&gt;=2,E67,0)+IF(INDEX(Assumptions!$C$87:$E$87,$B$3)&gt;=3,D67,0))/INDEX(Assumptions!$C$87:$E$87,$B$3))-F67</f>
        <v>-14661.9965679998</v>
      </c>
      <c r="G113" s="10" t="n">
        <f aca="false">((G67+IF(INDEX(Assumptions!$C$87:$E$87,$B$3)&gt;=2,F67,0)+IF(INDEX(Assumptions!$C$87:$E$87,$B$3)&gt;=3,E67,0))/INDEX(Assumptions!$C$87:$E$87,$B$3))-G67</f>
        <v>-16800.628035707</v>
      </c>
      <c r="H113" s="10" t="n">
        <f aca="false">((H67+IF(INDEX(Assumptions!$C$87:$E$87,$B$3)&gt;=2,G67,0)+IF(INDEX(Assumptions!$C$87:$E$87,$B$3)&gt;=3,F67,0))/INDEX(Assumptions!$C$87:$E$87,$B$3))-H67</f>
        <v>-13708.9341238873</v>
      </c>
      <c r="I113" s="10" t="n">
        <f aca="false">((I67+IF(INDEX(Assumptions!$C$87:$E$87,$B$3)&gt;=2,H67,0)+IF(INDEX(Assumptions!$C$87:$E$87,$B$3)&gt;=3,G67,0))/INDEX(Assumptions!$C$87:$E$87,$B$3))-I67</f>
        <v>-26037.3480876316</v>
      </c>
      <c r="J113" s="10" t="n">
        <f aca="false">((J67+IF(INDEX(Assumptions!$C$87:$E$87,$B$3)&gt;=2,I67,0)+IF(INDEX(Assumptions!$C$87:$E$87,$B$3)&gt;=3,H67,0))/INDEX(Assumptions!$C$87:$E$87,$B$3))-J67</f>
        <v>-14633.9064341747</v>
      </c>
      <c r="K113" s="10" t="n">
        <f aca="false">((K67+IF(INDEX(Assumptions!$C$87:$E$87,$B$3)&gt;=2,J67,0)+IF(INDEX(Assumptions!$C$87:$E$87,$B$3)&gt;=3,I67,0))/INDEX(Assumptions!$C$87:$E$87,$B$3))-K67</f>
        <v>4099.10884851441</v>
      </c>
      <c r="L113" s="10" t="n">
        <f aca="false">((L67+IF(INDEX(Assumptions!$C$87:$E$87,$B$3)&gt;=2,K67,0)+IF(INDEX(Assumptions!$C$87:$E$87,$B$3)&gt;=3,J67,0))/INDEX(Assumptions!$C$87:$E$87,$B$3))-L67</f>
        <v>-18465.8070154046</v>
      </c>
      <c r="M113" s="10" t="n">
        <f aca="false">((M67+IF(INDEX(Assumptions!$C$87:$E$87,$B$3)&gt;=2,L67,0)+IF(INDEX(Assumptions!$C$87:$E$87,$B$3)&gt;=3,K67,0))/INDEX(Assumptions!$C$87:$E$87,$B$3))-M67</f>
        <v>-5435.94023086617</v>
      </c>
      <c r="N113" s="10" t="n">
        <f aca="false">((N67+IF(INDEX(Assumptions!$C$87:$E$87,$B$3)&gt;=2,M67,0)+IF(INDEX(Assumptions!$C$87:$E$87,$B$3)&gt;=3,L67,0))/INDEX(Assumptions!$C$87:$E$87,$B$3))-N67</f>
        <v>7184.18231516483</v>
      </c>
      <c r="O113" s="40" t="n">
        <f aca="false">SUM(C113:N113)</f>
        <v>-138875.980571475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-218074.967535367</v>
      </c>
      <c r="D114" s="40" t="n">
        <f aca="false">D103+D113-D112</f>
        <v>-105682.026122496</v>
      </c>
      <c r="E114" s="40" t="n">
        <f aca="false">E103+E113-E112</f>
        <v>-203058.71017663</v>
      </c>
      <c r="F114" s="40" t="n">
        <f aca="false">F103+F113-F112</f>
        <v>-152769.591627093</v>
      </c>
      <c r="G114" s="40" t="n">
        <f aca="false">G103+G113-G112</f>
        <v>-155908.009233315</v>
      </c>
      <c r="H114" s="40" t="n">
        <f aca="false">H103+H113-H112</f>
        <v>-143549.115855736</v>
      </c>
      <c r="I114" s="40" t="n">
        <f aca="false">I103+I113-I112</f>
        <v>-136453.389413681</v>
      </c>
      <c r="J114" s="40" t="n">
        <f aca="false">J103+J113-J112</f>
        <v>-120017.415524</v>
      </c>
      <c r="K114" s="40" t="n">
        <f aca="false">K103+K113-K112</f>
        <v>-106113.046329535</v>
      </c>
      <c r="L114" s="40" t="n">
        <f aca="false">L103+L113-L112</f>
        <v>-62441.5115454386</v>
      </c>
      <c r="M114" s="40" t="n">
        <f aca="false">M103+M113-M112</f>
        <v>-49848.7478329251</v>
      </c>
      <c r="N114" s="40" t="n">
        <f aca="false">N103+N113-N112</f>
        <v>-36869.0773867815</v>
      </c>
      <c r="O114" s="11" t="n">
        <f aca="false">SUM(C114:N114)</f>
        <v>-1490785.608583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-218074.967535367</v>
      </c>
      <c r="D115" s="40" t="n">
        <f aca="false">C115+D114</f>
        <v>-323756.993657863</v>
      </c>
      <c r="E115" s="40" t="n">
        <f aca="false">D115+E114</f>
        <v>-526815.703834493</v>
      </c>
      <c r="F115" s="40" t="n">
        <f aca="false">E115+F114</f>
        <v>-679585.295461586</v>
      </c>
      <c r="G115" s="40" t="n">
        <f aca="false">F115+G114</f>
        <v>-835493.304694901</v>
      </c>
      <c r="H115" s="40" t="n">
        <f aca="false">G115+H114</f>
        <v>-979042.420550637</v>
      </c>
      <c r="I115" s="40" t="n">
        <f aca="false">H115+I114</f>
        <v>-1115495.80996432</v>
      </c>
      <c r="J115" s="40" t="n">
        <f aca="false">I115+J114</f>
        <v>-1235513.22548832</v>
      </c>
      <c r="K115" s="40" t="n">
        <f aca="false">J115+K114</f>
        <v>-1341626.27181785</v>
      </c>
      <c r="L115" s="40" t="n">
        <f aca="false">K115+L114</f>
        <v>-1404067.78336329</v>
      </c>
      <c r="M115" s="40" t="n">
        <f aca="false">L115+M114</f>
        <v>-1453916.53119622</v>
      </c>
      <c r="N115" s="40" t="n">
        <f aca="false">M115+N114</f>
        <v>-1490785.608583</v>
      </c>
      <c r="O115" s="11" t="n">
        <f aca="false">N115</f>
        <v>-1490785.608583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218074.967535367</v>
      </c>
      <c r="D116" s="40" t="n">
        <f aca="false">-MIN(0,MIN($C$115:D115))</f>
        <v>323756.993657863</v>
      </c>
      <c r="E116" s="40" t="n">
        <f aca="false">-MIN(0,MIN($C$115:E115))</f>
        <v>526815.703834493</v>
      </c>
      <c r="F116" s="40" t="n">
        <f aca="false">-MIN(0,MIN($C$115:F115))</f>
        <v>679585.295461586</v>
      </c>
      <c r="G116" s="40" t="n">
        <f aca="false">-MIN(0,MIN($C$115:G115))</f>
        <v>835493.304694901</v>
      </c>
      <c r="H116" s="40" t="n">
        <f aca="false">-MIN(0,MIN($C$115:H115))</f>
        <v>979042.420550637</v>
      </c>
      <c r="I116" s="40" t="n">
        <f aca="false">-MIN(0,MIN($C$115:I115))</f>
        <v>1115495.80996432</v>
      </c>
      <c r="J116" s="40" t="n">
        <f aca="false">-MIN(0,MIN($C$115:J115))</f>
        <v>1235513.22548832</v>
      </c>
      <c r="K116" s="40" t="n">
        <f aca="false">-MIN(0,MIN($C$115:K115))</f>
        <v>1341626.27181785</v>
      </c>
      <c r="L116" s="40" t="n">
        <f aca="false">-MIN(0,MIN($C$115:L115))</f>
        <v>1404067.78336329</v>
      </c>
      <c r="M116" s="40" t="n">
        <f aca="false">-MIN(0,MIN($C$115:M115))</f>
        <v>1453916.53119622</v>
      </c>
      <c r="N116" s="40" t="n">
        <f aca="false">-MIN(0,MIN($C$115:N115))</f>
        <v>1490785.608583</v>
      </c>
      <c r="O116" s="11" t="n">
        <f aca="false">MAX(C116:N116)</f>
        <v>1490785.608583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0</v>
      </c>
      <c r="L118" s="10" t="n">
        <f aca="false">IF(L116&gt;=INDEX(Assumptions!$C$172:$E$172,L$9),1,0)</f>
        <v>0</v>
      </c>
      <c r="M118" s="10" t="n">
        <f aca="false">IF(M116&gt;=INDEX(Assumptions!$C$172:$E$172,M$9),1,0)</f>
        <v>0</v>
      </c>
      <c r="N118" s="10" t="n">
        <f aca="false">IF(N116&gt;=INDEX(Assumptions!$C$172:$E$172,N$9),1,0)</f>
        <v>0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1.47229926933453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1.93584630170863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2.17426210431655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2.88629145683453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3.52949685251799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3.18586634892086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2.91994233812949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1.47229926933453</v>
      </c>
      <c r="D129" s="8" t="n">
        <f aca="false">C129/INDEX(Assumptions!$C$179:$E$179,$B$3)</f>
        <v>0.122691605777878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1.93584630170863</v>
      </c>
      <c r="D130" s="8" t="n">
        <f aca="false">C130/INDEX(Assumptions!$C$179:$E$179,$B$3)</f>
        <v>0.161320525142386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2.17426210431655</v>
      </c>
      <c r="D131" s="8" t="n">
        <f aca="false">C131/INDEX(Assumptions!$C$179:$E$179,$B$3)</f>
        <v>0.181188508693046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2.88629145683453</v>
      </c>
      <c r="D132" s="8" t="n">
        <f aca="false">C132/INDEX(Assumptions!$C$179:$E$179,$B$3)</f>
        <v>0.240524288069544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3.52949685251799</v>
      </c>
      <c r="D133" s="8" t="n">
        <f aca="false">C133/INDEX(Assumptions!$C$179:$E$179,$B$3)</f>
        <v>0.294124737709832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0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3.18586634892086</v>
      </c>
      <c r="D134" s="8" t="n">
        <f aca="false">C134/INDEX(Assumptions!$C$179:$E$179,$B$3)</f>
        <v>0.265488862410072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2.91994233812949</v>
      </c>
      <c r="D135" s="8" t="n">
        <f aca="false">C135/INDEX(Assumptions!$C$179:$E$179,$B$3)</f>
        <v>0.243328528177458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1.47229926933453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1.93584630170863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2.99608106115108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4.41945552158273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4.36038017985612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3.83104634892086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1.47229926933453</v>
      </c>
      <c r="D143" s="8" t="n">
        <f aca="false">C143/INDEX(Assumptions!$C$179:$E$179,$B$3)</f>
        <v>0.122691605777878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1.93584630170863</v>
      </c>
      <c r="D144" s="8" t="n">
        <f aca="false">C144/INDEX(Assumptions!$C$179:$E$179,$B$3)</f>
        <v>0.161320525142386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2.99608106115108</v>
      </c>
      <c r="D145" s="8" t="n">
        <f aca="false">C145/INDEX(Assumptions!$C$179:$E$179,$B$3)</f>
        <v>0.24967342176259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0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4.41945552158273</v>
      </c>
      <c r="D146" s="8" t="n">
        <f aca="false">C146/INDEX(Assumptions!$C$179:$E$179,$B$3)</f>
        <v>0.368287960131895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0</v>
      </c>
      <c r="H146" s="10" t="n">
        <f aca="false">IF(C146&gt;=INDEX(Assumptions!$C$180:$E$180,$B$3)*INDEX($C$25:$N$25,MIN(12,F146)),1,0)</f>
        <v>0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4.36038017985612</v>
      </c>
      <c r="D147" s="8" t="n">
        <f aca="false">C147/INDEX(Assumptions!$C$179:$E$179,$B$3)</f>
        <v>0.36336501498801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3.83104634892086</v>
      </c>
      <c r="D148" s="8" t="n">
        <f aca="false">C148/INDEX(Assumptions!$C$179:$E$179,$B$3)</f>
        <v>0.319253862410072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1759908.48798782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-1301909.62801152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-0.739759843706448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-2201909.62801152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50000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1490785.608583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1000000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-490785.608582998</v>
      </c>
    </row>
    <row r="160" customFormat="false" ht="15" hidden="false" customHeight="false" outlineLevel="0" collapsed="false">
      <c r="A160" s="3" t="s">
        <v>51</v>
      </c>
      <c r="B160" s="7" t="n">
        <f aca="false">O38</f>
        <v>33.1370242805755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3.63590647482014</v>
      </c>
    </row>
    <row r="162" customFormat="false" ht="15" hidden="false" customHeight="false" outlineLevel="0" collapsed="false">
      <c r="A162" s="3" t="s">
        <v>53</v>
      </c>
      <c r="B162" s="11" t="n">
        <f aca="false">O46</f>
        <v>67.5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0.483498201438849</v>
      </c>
    </row>
    <row r="164" customFormat="false" ht="15" hidden="false" customHeight="false" outlineLevel="0" collapsed="false">
      <c r="A164" s="3" t="s">
        <v>55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34929.9645127119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209833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57692.860181452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4.35557670730471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52.2669204876565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34317.6587808943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0.622997497868542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0.650763530821488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7.52884009442716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-132441.771834039</v>
      </c>
    </row>
    <row r="177" customFormat="false" ht="15" hidden="false" customHeight="false" outlineLevel="0" collapsed="false">
      <c r="A177" s="3" t="s">
        <v>68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-1490785.608583</v>
      </c>
    </row>
    <row r="179" customFormat="false" ht="15" hidden="false" customHeight="false" outlineLevel="0" collapsed="false">
      <c r="A179" s="3" t="s">
        <v>70</v>
      </c>
      <c r="B179" s="12" t="str">
        <f aca="false">IFERROR(MATCH(1,C118:N118,0),"not in Y1")</f>
        <v>not in Y1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7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1235513.22548832</v>
      </c>
    </row>
    <row r="182" customFormat="false" ht="15" hidden="false" customHeight="false" outlineLevel="0" collapsed="false">
      <c r="A182" s="3" t="s">
        <v>73</v>
      </c>
      <c r="B182" s="11" t="n">
        <f aca="false">O86</f>
        <v>615000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65000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76</v>
      </c>
      <c r="B185" s="11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973133.024280576</v>
      </c>
    </row>
    <row r="187" customFormat="false" ht="15" hidden="false" customHeight="false" outlineLevel="0" collapsed="false">
      <c r="A187" s="3" t="s">
        <v>78</v>
      </c>
      <c r="B187" s="11" t="n">
        <f aca="false">O97</f>
        <v>410000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0.122691605777878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0.161320525142386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0.215523865140031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2.91994233812949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2" t="str">
        <f aca="false">IFERROR(INDEX(F143:F148,MATCH(1,G143:G148,0)),"not in Y1")</f>
        <v>not in Y1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0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0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0.327108798960831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4.89543884892087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40323.2490675508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0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497057.228165961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1578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0</v>
      </c>
      <c r="R3" s="2" t="s">
        <v>1393</v>
      </c>
      <c r="S3" s="37" t="n">
        <v>1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80000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100000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100000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100000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820000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1.65</v>
      </c>
      <c r="M30" s="16" t="n">
        <f aca="false">MAX(M24*INDEX(Assumptions!$C$26:$E$26,$B$3)*M28,M29)</f>
        <v>1.575</v>
      </c>
      <c r="N30" s="16" t="n">
        <f aca="false">MAX(N24*INDEX(Assumptions!$C$26:$E$26,$B$3)*N28,N29)</f>
        <v>1.5</v>
      </c>
      <c r="O30" s="38" t="n">
        <f aca="false">SUM(C30:N30)</f>
        <v>4.725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8.60896215257244</v>
      </c>
      <c r="J31" s="6" t="n">
        <f aca="false">I34+H34+I37+H37+1.25*I35</f>
        <v>11.7502735068007</v>
      </c>
      <c r="K31" s="6" t="n">
        <f aca="false">J34+I34+J37+I37+1.25*J35</f>
        <v>17.0481113542283</v>
      </c>
      <c r="L31" s="6" t="n">
        <f aca="false">K34+J34+K37+J37+1.25*K35</f>
        <v>15.9006487570424</v>
      </c>
      <c r="M31" s="6" t="n">
        <f aca="false">L34+K34+L37+K37+1.25*L35</f>
        <v>13.6107386094122</v>
      </c>
      <c r="N31" s="6" t="n">
        <f aca="false">M34+L34+M37+L37+1.25*M35</f>
        <v>13.2157369927081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12.1513113542283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14.12</v>
      </c>
      <c r="L32" s="6" t="n">
        <f aca="false">L24*(INDEX(Assumptions!$C$26:$E$26,$B$3)*(1-L28)+(1-INDEX(Assumptions!$C$26:$E$26,$B$3)))+1.25*L30+K36*INDEX(Assumptions!$C$89:$E$89,$B$3)</f>
        <v>12.4697119666188</v>
      </c>
      <c r="M32" s="6" t="n">
        <f aca="false">M24*(INDEX(Assumptions!$C$26:$E$26,$B$3)*(1-M28)+(1-INDEX(Assumptions!$C$26:$E$26,$B$3)))+1.25*M30+L36*INDEX(Assumptions!$C$89:$E$89,$B$3)</f>
        <v>12.0686884171763</v>
      </c>
      <c r="N32" s="6" t="n">
        <f aca="false">N24*(INDEX(Assumptions!$C$26:$E$26,$B$3)*(1-N28)+(1-INDEX(Assumptions!$C$26:$E$26,$B$3)))+1.25*N30+M36*INDEX(Assumptions!$C$89:$E$89,$B$3)</f>
        <v>11.635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0.806475458308693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0.704807977745873</v>
      </c>
      <c r="L33" s="8" t="n">
        <f aca="false">IF(L32&lt;=0,1,MAX(0,MIN(1,(L27-L31)/L32)))</f>
        <v>0.890104861497234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0.704807977745873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3.55655677114134</v>
      </c>
      <c r="I34" s="38" t="n">
        <f aca="false">I24*INDEX(Assumptions!$C$26:$E$26,$B$3)*(1-I28)*I33</f>
        <v>6.864</v>
      </c>
      <c r="J34" s="38" t="n">
        <f aca="false">J24*INDEX(Assumptions!$C$26:$E$26,$B$3)*(1-J28)*J33</f>
        <v>8.1</v>
      </c>
      <c r="K34" s="38" t="n">
        <f aca="false">K24*INDEX(Assumptions!$C$26:$E$26,$B$3)*(1-K28)*K33</f>
        <v>5.28605983309405</v>
      </c>
      <c r="L34" s="38" t="n">
        <f aca="false">L24*INDEX(Assumptions!$C$26:$E$26,$B$3)*(1-L28)*L33</f>
        <v>4.40601906441131</v>
      </c>
      <c r="M34" s="38" t="n">
        <f aca="false">M24*INDEX(Assumptions!$C$26:$E$26,$B$3)*(1-M28)*M33</f>
        <v>4.725</v>
      </c>
      <c r="N34" s="38" t="n">
        <f aca="false">N24*INDEX(Assumptions!$C$26:$E$26,$B$3)*(1-N28)*N33</f>
        <v>4.5</v>
      </c>
      <c r="O34" s="17" t="n">
        <f aca="false">SUM(C34:N34)</f>
        <v>49.0433606686467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1.46867302147044</v>
      </c>
      <c r="M35" s="16" t="n">
        <f aca="false">M30*M33</f>
        <v>1.575</v>
      </c>
      <c r="N35" s="16" t="n">
        <f aca="false">N30*N33</f>
        <v>1.5</v>
      </c>
      <c r="O35" s="38" t="n">
        <f aca="false">SUM(C35:N35)</f>
        <v>4.54367302147044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2.37103784742756</v>
      </c>
      <c r="I36" s="16" t="n">
        <f aca="false">I24*(1-INDEX(Assumptions!$C$26:$E$26,$B$3))*I33</f>
        <v>4.576</v>
      </c>
      <c r="J36" s="16" t="n">
        <f aca="false">J24*(1-INDEX(Assumptions!$C$26:$E$26,$B$3))*J33</f>
        <v>5.4</v>
      </c>
      <c r="K36" s="16" t="n">
        <f aca="false">K24*(1-INDEX(Assumptions!$C$26:$E$26,$B$3))*K33</f>
        <v>3.52403988872937</v>
      </c>
      <c r="L36" s="16" t="n">
        <f aca="false">L24*(1-INDEX(Assumptions!$C$26:$E$26,$B$3))*L33</f>
        <v>3.91646139058783</v>
      </c>
      <c r="M36" s="16" t="n">
        <f aca="false">M24*(1-INDEX(Assumptions!$C$26:$E$26,$B$3))*M33</f>
        <v>4.2</v>
      </c>
      <c r="N36" s="16" t="n">
        <f aca="false">N24*(1-INDEX(Assumptions!$C$26:$E$26,$B$3))*N33</f>
        <v>4</v>
      </c>
      <c r="O36" s="38" t="n">
        <f aca="false">SUM(C36:N36)</f>
        <v>35.7246891267448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0.618405381431106</v>
      </c>
      <c r="I37" s="16" t="n">
        <f aca="false">H36*INDEX(Assumptions!$C$89:$E$89,$B$3)*I33</f>
        <v>0.711311354228267</v>
      </c>
      <c r="J37" s="16" t="n">
        <f aca="false">I36*INDEX(Assumptions!$C$89:$E$89,$B$3)*J33</f>
        <v>1.3728</v>
      </c>
      <c r="K37" s="16" t="n">
        <f aca="false">J36*INDEX(Assumptions!$C$89:$E$89,$B$3)*K33</f>
        <v>1.14178892394831</v>
      </c>
      <c r="L37" s="16" t="n">
        <f aca="false">K36*INDEX(Assumptions!$C$89:$E$89,$B$3)*L33</f>
        <v>0.941029511120454</v>
      </c>
      <c r="M37" s="16" t="n">
        <f aca="false">L36*INDEX(Assumptions!$C$89:$E$89,$B$3)*M33</f>
        <v>1.17493841717635</v>
      </c>
      <c r="N37" s="16" t="n">
        <f aca="false">M36*INDEX(Assumptions!$C$89:$E$89,$B$3)*N33</f>
        <v>1.26</v>
      </c>
      <c r="O37" s="38" t="n">
        <f aca="false">SUM(C37:N37)</f>
        <v>8.77461858790449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5.9275946185689</v>
      </c>
      <c r="I38" s="38" t="n">
        <f aca="false">I34+I35+I36</f>
        <v>11.44</v>
      </c>
      <c r="J38" s="38" t="n">
        <f aca="false">J34+J35+J36</f>
        <v>13.5</v>
      </c>
      <c r="K38" s="38" t="n">
        <f aca="false">K34+K35+K36</f>
        <v>8.81009972182342</v>
      </c>
      <c r="L38" s="38" t="n">
        <f aca="false">L34+L35+L36</f>
        <v>9.79115347646957</v>
      </c>
      <c r="M38" s="38" t="n">
        <f aca="false">M34+M35+M36</f>
        <v>10.5</v>
      </c>
      <c r="N38" s="38" t="n">
        <f aca="false">N34+N35+N36</f>
        <v>10</v>
      </c>
      <c r="O38" s="17" t="n">
        <f aca="false">SUM(C38:N38)</f>
        <v>89.3117228168619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13.5</v>
      </c>
      <c r="K39" s="16" t="n">
        <f aca="false">IF(9&lt;IF($Q$3=1,$Q$4+1,INDEX(Assumptions!$C$215:$E$215,$D$3)),K24,K38)</f>
        <v>8.81009972182342</v>
      </c>
      <c r="L39" s="16" t="n">
        <f aca="false">IF(10&lt;IF($Q$3=1,$Q$4+1,INDEX(Assumptions!$C$215:$E$215,$D$3)),L24,L38)</f>
        <v>9.79115347646957</v>
      </c>
      <c r="M39" s="16" t="n">
        <f aca="false">IF(11&lt;IF($Q$3=1,$Q$4+1,INDEX(Assumptions!$C$215:$E$215,$D$3)),M24,M38)</f>
        <v>10.5</v>
      </c>
      <c r="N39" s="16" t="n">
        <f aca="false">IF(12&lt;IF($Q$3=1,$Q$4+1,INDEX(Assumptions!$C$215:$E$215,$D$3)),N24,N38)</f>
        <v>10</v>
      </c>
      <c r="O39" s="38" t="n">
        <f aca="false">SUM(C39:N39)</f>
        <v>90.734128198293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1.48189865464222</v>
      </c>
      <c r="I40" s="16" t="n">
        <f aca="false">I38*INDEX(Assumptions!$C$74:$E$74,$B$3)</f>
        <v>2.86</v>
      </c>
      <c r="J40" s="16" t="n">
        <f aca="false">J38*INDEX(Assumptions!$C$74:$E$74,$B$3)</f>
        <v>3.375</v>
      </c>
      <c r="K40" s="16" t="n">
        <f aca="false">K38*INDEX(Assumptions!$C$74:$E$74,$B$3)</f>
        <v>2.20252493045585</v>
      </c>
      <c r="L40" s="16" t="n">
        <f aca="false">L38*INDEX(Assumptions!$C$74:$E$74,$B$3)</f>
        <v>2.44778836911739</v>
      </c>
      <c r="M40" s="16" t="n">
        <f aca="false">M38*INDEX(Assumptions!$C$74:$E$74,$B$3)</f>
        <v>2.625</v>
      </c>
      <c r="N40" s="16" t="n">
        <f aca="false">N38*INDEX(Assumptions!$C$74:$E$74,$B$3)</f>
        <v>2.5</v>
      </c>
      <c r="O40" s="38" t="n">
        <f aca="false">SUM(C40:N40)</f>
        <v>22.3279307042155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2.9033116499113</v>
      </c>
      <c r="I41" s="16" t="n">
        <f aca="false">I10*MIN(I16,I21*I20)*I22*I23*I33</f>
        <v>6.24</v>
      </c>
      <c r="J41" s="16" t="n">
        <f aca="false">J10*MIN(J16,J21*J20)*J22*J23*J33</f>
        <v>8.1</v>
      </c>
      <c r="K41" s="16" t="n">
        <f aca="false">K10*MIN(K16,K21*K20)*K22*K23*K33</f>
        <v>5.28605983309405</v>
      </c>
      <c r="L41" s="16" t="n">
        <f aca="false">L10*MIN(L16,L21*L20)*L22*L23*L33</f>
        <v>5.87469208588174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48.1963135688871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14.4</v>
      </c>
      <c r="I42" s="6" t="n">
        <f aca="false">I31+I34+I37+I36+1.25*I35</f>
        <v>20.7602735068007</v>
      </c>
      <c r="J42" s="6" t="n">
        <f aca="false">J31+J34+J37+J36+1.25*J35</f>
        <v>26.6230735068007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25.6794270265885</v>
      </c>
      <c r="N42" s="6" t="n">
        <f aca="false">N31+N34+N37+N36+1.25*N35</f>
        <v>24.8507369927081</v>
      </c>
      <c r="O42" s="41" t="n">
        <f aca="false">AVERAGE(C42:N42)</f>
        <v>16.7702392527415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0.8002715625</v>
      </c>
      <c r="H43" s="39" t="n">
        <f aca="false">H42/(H25*H26)</f>
        <v>0.9</v>
      </c>
      <c r="I43" s="39" t="n">
        <f aca="false">I42/(I25*I26)</f>
        <v>0.692009116893357</v>
      </c>
      <c r="J43" s="39" t="n">
        <f aca="false">J42/(J25*J26)</f>
        <v>0.887435783560024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0.855980900886284</v>
      </c>
      <c r="N43" s="39" t="n">
        <f aca="false">N42/(N25*N26)</f>
        <v>0.828357899756937</v>
      </c>
      <c r="O43" s="9" t="n">
        <f aca="false">N43</f>
        <v>0.828357899756937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180841.869719051</v>
      </c>
      <c r="I56" s="10" t="n">
        <f aca="false">I34*I53/(1+INDEX(Assumptions!$C$15:$E$15,$B$3)*$H$4)</f>
        <v>465355.93220339</v>
      </c>
      <c r="J56" s="10" t="n">
        <f aca="false">J34*J53/(1+INDEX(Assumptions!$C$15:$E$15,$B$3)*$H$4)</f>
        <v>549152.542372881</v>
      </c>
      <c r="K56" s="10" t="n">
        <f aca="false">K34*K53/(1+INDEX(Assumptions!$C$15:$E$15,$B$3)*$H$4)</f>
        <v>358376.937836885</v>
      </c>
      <c r="L56" s="10" t="n">
        <f aca="false">L34*L53/(1+INDEX(Assumptions!$C$15:$E$15,$B$3)*$H$4)</f>
        <v>298713.156909241</v>
      </c>
      <c r="M56" s="10" t="n">
        <f aca="false">M34*M53/(1+INDEX(Assumptions!$C$15:$E$15,$B$3)*$H$4)</f>
        <v>320338.983050848</v>
      </c>
      <c r="N56" s="10" t="n">
        <f aca="false">N34*N53/(1+INDEX(Assumptions!$C$15:$E$15,$B$3)*$H$4)</f>
        <v>305084.745762712</v>
      </c>
      <c r="O56" s="40" t="n">
        <f aca="false">SUM(C56:N56)</f>
        <v>3067985.7780245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99571.0523030804</v>
      </c>
      <c r="M57" s="10" t="n">
        <f aca="false">M35*M53/(1+INDEX(Assumptions!$C$15:$E$15,$B$3)*$H$4)</f>
        <v>106779.661016949</v>
      </c>
      <c r="N57" s="10" t="n">
        <f aca="false">N35*N53/(1+INDEX(Assumptions!$C$15:$E$15,$B$3)*$H$4)</f>
        <v>101694.915254237</v>
      </c>
      <c r="O57" s="40" t="n">
        <f aca="false">SUM(C57:N57)</f>
        <v>308045.628574267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10533.8543786146</v>
      </c>
      <c r="I58" s="10" t="n">
        <f aca="false">I37*MAX(0,I53-INDEX(Assumptions!$C$18:$E$18,$B$3)*$H$3)/(1+INDEX(Assumptions!$C$15:$E$15,$B$3)*$H$4)</f>
        <v>24172.5299191132</v>
      </c>
      <c r="J58" s="10" t="n">
        <f aca="false">J37*MAX(0,J53-INDEX(Assumptions!$C$18:$E$18,$B$3)*$H$3)/(1+INDEX(Assumptions!$C$15:$E$15,$B$3)*$H$4)</f>
        <v>46651.9322033898</v>
      </c>
      <c r="K58" s="10" t="n">
        <f aca="false">K37*MAX(0,K53-INDEX(Assumptions!$C$18:$E$18,$B$3)*$H$3)/(1+INDEX(Assumptions!$C$15:$E$15,$B$3)*$H$4)</f>
        <v>38801.4710595995</v>
      </c>
      <c r="L58" s="10" t="n">
        <f aca="false">L37*MAX(0,L53-INDEX(Assumptions!$C$18:$E$18,$B$3)*$H$3)/(1+INDEX(Assumptions!$C$15:$E$15,$B$3)*$H$4)</f>
        <v>31979.0537253646</v>
      </c>
      <c r="M58" s="10" t="n">
        <f aca="false">M37*MAX(0,M53-INDEX(Assumptions!$C$18:$E$18,$B$3)*$H$3)/(1+INDEX(Assumptions!$C$15:$E$15,$B$3)*$H$4)</f>
        <v>39927.9919735352</v>
      </c>
      <c r="N58" s="10" t="n">
        <f aca="false">N37*MAX(0,N53-INDEX(Assumptions!$C$18:$E$18,$B$3)*$H$3)/(1+INDEX(Assumptions!$C$15:$E$15,$B$3)*$H$4)</f>
        <v>42818.6440677966</v>
      </c>
      <c r="O58" s="40" t="n">
        <f aca="false">SUM(C58:N58)</f>
        <v>261362.031988431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80173.2289087793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182593.220338983</v>
      </c>
      <c r="K59" s="10" t="n">
        <f aca="false">K36*INDEX(Assumptions!$C$18:$E$18,$B$3)*$H$3/(1+INDEX(Assumptions!$C$15:$E$15,$B$3)*$H$4)</f>
        <v>119160.331830764</v>
      </c>
      <c r="L59" s="10" t="n">
        <f aca="false">L36*INDEX(Assumptions!$C$18:$E$18,$B$3)*$H$3/(1+INDEX(Assumptions!$C$15:$E$15,$B$3)*$H$4)</f>
        <v>132429.499563097</v>
      </c>
      <c r="M59" s="10" t="n">
        <f aca="false">M36*INDEX(Assumptions!$C$18:$E$18,$B$3)*$H$3/(1+INDEX(Assumptions!$C$15:$E$15,$B$3)*$H$4)</f>
        <v>142016.949152542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1207978.8950484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7776</v>
      </c>
      <c r="K65" s="10" t="n">
        <f aca="false">(K34+K35)*(1-K54)*INDEX(Assumptions!$C$90:$E$90,$B$3)</f>
        <v>5074.61743977029</v>
      </c>
      <c r="L65" s="10" t="n">
        <f aca="false">(L34+L35)*(1-L54)*INDEX(Assumptions!$C$90:$E$90,$B$3)</f>
        <v>5639.70440244647</v>
      </c>
      <c r="M65" s="10" t="n">
        <f aca="false">(M34+M35)*(1-M54)*INDEX(Assumptions!$C$90:$E$90,$B$3)</f>
        <v>6048</v>
      </c>
      <c r="N65" s="10" t="n">
        <f aca="false">(N34+N35)*(1-N54)*INDEX(Assumptions!$C$90:$E$90,$B$3)</f>
        <v>5760</v>
      </c>
      <c r="O65" s="40" t="n">
        <f aca="false">SUM(C65:N65)</f>
        <v>36887.7618422168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450922.531311212</v>
      </c>
      <c r="I66" s="40" t="n">
        <f aca="false">SUM(I56:I65)</f>
        <v>857599.961113822</v>
      </c>
      <c r="J66" s="40" t="n">
        <f aca="false">SUM(J56:J65)</f>
        <v>1018862.18893058</v>
      </c>
      <c r="K66" s="40" t="n">
        <f aca="false">SUM(K56:K65)</f>
        <v>773717.743523333</v>
      </c>
      <c r="L66" s="40" t="n">
        <f aca="false">SUM(L56:L65)</f>
        <v>832281.875711701</v>
      </c>
      <c r="M66" s="40" t="n">
        <f aca="false">SUM(M56:M65)</f>
        <v>897770.21085928</v>
      </c>
      <c r="N66" s="40" t="n">
        <f aca="false">SUM(N56:N65)</f>
        <v>891980.384895221</v>
      </c>
      <c r="O66" s="11" t="n">
        <f aca="false">SUM(C66:N66)</f>
        <v>7096610.72610592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271548.953006445</v>
      </c>
      <c r="I67" s="10" t="n">
        <f aca="false">I56+I57+I58+I59</f>
        <v>644259.30958013</v>
      </c>
      <c r="J67" s="10" t="n">
        <f aca="false">J56+J57+J58+J59</f>
        <v>778397.694915254</v>
      </c>
      <c r="K67" s="10" t="n">
        <f aca="false">K56+K57+K58+K59</f>
        <v>516338.740727249</v>
      </c>
      <c r="L67" s="10" t="n">
        <f aca="false">L56+L57+L58+L59</f>
        <v>562692.762500783</v>
      </c>
      <c r="M67" s="10" t="n">
        <f aca="false">M56+M57+M58+M59</f>
        <v>609063.585193874</v>
      </c>
      <c r="N67" s="10" t="n">
        <f aca="false">N56+N57+N58+N59</f>
        <v>584852.542372881</v>
      </c>
      <c r="O67" s="40" t="n">
        <f aca="false">SUM(C67:N67)</f>
        <v>4845372.3336356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25049.7729154347</v>
      </c>
      <c r="I69" s="10" t="n">
        <f aca="false">((I34+I37)*INDEX(Assumptions!$C$91:$E$91,$B$3)+I35*(INDEX(Assumptions!$C$93:$E$93,$B$3)+IF($Q$3=1,INDEX(Assumptions!$C$282:$E$282,$B$3),0)))*$N$3</f>
        <v>45451.8681253696</v>
      </c>
      <c r="J69" s="10" t="n">
        <f aca="false">((J34+J37)*INDEX(Assumptions!$C$91:$E$91,$B$3)+J35*(INDEX(Assumptions!$C$93:$E$93,$B$3)+IF($Q$3=1,INDEX(Assumptions!$C$282:$E$282,$B$3),0)))*$N$3</f>
        <v>56836.8</v>
      </c>
      <c r="K69" s="10" t="n">
        <f aca="false">((K34+K37)*INDEX(Assumptions!$C$91:$E$91,$B$3)+K35*(INDEX(Assumptions!$C$93:$E$93,$B$3)+IF($Q$3=1,INDEX(Assumptions!$C$282:$E$282,$B$3),0)))*$N$3</f>
        <v>38567.0925422542</v>
      </c>
      <c r="L69" s="10" t="n">
        <f aca="false">((L34+L37)*INDEX(Assumptions!$C$91:$E$91,$B$3)+L35*(INDEX(Assumptions!$C$93:$E$93,$B$3)+IF($Q$3=1,INDEX(Assumptions!$C$282:$E$282,$B$3),0)))*$N$3</f>
        <v>43097.3391142188</v>
      </c>
      <c r="M69" s="10" t="n">
        <f aca="false">((M34+M37)*INDEX(Assumptions!$C$91:$E$91,$B$3)+M35*(INDEX(Assumptions!$C$93:$E$93,$B$3)+IF($Q$3=1,INDEX(Assumptions!$C$282:$E$282,$B$3),0)))*$N$3</f>
        <v>47212.1305030581</v>
      </c>
      <c r="N69" s="10" t="n">
        <f aca="false">((N34+N37)*INDEX(Assumptions!$C$91:$E$91,$B$3)+N35*(INDEX(Assumptions!$C$93:$E$93,$B$3)+IF($Q$3=1,INDEX(Assumptions!$C$282:$E$282,$B$3),0)))*$N$3</f>
        <v>45810</v>
      </c>
      <c r="O69" s="40" t="n">
        <f aca="false">SUM(C69:N69)</f>
        <v>380985.423200335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42678.681253696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181947.381253696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4742.07569485512</v>
      </c>
      <c r="I71" s="10" t="n">
        <f aca="false">I36*INDEX(Assumptions!$C$92:$E$92,$B$3)*$N$3</f>
        <v>9152</v>
      </c>
      <c r="J71" s="10" t="n">
        <f aca="false">J36*INDEX(Assumptions!$C$92:$E$92,$B$3)*$N$3</f>
        <v>10800</v>
      </c>
      <c r="K71" s="10" t="n">
        <f aca="false">K36*INDEX(Assumptions!$C$92:$E$92,$B$3)*$N$3</f>
        <v>7048.07977745873</v>
      </c>
      <c r="L71" s="10" t="n">
        <f aca="false">L36*INDEX(Assumptions!$C$92:$E$92,$B$3)*$N$3</f>
        <v>7832.92278117566</v>
      </c>
      <c r="M71" s="10" t="n">
        <f aca="false">M36*INDEX(Assumptions!$C$92:$E$92,$B$3)*$N$3</f>
        <v>8400</v>
      </c>
      <c r="N71" s="10" t="n">
        <f aca="false">N36*INDEX(Assumptions!$C$92:$E$92,$B$3)*$N$3</f>
        <v>8000</v>
      </c>
      <c r="O71" s="40" t="n">
        <f aca="false">SUM(C71:N71)</f>
        <v>71449.3782534895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14593.6804415614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30348.1218251159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36348.5100587617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26461.4728908631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28526.7886464594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30831.8900105325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30334.9420835272</v>
      </c>
      <c r="O75" s="40" t="n">
        <f aca="false">SUM(C75:N75)</f>
        <v>242592.187642925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3556.55677114134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8100</v>
      </c>
      <c r="K76" s="10" t="n">
        <f aca="false">K38*INDEX(Assumptions!$C$240:$E$240,$B$3)*INDEX(Assumptions!$C$69:$E$69,$B$3)</f>
        <v>5286.05983309405</v>
      </c>
      <c r="L76" s="10" t="n">
        <f aca="false">L38*INDEX(Assumptions!$C$240:$E$240,$B$3)*INDEX(Assumptions!$C$69:$E$69,$B$3)</f>
        <v>5874.69208588174</v>
      </c>
      <c r="M76" s="10" t="n">
        <f aca="false">M38*INDEX(Assumptions!$C$240:$E$240,$B$3)*INDEX(Assumptions!$C$69:$E$69,$B$3)</f>
        <v>6300</v>
      </c>
      <c r="N76" s="10" t="n">
        <f aca="false">N38*INDEX(Assumptions!$C$240:$E$240,$B$3)*INDEX(Assumptions!$C$69:$E$69,$B$3)</f>
        <v>6000</v>
      </c>
      <c r="O76" s="40" t="n">
        <f aca="false">SUM(C76:N76)</f>
        <v>53587.0336901171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112648.500660178</v>
      </c>
      <c r="I77" s="40" t="n">
        <f aca="false">SUM(I69:I76)</f>
        <v>118078.916779754</v>
      </c>
      <c r="J77" s="40" t="n">
        <f aca="false">SUM(J69:J76)</f>
        <v>142107.351334559</v>
      </c>
      <c r="K77" s="40" t="n">
        <f aca="false">SUM(K69:K76)</f>
        <v>133150.224743482</v>
      </c>
      <c r="L77" s="40" t="n">
        <f aca="false">SUM(L69:L76)</f>
        <v>141967.47996357</v>
      </c>
      <c r="M77" s="40" t="n">
        <f aca="false">SUM(M69:M76)</f>
        <v>151062.497061433</v>
      </c>
      <c r="N77" s="40" t="n">
        <f aca="false">SUM(N69:N76)</f>
        <v>150146.157843377</v>
      </c>
      <c r="O77" s="11" t="n">
        <f aca="false">SUM(C77:N77)</f>
        <v>1295409.37660154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338274.030651033</v>
      </c>
      <c r="I78" s="40" t="n">
        <f aca="false">I66-I77</f>
        <v>739521.044334068</v>
      </c>
      <c r="J78" s="40" t="n">
        <f aca="false">J66-J77</f>
        <v>876754.837596023</v>
      </c>
      <c r="K78" s="40" t="n">
        <f aca="false">K66-K77</f>
        <v>640567.51877985</v>
      </c>
      <c r="L78" s="40" t="n">
        <f aca="false">L66-L77</f>
        <v>690314.395748131</v>
      </c>
      <c r="M78" s="40" t="n">
        <f aca="false">M66-M77</f>
        <v>746707.713797847</v>
      </c>
      <c r="N78" s="40" t="n">
        <f aca="false">N66-N77</f>
        <v>741834.227051843</v>
      </c>
      <c r="O78" s="11" t="n">
        <f aca="false">SUM(C78:N78)</f>
        <v>5801201.34950438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0.750182142523209</v>
      </c>
      <c r="I79" s="8" t="n">
        <f aca="false">IFERROR(I78/I66,0)</f>
        <v>0.862314689676062</v>
      </c>
      <c r="J79" s="8" t="n">
        <f aca="false">IFERROR(J78/J66,0)</f>
        <v>0.860523481116011</v>
      </c>
      <c r="K79" s="8" t="n">
        <f aca="false">IFERROR(K78/K66,0)</f>
        <v>0.827908528842641</v>
      </c>
      <c r="L79" s="8" t="n">
        <f aca="false">IFERROR(L78/L66,0)</f>
        <v>0.829423799668626</v>
      </c>
      <c r="M79" s="8" t="n">
        <f aca="false">IFERROR(M78/M66,0)</f>
        <v>0.831735899415902</v>
      </c>
      <c r="N79" s="8" t="n">
        <f aca="false">IFERROR(N78/N66,0)</f>
        <v>0.831671009378738</v>
      </c>
      <c r="O79" s="13" t="n">
        <f aca="false">IFERROR(O78/O66,0)</f>
        <v>0.81746083777201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1.55</v>
      </c>
      <c r="J82" s="6" t="n">
        <f aca="false">J81*(1-J12)</f>
        <v>1.6</v>
      </c>
      <c r="K82" s="6" t="n">
        <f aca="false">K81*(1-K12)</f>
        <v>1.65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96000</v>
      </c>
      <c r="M86" s="10" t="n">
        <f aca="false">M83*INDEX(Assumptions!$C$98:$E$98,$B$3)*$W$4+M84*INDEX(Assumptions!$C$99:$E$99,$B$3)+M85*INDEX(Assumptions!$C$100:$E$100,$B$3)</f>
        <v>96000</v>
      </c>
      <c r="N86" s="10" t="n">
        <f aca="false">N83*INDEX(Assumptions!$C$98:$E$98,$B$3)*$W$4+N84*INDEX(Assumptions!$C$99:$E$99,$B$3)+N85*INDEX(Assumptions!$C$100:$E$100,$B$3)</f>
        <v>96000</v>
      </c>
      <c r="O86" s="40" t="n">
        <f aca="false">SUM(C86:N86)</f>
        <v>984000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43000</v>
      </c>
      <c r="D92" s="40" t="n">
        <f aca="false">SUM(D86:D91)</f>
        <v>178000</v>
      </c>
      <c r="E92" s="40" t="n">
        <f aca="false">SUM(E86:E91)</f>
        <v>193000</v>
      </c>
      <c r="F92" s="40" t="n">
        <f aca="false">SUM(F86:F91)</f>
        <v>193000</v>
      </c>
      <c r="G92" s="40" t="n">
        <f aca="false">SUM(G86:G91)</f>
        <v>193000</v>
      </c>
      <c r="H92" s="40" t="n">
        <f aca="false">SUM(H86:H91)</f>
        <v>193000</v>
      </c>
      <c r="I92" s="40" t="n">
        <f aca="false">SUM(I86:I91)</f>
        <v>241500</v>
      </c>
      <c r="J92" s="40" t="n">
        <f aca="false">SUM(J86:J91)</f>
        <v>241500</v>
      </c>
      <c r="K92" s="40" t="n">
        <f aca="false">SUM(K86:K91)</f>
        <v>241500</v>
      </c>
      <c r="L92" s="40" t="n">
        <f aca="false">SUM(L86:L91)</f>
        <v>241500</v>
      </c>
      <c r="M92" s="40" t="n">
        <f aca="false">SUM(M86:M91)</f>
        <v>241500</v>
      </c>
      <c r="N92" s="40" t="n">
        <f aca="false">SUM(N86:N91)</f>
        <v>241500</v>
      </c>
      <c r="O92" s="11" t="n">
        <f aca="false">SUM(C92:N92)</f>
        <v>2442000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153600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271833</v>
      </c>
      <c r="D102" s="40" t="n">
        <f aca="false">D92+SUM(D94:D101)</f>
        <v>286833</v>
      </c>
      <c r="E102" s="40" t="n">
        <f aca="false">E92+SUM(E94:E101)</f>
        <v>476833</v>
      </c>
      <c r="F102" s="40" t="n">
        <f aca="false">F92+SUM(F94:F101)</f>
        <v>336833</v>
      </c>
      <c r="G102" s="40" t="n">
        <f aca="false">G92+SUM(G94:G101)</f>
        <v>346833</v>
      </c>
      <c r="H102" s="40" t="n">
        <f aca="false">H92+SUM(H94:H101)</f>
        <v>346833</v>
      </c>
      <c r="I102" s="40" t="n">
        <f aca="false">I92+SUM(I94:I101)</f>
        <v>489933</v>
      </c>
      <c r="J102" s="40" t="n">
        <f aca="false">J92+SUM(J94:J101)</f>
        <v>509933</v>
      </c>
      <c r="K102" s="40" t="n">
        <f aca="false">K92+SUM(K94:K101)</f>
        <v>514933</v>
      </c>
      <c r="L102" s="40" t="n">
        <f aca="false">L92+SUM(L94:L101)</f>
        <v>514933</v>
      </c>
      <c r="M102" s="40" t="n">
        <f aca="false">M92+SUM(M94:M101)</f>
        <v>514933</v>
      </c>
      <c r="N102" s="40" t="n">
        <f aca="false">N92+SUM(N94:N101)</f>
        <v>514933</v>
      </c>
      <c r="O102" s="11" t="n">
        <f aca="false">SUM(C102:N102)</f>
        <v>5125596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-184431.846949089</v>
      </c>
      <c r="D103" s="40" t="n">
        <f aca="false">D78-D102</f>
        <v>-164413.933075441</v>
      </c>
      <c r="E103" s="40" t="n">
        <f aca="false">E78-E102</f>
        <v>-273143.711470079</v>
      </c>
      <c r="F103" s="40" t="n">
        <f aca="false">F78-F102</f>
        <v>-54086.1106493325</v>
      </c>
      <c r="G103" s="40" t="n">
        <f aca="false">G78-G102</f>
        <v>-15861.8163104748</v>
      </c>
      <c r="H103" s="40" t="n">
        <f aca="false">H78-H102</f>
        <v>-8558.96934896655</v>
      </c>
      <c r="I103" s="40" t="n">
        <f aca="false">I78-I102</f>
        <v>249588.044334068</v>
      </c>
      <c r="J103" s="40" t="n">
        <f aca="false">J78-J102</f>
        <v>366821.837596023</v>
      </c>
      <c r="K103" s="40" t="n">
        <f aca="false">K78-K102</f>
        <v>125634.51877985</v>
      </c>
      <c r="L103" s="40" t="n">
        <f aca="false">L78-L102</f>
        <v>175381.395748131</v>
      </c>
      <c r="M103" s="40" t="n">
        <f aca="false">M78-M102</f>
        <v>231774.713797847</v>
      </c>
      <c r="N103" s="40" t="n">
        <f aca="false">N78-N102</f>
        <v>226901.227051843</v>
      </c>
      <c r="O103" s="11" t="n">
        <f aca="false">SUM(C103:N103)</f>
        <v>675605.349504378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-1.54800095967371</v>
      </c>
      <c r="D104" s="8" t="n">
        <f aca="false">IFERROR(D103/D66,0)</f>
        <v>-0.998411826484288</v>
      </c>
      <c r="E104" s="8" t="n">
        <f aca="false">IFERROR(E103/E66,0)</f>
        <v>-1.01652991340101</v>
      </c>
      <c r="F104" s="8" t="n">
        <f aca="false">IFERROR(F103/F66,0)</f>
        <v>-0.144174804474631</v>
      </c>
      <c r="G104" s="8" t="n">
        <f aca="false">IFERROR(G103/G66,0)</f>
        <v>-0.0355794701276828</v>
      </c>
      <c r="H104" s="8" t="n">
        <f aca="false">IFERROR(H103/H66,0)</f>
        <v>-0.0189810194759584</v>
      </c>
      <c r="I104" s="8" t="n">
        <f aca="false">IFERROR(I103/I66,0)</f>
        <v>0.291030848473817</v>
      </c>
      <c r="J104" s="8" t="n">
        <f aca="false">IFERROR(J103/J66,0)</f>
        <v>0.360030867355129</v>
      </c>
      <c r="K104" s="8" t="n">
        <f aca="false">IFERROR(K103/K66,0)</f>
        <v>0.162377714394579</v>
      </c>
      <c r="L104" s="8" t="n">
        <f aca="false">IFERROR(L103/L66,0)</f>
        <v>0.210723555163518</v>
      </c>
      <c r="M104" s="8" t="n">
        <f aca="false">IFERROR(M103/M66,0)</f>
        <v>0.258167079943551</v>
      </c>
      <c r="N104" s="8" t="n">
        <f aca="false">IFERROR(N103/N66,0)</f>
        <v>0.254379166733019</v>
      </c>
      <c r="O104" s="8" t="n">
        <f aca="false">IFERROR(O103/O66,0)</f>
        <v>0.0952011284794113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-259431.846949089</v>
      </c>
      <c r="D105" s="10" t="n">
        <f aca="false">D103-INDEX(Assumptions!$C$204:$E$204,$B$3)</f>
        <v>-239413.933075441</v>
      </c>
      <c r="E105" s="10" t="n">
        <f aca="false">E103-INDEX(Assumptions!$C$204:$E$204,$B$3)</f>
        <v>-348143.711470079</v>
      </c>
      <c r="F105" s="10" t="n">
        <f aca="false">F103-INDEX(Assumptions!$C$204:$E$204,$B$3)</f>
        <v>-129086.110649333</v>
      </c>
      <c r="G105" s="10" t="n">
        <f aca="false">G103-INDEX(Assumptions!$C$204:$E$204,$B$3)</f>
        <v>-90861.8163104748</v>
      </c>
      <c r="H105" s="10" t="n">
        <f aca="false">H103-INDEX(Assumptions!$C$204:$E$204,$B$3)</f>
        <v>-83558.9693489666</v>
      </c>
      <c r="I105" s="10" t="n">
        <f aca="false">I103-INDEX(Assumptions!$C$204:$E$204,$B$3)</f>
        <v>174588.044334068</v>
      </c>
      <c r="J105" s="10" t="n">
        <f aca="false">J103-INDEX(Assumptions!$C$204:$E$204,$B$3)</f>
        <v>291821.837596023</v>
      </c>
      <c r="K105" s="10" t="n">
        <f aca="false">K103-INDEX(Assumptions!$C$204:$E$204,$B$3)</f>
        <v>50634.5187798501</v>
      </c>
      <c r="L105" s="10" t="n">
        <f aca="false">L103-INDEX(Assumptions!$C$204:$E$204,$B$3)</f>
        <v>100381.395748131</v>
      </c>
      <c r="M105" s="10" t="n">
        <f aca="false">M103-INDEX(Assumptions!$C$204:$E$204,$B$3)</f>
        <v>156774.713797847</v>
      </c>
      <c r="N105" s="10" t="n">
        <f aca="false">N103-INDEX(Assumptions!$C$204:$E$204,$B$3)</f>
        <v>151901.227051843</v>
      </c>
      <c r="O105" s="40" t="n">
        <f aca="false">SUM(C105:N105)</f>
        <v>-224394.650495622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350000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350000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350000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1972000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10023.9980730487</v>
      </c>
      <c r="I113" s="10" t="n">
        <f aca="false">((I67+IF(INDEX(Assumptions!$C$87:$E$87,$B$3)&gt;=2,H67,0)+IF(INDEX(Assumptions!$C$87:$E$87,$B$3)&gt;=3,G67,0))/INDEX(Assumptions!$C$87:$E$87,$B$3))-I67</f>
        <v>-186355.178286843</v>
      </c>
      <c r="J113" s="10" t="n">
        <f aca="false">((J67+IF(INDEX(Assumptions!$C$87:$E$87,$B$3)&gt;=2,I67,0)+IF(INDEX(Assumptions!$C$87:$E$87,$B$3)&gt;=3,H67,0))/INDEX(Assumptions!$C$87:$E$87,$B$3))-J67</f>
        <v>-67069.1926675621</v>
      </c>
      <c r="K113" s="10" t="n">
        <f aca="false">((K67+IF(INDEX(Assumptions!$C$87:$E$87,$B$3)&gt;=2,J67,0)+IF(INDEX(Assumptions!$C$87:$E$87,$B$3)&gt;=3,I67,0))/INDEX(Assumptions!$C$87:$E$87,$B$3))-K67</f>
        <v>131029.477094003</v>
      </c>
      <c r="L113" s="10" t="n">
        <f aca="false">((L67+IF(INDEX(Assumptions!$C$87:$E$87,$B$3)&gt;=2,K67,0)+IF(INDEX(Assumptions!$C$87:$E$87,$B$3)&gt;=3,J67,0))/INDEX(Assumptions!$C$87:$E$87,$B$3))-L67</f>
        <v>-23177.0108867672</v>
      </c>
      <c r="M113" s="10" t="n">
        <f aca="false">((M67+IF(INDEX(Assumptions!$C$87:$E$87,$B$3)&gt;=2,L67,0)+IF(INDEX(Assumptions!$C$87:$E$87,$B$3)&gt;=3,K67,0))/INDEX(Assumptions!$C$87:$E$87,$B$3))-M67</f>
        <v>-23185.4113465457</v>
      </c>
      <c r="N113" s="10" t="n">
        <f aca="false">((N67+IF(INDEX(Assumptions!$C$87:$E$87,$B$3)&gt;=2,M67,0)+IF(INDEX(Assumptions!$C$87:$E$87,$B$3)&gt;=3,L67,0))/INDEX(Assumptions!$C$87:$E$87,$B$3))-N67</f>
        <v>12105.5214104966</v>
      </c>
      <c r="O113" s="40" t="n">
        <f aca="false">SUM(C113:N113)</f>
        <v>-292426.271186441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-378465.745254174</v>
      </c>
      <c r="D114" s="40" t="n">
        <f aca="false">D103+D113-D112</f>
        <v>-176428.926719509</v>
      </c>
      <c r="E114" s="40" t="n">
        <f aca="false">E103+E113-E112</f>
        <v>-296661.06295313</v>
      </c>
      <c r="F114" s="40" t="n">
        <f aca="false">F103+F113-F112</f>
        <v>-88181.7316239088</v>
      </c>
      <c r="G114" s="40" t="n">
        <f aca="false">G103+G113-G112</f>
        <v>-47998.4264799663</v>
      </c>
      <c r="H114" s="40" t="n">
        <f aca="false">H103+H113-H112</f>
        <v>-1470534.97127592</v>
      </c>
      <c r="I114" s="40" t="n">
        <f aca="false">I103+I113-I112</f>
        <v>63232.8660472254</v>
      </c>
      <c r="J114" s="40" t="n">
        <f aca="false">J103+J113-J112</f>
        <v>-50247.3550715395</v>
      </c>
      <c r="K114" s="40" t="n">
        <f aca="false">K103+K113-K112</f>
        <v>256663.995873853</v>
      </c>
      <c r="L114" s="40" t="n">
        <f aca="false">L103+L113-L112</f>
        <v>152204.384861363</v>
      </c>
      <c r="M114" s="40" t="n">
        <f aca="false">M103+M113-M112</f>
        <v>208589.302451301</v>
      </c>
      <c r="N114" s="40" t="n">
        <f aca="false">N103+N113-N112</f>
        <v>239006.74846234</v>
      </c>
      <c r="O114" s="11" t="n">
        <f aca="false">SUM(C114:N114)</f>
        <v>-1588820.92168206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-378465.745254174</v>
      </c>
      <c r="D115" s="40" t="n">
        <f aca="false">C115+D114</f>
        <v>-554894.671973683</v>
      </c>
      <c r="E115" s="40" t="n">
        <f aca="false">D115+E114</f>
        <v>-851555.734926813</v>
      </c>
      <c r="F115" s="40" t="n">
        <f aca="false">E115+F114</f>
        <v>-939737.466550722</v>
      </c>
      <c r="G115" s="40" t="n">
        <f aca="false">F115+G114</f>
        <v>-987735.893030688</v>
      </c>
      <c r="H115" s="40" t="n">
        <f aca="false">G115+H114</f>
        <v>-2458270.86430661</v>
      </c>
      <c r="I115" s="40" t="n">
        <f aca="false">H115+I114</f>
        <v>-2395037.99825938</v>
      </c>
      <c r="J115" s="40" t="n">
        <f aca="false">I115+J114</f>
        <v>-2445285.35333092</v>
      </c>
      <c r="K115" s="40" t="n">
        <f aca="false">J115+K114</f>
        <v>-2188621.35745707</v>
      </c>
      <c r="L115" s="40" t="n">
        <f aca="false">K115+L114</f>
        <v>-2036416.9725957</v>
      </c>
      <c r="M115" s="40" t="n">
        <f aca="false">L115+M114</f>
        <v>-1827827.6701444</v>
      </c>
      <c r="N115" s="40" t="n">
        <f aca="false">M115+N114</f>
        <v>-1588820.92168206</v>
      </c>
      <c r="O115" s="11" t="n">
        <f aca="false">N115</f>
        <v>-1588820.92168206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378465.745254174</v>
      </c>
      <c r="D116" s="40" t="n">
        <f aca="false">-MIN(0,MIN($C$115:D115))</f>
        <v>554894.671973683</v>
      </c>
      <c r="E116" s="40" t="n">
        <f aca="false">-MIN(0,MIN($C$115:E115))</f>
        <v>851555.734926813</v>
      </c>
      <c r="F116" s="40" t="n">
        <f aca="false">-MIN(0,MIN($C$115:F115))</f>
        <v>939737.466550722</v>
      </c>
      <c r="G116" s="40" t="n">
        <f aca="false">-MIN(0,MIN($C$115:G115))</f>
        <v>987735.893030688</v>
      </c>
      <c r="H116" s="40" t="n">
        <f aca="false">-MIN(0,MIN($C$115:H115))</f>
        <v>2458270.86430661</v>
      </c>
      <c r="I116" s="40" t="n">
        <f aca="false">-MIN(0,MIN($C$115:I115))</f>
        <v>2458270.86430661</v>
      </c>
      <c r="J116" s="40" t="n">
        <f aca="false">-MIN(0,MIN($C$115:J115))</f>
        <v>2458270.86430661</v>
      </c>
      <c r="K116" s="40" t="n">
        <f aca="false">-MIN(0,MIN($C$115:K115))</f>
        <v>2458270.86430661</v>
      </c>
      <c r="L116" s="40" t="n">
        <f aca="false">-MIN(0,MIN($C$115:L115))</f>
        <v>2458270.86430661</v>
      </c>
      <c r="M116" s="40" t="n">
        <f aca="false">-MIN(0,MIN($C$115:M115))</f>
        <v>2458270.86430661</v>
      </c>
      <c r="N116" s="40" t="n">
        <f aca="false">-MIN(0,MIN($C$115:N115))</f>
        <v>2458270.86430661</v>
      </c>
      <c r="O116" s="11" t="n">
        <f aca="false">MAX(C116:N116)</f>
        <v>2458270.86430661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5.9787359964518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8.23595655824956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12.2780012905149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8.1588117348821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7.91341168221993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5.9787359964518</v>
      </c>
      <c r="D131" s="8" t="n">
        <f aca="false">C131/INDEX(Assumptions!$C$179:$E$179,$B$3)</f>
        <v>0.498227999704317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8.23595655824956</v>
      </c>
      <c r="D132" s="8" t="n">
        <f aca="false">C132/INDEX(Assumptions!$C$179:$E$179,$B$3)</f>
        <v>0.686329713187463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0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12.2780012905149</v>
      </c>
      <c r="D133" s="8" t="n">
        <f aca="false">C133/INDEX(Assumptions!$C$179:$E$179,$B$3)</f>
        <v>1.02316677420957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0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8.1588117348821</v>
      </c>
      <c r="D134" s="8" t="n">
        <f aca="false">C134/INDEX(Assumptions!$C$179:$E$179,$B$3)</f>
        <v>0.679900977906842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7.91341168221993</v>
      </c>
      <c r="D135" s="8" t="n">
        <f aca="false">C135/INDEX(Assumptions!$C$179:$E$179,$B$3)</f>
        <v>0.659450973518328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7.89921858663513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14.6318309201656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12.1204560732976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10.5812036764529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7.89921858663513</v>
      </c>
      <c r="D145" s="8" t="n">
        <f aca="false">C145/INDEX(Assumptions!$C$179:$E$179,$B$3)</f>
        <v>0.658268215552927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14.6318309201656</v>
      </c>
      <c r="D146" s="8" t="n">
        <f aca="false">C146/INDEX(Assumptions!$C$179:$E$179,$B$3)</f>
        <v>1.21931924334713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12.1204560732976</v>
      </c>
      <c r="D147" s="8" t="n">
        <f aca="false">C147/INDEX(Assumptions!$C$179:$E$179,$B$3)</f>
        <v>1.01003800610813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10.5812036764529</v>
      </c>
      <c r="D148" s="8" t="n">
        <f aca="false">C148/INDEX(Assumptions!$C$179:$E$179,$B$3)</f>
        <v>0.881766973037739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7096610.72610592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675605.349504378</v>
      </c>
    </row>
    <row r="154" customFormat="false" ht="15" hidden="false" customHeight="false" outlineLevel="0" collapsed="false">
      <c r="A154" s="3" t="s">
        <v>45</v>
      </c>
      <c r="B154" s="9" t="n">
        <f aca="false">O104</f>
        <v>0.0952011284794113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-224394.650495622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1972000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2458270.86430661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541729.135693395</v>
      </c>
    </row>
    <row r="160" customFormat="false" ht="15" hidden="false" customHeight="false" outlineLevel="0" collapsed="false">
      <c r="A160" s="3" t="s">
        <v>51</v>
      </c>
      <c r="B160" s="7" t="n">
        <f aca="false">O38</f>
        <v>89.3117228168619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10.6735421997155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0.828357899756937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3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50195.5817372881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514933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5.47965738818625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65.755888658235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10740.527089785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0.158422774574328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0.423535404642289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17.5428834734527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634057.336597821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-1588820.92168206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6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2458270.86430661</v>
      </c>
    </row>
    <row r="182" customFormat="false" ht="15" hidden="false" customHeight="false" outlineLevel="0" collapsed="false">
      <c r="A182" s="3" t="s">
        <v>73</v>
      </c>
      <c r="B182" s="11" t="n">
        <f aca="false">O86</f>
        <v>984000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75</v>
      </c>
      <c r="B184" s="11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76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2853583.03369012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229350.289551294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0.610606991218075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7.91341168221993</v>
      </c>
    </row>
    <row r="199" customFormat="false" ht="15" hidden="false" customHeight="false" outlineLevel="0" collapsed="false">
      <c r="A199" s="3" t="s">
        <v>90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1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0.962541821669398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37.8007519189758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4.54367302147044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0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2178856.33659782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1579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0.8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14583.3333333333</v>
      </c>
      <c r="D19" s="10" t="n">
        <f aca="false">INDEX(Assumptions!$C$115:$E$115,$B$3)*INDEX(Assumptions!$C$120:$E$120,$B$3)*$L$3/$F$3</f>
        <v>14583.3333333333</v>
      </c>
      <c r="E19" s="10" t="n">
        <f aca="false">INDEX(Assumptions!$C$115:$E$115,$B$3)*INDEX(Assumptions!$C$120:$E$120,$B$3)*$L$3/$F$3</f>
        <v>14583.3333333333</v>
      </c>
      <c r="F19" s="10" t="n">
        <f aca="false">INDEX(Assumptions!$C$115:$E$115,$B$3)*INDEX(Assumptions!$C$120:$E$120,$B$3)*$L$3/$F$3</f>
        <v>14583.3333333333</v>
      </c>
      <c r="G19" s="10" t="n">
        <f aca="false">INDEX(Assumptions!$C$115:$E$115,$B$3)*INDEX(Assumptions!$C$120:$E$120,$B$3)*$L$3/$F$3</f>
        <v>14583.3333333333</v>
      </c>
      <c r="H19" s="10" t="n">
        <f aca="false">INDEX(Assumptions!$C$115:$E$115,$B$3)*INDEX(Assumptions!$C$120:$E$120,$B$3)*$L$3/$F$3</f>
        <v>14583.3333333333</v>
      </c>
      <c r="I19" s="10" t="n">
        <f aca="false">INDEX(Assumptions!$C$115:$E$115,$B$3)*INDEX(Assumptions!$C$120:$E$120,$B$3)*$L$3/$F$3</f>
        <v>14583.3333333333</v>
      </c>
      <c r="J19" s="10" t="n">
        <f aca="false">INDEX(Assumptions!$C$115:$E$115,$B$3)*INDEX(Assumptions!$C$120:$E$120,$B$3)*$L$3/$F$3</f>
        <v>14583.3333333333</v>
      </c>
      <c r="K19" s="10" t="n">
        <f aca="false">INDEX(Assumptions!$C$115:$E$115,$B$3)*INDEX(Assumptions!$C$120:$E$120,$B$3)*$L$3/$F$3</f>
        <v>14583.3333333333</v>
      </c>
      <c r="L19" s="10" t="n">
        <f aca="false">INDEX(Assumptions!$C$115:$E$115,$B$3)*INDEX(Assumptions!$C$120:$E$120,$B$3)*$L$3/$F$3</f>
        <v>14583.3333333333</v>
      </c>
      <c r="M19" s="10" t="n">
        <f aca="false">INDEX(Assumptions!$C$115:$E$115,$B$3)*INDEX(Assumptions!$C$120:$E$120,$B$3)*$L$3/$F$3</f>
        <v>14583.3333333333</v>
      </c>
      <c r="N19" s="10" t="n">
        <f aca="false">INDEX(Assumptions!$C$115:$E$115,$B$3)*INDEX(Assumptions!$C$120:$E$120,$B$3)*$L$3/$F$3</f>
        <v>14583.3333333333</v>
      </c>
      <c r="O19" s="40" t="n">
        <f aca="false">AVERAGE(C19:N19)</f>
        <v>14583.3333333333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0.72</v>
      </c>
      <c r="D21" s="16" t="n">
        <f aca="false">D18*INDEX(Assumptions!$C$119:$E$119,$B$3)/D19</f>
        <v>0.72</v>
      </c>
      <c r="E21" s="16" t="n">
        <f aca="false">E18*INDEX(Assumptions!$C$119:$E$119,$B$3)/E19</f>
        <v>1.92</v>
      </c>
      <c r="F21" s="16" t="n">
        <f aca="false">F18*INDEX(Assumptions!$C$119:$E$119,$B$3)/F19</f>
        <v>2.4</v>
      </c>
      <c r="G21" s="16" t="n">
        <f aca="false">G18*INDEX(Assumptions!$C$119:$E$119,$B$3)/G19</f>
        <v>2.88</v>
      </c>
      <c r="H21" s="16" t="n">
        <f aca="false">H18*INDEX(Assumptions!$C$119:$E$119,$B$3)/H19</f>
        <v>2.88</v>
      </c>
      <c r="I21" s="16" t="n">
        <f aca="false">I18*INDEX(Assumptions!$C$119:$E$119,$B$3)/I19</f>
        <v>2.88</v>
      </c>
      <c r="J21" s="16" t="n">
        <f aca="false">J18*INDEX(Assumptions!$C$119:$E$119,$B$3)/J19</f>
        <v>2.88</v>
      </c>
      <c r="K21" s="16" t="n">
        <f aca="false">K18*INDEX(Assumptions!$C$119:$E$119,$B$3)/K19</f>
        <v>2.88</v>
      </c>
      <c r="L21" s="16" t="n">
        <f aca="false">L18*INDEX(Assumptions!$C$119:$E$119,$B$3)/L19</f>
        <v>3.84</v>
      </c>
      <c r="M21" s="16" t="n">
        <f aca="false">M18*INDEX(Assumptions!$C$119:$E$119,$B$3)/M19</f>
        <v>4.8</v>
      </c>
      <c r="N21" s="16" t="n">
        <f aca="false">N18*INDEX(Assumptions!$C$119:$E$119,$B$3)/N19</f>
        <v>4.8</v>
      </c>
      <c r="O21" s="38" t="n">
        <f aca="false">SUM(C21:N21)</f>
        <v>33.6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1.6</v>
      </c>
      <c r="D24" s="38" t="n">
        <f aca="false">D10*(D14*$F$3+(D15-D14)*$F$3*D20+MIN(D16,D21*D20))*D22*D23</f>
        <v>1.9623</v>
      </c>
      <c r="E24" s="38" t="n">
        <f aca="false">E10*(E14*$F$3+(E15-E14)*$F$3*E20+MIN(E16,E21*E20))*E22*E23</f>
        <v>3.024</v>
      </c>
      <c r="F24" s="38" t="n">
        <f aca="false">F10*(F14*$F$3+(F15-F14)*$F$3*F20+MIN(F16,F21*F20))*F22*F23</f>
        <v>4</v>
      </c>
      <c r="G24" s="38" t="n">
        <f aca="false">G10*(G14*$F$3+(G15-G14)*$F$3*G20+MIN(G16,G21*G20))*G22*G23</f>
        <v>5.112</v>
      </c>
      <c r="H24" s="38" t="n">
        <f aca="false">H10*(H14*$F$3+(H15-H14)*$F$3*H20+MIN(H16,H21*H20))*H22*H23</f>
        <v>5.88</v>
      </c>
      <c r="I24" s="38" t="n">
        <f aca="false">I10*(I14*$F$3+(I15-I14)*$F$3*I20+MIN(I16,I21*I20))*I22*I23</f>
        <v>7.904</v>
      </c>
      <c r="J24" s="38" t="n">
        <f aca="false">J10*(J14*$F$3+(J15-J14)*$F$3*J20+MIN(J16,J21*J20))*J22*J23</f>
        <v>8.208</v>
      </c>
      <c r="K24" s="38" t="n">
        <f aca="false">K10*(K14*$F$3+(K15-K14)*$F$3*K20+MIN(K16,K21*K20))*K22*K23</f>
        <v>7.6</v>
      </c>
      <c r="L24" s="38" t="n">
        <f aca="false">L10*(L14*$F$3+(L15-L14)*$F$3*L20+MIN(L16,L21*L20))*L22*L23</f>
        <v>7.744</v>
      </c>
      <c r="M24" s="38" t="n">
        <f aca="false">M10*(M14*$F$3+(M15-M14)*$F$3*M20+MIN(M16,M21*M20))*M22*M23</f>
        <v>8.4</v>
      </c>
      <c r="N24" s="38" t="n">
        <f aca="false">N10*(N14*$F$3+(N15-N14)*$F$3*N20+MIN(N16,N21*N20))*N22*N23</f>
        <v>8</v>
      </c>
      <c r="O24" s="17" t="n">
        <f aca="false">SUM(C24:N24)</f>
        <v>69.4343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</v>
      </c>
      <c r="O30" s="38" t="n">
        <f aca="false">SUM(C30:N30)</f>
        <v>7.2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0.96</v>
      </c>
      <c r="E31" s="6" t="n">
        <f aca="false">D34+C34+D37+C37+1.25*D35</f>
        <v>2.32938</v>
      </c>
      <c r="F31" s="6" t="n">
        <f aca="false">E34+D34+E37+D37+1.25*E35</f>
        <v>3.419256</v>
      </c>
      <c r="G31" s="6" t="n">
        <f aca="false">F34+E34+F37+E37+1.25*F35</f>
        <v>4.812756</v>
      </c>
      <c r="H31" s="6" t="n">
        <f aca="false">G34+F34+G37+F37+1.25*G35</f>
        <v>6.31008</v>
      </c>
      <c r="I31" s="6" t="n">
        <f aca="false">H34+G34+H37+G37+1.25*H35</f>
        <v>7.68864</v>
      </c>
      <c r="J31" s="6" t="n">
        <f aca="false">I34+H34+I37+H37+1.25*I35</f>
        <v>9.58944</v>
      </c>
      <c r="K31" s="6" t="n">
        <f aca="false">J34+I34+J37+I37+1.25*J35</f>
        <v>10.8428213545817</v>
      </c>
      <c r="L31" s="6" t="n">
        <f aca="false">K34+J34+K37+J37+1.25*K35</f>
        <v>9.99367720923637</v>
      </c>
      <c r="M31" s="6" t="n">
        <f aca="false">L34+K34+L37+K37+1.25*L35</f>
        <v>12.6011526918838</v>
      </c>
      <c r="N31" s="6" t="n">
        <f aca="false">M34+L34+M37+L37+1.25*M35</f>
        <v>12.7115768372291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1.6</v>
      </c>
      <c r="D32" s="6" t="n">
        <f aca="false">D24*(INDEX(Assumptions!$C$26:$E$26,$B$3)*(1-D28)+(1-INDEX(Assumptions!$C$26:$E$26,$B$3)))+1.25*D30+C36*INDEX(Assumptions!$C$89:$E$89,$B$3)</f>
        <v>2.1543</v>
      </c>
      <c r="E32" s="6" t="n">
        <f aca="false">E24*(INDEX(Assumptions!$C$26:$E$26,$B$3)*(1-E28)+(1-INDEX(Assumptions!$C$26:$E$26,$B$3)))+1.25*E30+D36*INDEX(Assumptions!$C$89:$E$89,$B$3)</f>
        <v>3.259476</v>
      </c>
      <c r="F32" s="6" t="n">
        <f aca="false">F24*(INDEX(Assumptions!$C$26:$E$26,$B$3)*(1-F28)+(1-INDEX(Assumptions!$C$26:$E$26,$B$3)))+1.25*F30+E36*INDEX(Assumptions!$C$89:$E$89,$B$3)</f>
        <v>4.36288</v>
      </c>
      <c r="G32" s="6" t="n">
        <f aca="false">G24*(INDEX(Assumptions!$C$26:$E$26,$B$3)*(1-G28)+(1-INDEX(Assumptions!$C$26:$E$26,$B$3)))+1.25*G30+F36*INDEX(Assumptions!$C$89:$E$89,$B$3)</f>
        <v>5.592</v>
      </c>
      <c r="H32" s="6" t="n">
        <f aca="false">H24*(INDEX(Assumptions!$C$26:$E$26,$B$3)*(1-H28)+(1-INDEX(Assumptions!$C$26:$E$26,$B$3)))+1.25*H30+G36*INDEX(Assumptions!$C$89:$E$89,$B$3)</f>
        <v>6.49344</v>
      </c>
      <c r="I32" s="6" t="n">
        <f aca="false">I24*(INDEX(Assumptions!$C$26:$E$26,$B$3)*(1-I28)+(1-INDEX(Assumptions!$C$26:$E$26,$B$3)))+1.25*I30+H36*INDEX(Assumptions!$C$89:$E$89,$B$3)</f>
        <v>8.6096</v>
      </c>
      <c r="J32" s="6" t="n">
        <f aca="false">J24*(INDEX(Assumptions!$C$26:$E$26,$B$3)*(1-J28)+(1-INDEX(Assumptions!$C$26:$E$26,$B$3)))+1.25*J30+I36*INDEX(Assumptions!$C$89:$E$89,$B$3)</f>
        <v>9.15648</v>
      </c>
      <c r="K32" s="6" t="n">
        <f aca="false">K24*(INDEX(Assumptions!$C$26:$E$26,$B$3)*(1-K28)+(1-INDEX(Assumptions!$C$26:$E$26,$B$3)))+1.25*K30+J36*INDEX(Assumptions!$C$89:$E$89,$B$3)</f>
        <v>8.5047215936255</v>
      </c>
      <c r="L32" s="6" t="n">
        <f aca="false">L24*(INDEX(Assumptions!$C$26:$E$26,$B$3)*(1-L28)+(1-INDEX(Assumptions!$C$26:$E$26,$B$3)))+1.25*L30+K36*INDEX(Assumptions!$C$89:$E$89,$B$3)</f>
        <v>11.0998968372291</v>
      </c>
      <c r="M32" s="6" t="n">
        <f aca="false">M24*(INDEX(Assumptions!$C$26:$E$26,$B$3)*(1-M28)+(1-INDEX(Assumptions!$C$26:$E$26,$B$3)))+1.25*M30+L36*INDEX(Assumptions!$C$89:$E$89,$B$3)</f>
        <v>11.81928</v>
      </c>
      <c r="N32" s="6" t="n">
        <f aca="false">N24*(INDEX(Assumptions!$C$26:$E$26,$B$3)*(1-N28)+(1-INDEX(Assumptions!$C$26:$E$26,$B$3)))+1.25*N30+M36*INDEX(Assumptions!$C$89:$E$89,$B$3)</f>
        <v>9.308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0.918536380792619</v>
      </c>
      <c r="K33" s="8" t="n">
        <f aca="false">IF(K32&lt;=0,1,MAX(0,MIN(1,(K27-K31)/K32)))</f>
        <v>0.8415535495933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0.8415535495933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0.96</v>
      </c>
      <c r="D34" s="38" t="n">
        <f aca="false">D24*INDEX(Assumptions!$C$26:$E$26,$B$3)*(1-D28)*D33</f>
        <v>1.17738</v>
      </c>
      <c r="E34" s="38" t="n">
        <f aca="false">E24*INDEX(Assumptions!$C$26:$E$26,$B$3)*(1-E28)*E33</f>
        <v>1.8144</v>
      </c>
      <c r="F34" s="38" t="n">
        <f aca="false">F24*INDEX(Assumptions!$C$26:$E$26,$B$3)*(1-F28)*F33</f>
        <v>2.4</v>
      </c>
      <c r="G34" s="38" t="n">
        <f aca="false">G24*INDEX(Assumptions!$C$26:$E$26,$B$3)*(1-G28)*G33</f>
        <v>3.0672</v>
      </c>
      <c r="H34" s="38" t="n">
        <f aca="false">H24*INDEX(Assumptions!$C$26:$E$26,$B$3)*(1-H28)*H33</f>
        <v>3.528</v>
      </c>
      <c r="I34" s="38" t="n">
        <f aca="false">I24*INDEX(Assumptions!$C$26:$E$26,$B$3)*(1-I28)*I33</f>
        <v>4.7424</v>
      </c>
      <c r="J34" s="38" t="n">
        <f aca="false">J24*INDEX(Assumptions!$C$26:$E$26,$B$3)*(1-J28)*J33</f>
        <v>4.52360796812749</v>
      </c>
      <c r="K34" s="38" t="n">
        <f aca="false">K24*INDEX(Assumptions!$C$26:$E$26,$B$3)*(1-K28)*K33</f>
        <v>3.83748418614545</v>
      </c>
      <c r="L34" s="38" t="n">
        <f aca="false">L24*INDEX(Assumptions!$C$26:$E$26,$B$3)*(1-L28)*L33</f>
        <v>3.4848</v>
      </c>
      <c r="M34" s="38" t="n">
        <f aca="false">M24*INDEX(Assumptions!$C$26:$E$26,$B$3)*(1-M28)*M33</f>
        <v>3.78</v>
      </c>
      <c r="N34" s="38" t="n">
        <f aca="false">N24*INDEX(Assumptions!$C$26:$E$26,$B$3)*(1-N28)*N33</f>
        <v>3.6</v>
      </c>
      <c r="O34" s="17" t="n">
        <f aca="false">SUM(C34:N34)</f>
        <v>36.9152721542729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</v>
      </c>
      <c r="O35" s="38" t="n">
        <f aca="false">SUM(C35:N35)</f>
        <v>7.2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0.64</v>
      </c>
      <c r="D36" s="16" t="n">
        <f aca="false">D24*(1-INDEX(Assumptions!$C$26:$E$26,$B$3))*D33</f>
        <v>0.78492</v>
      </c>
      <c r="E36" s="16" t="n">
        <f aca="false">E24*(1-INDEX(Assumptions!$C$26:$E$26,$B$3))*E33</f>
        <v>1.2096</v>
      </c>
      <c r="F36" s="16" t="n">
        <f aca="false">F24*(1-INDEX(Assumptions!$C$26:$E$26,$B$3))*F33</f>
        <v>1.6</v>
      </c>
      <c r="G36" s="16" t="n">
        <f aca="false">G24*(1-INDEX(Assumptions!$C$26:$E$26,$B$3))*G33</f>
        <v>2.0448</v>
      </c>
      <c r="H36" s="16" t="n">
        <f aca="false">H24*(1-INDEX(Assumptions!$C$26:$E$26,$B$3))*H33</f>
        <v>2.352</v>
      </c>
      <c r="I36" s="16" t="n">
        <f aca="false">I24*(1-INDEX(Assumptions!$C$26:$E$26,$B$3))*I33</f>
        <v>3.1616</v>
      </c>
      <c r="J36" s="16" t="n">
        <f aca="false">J24*(1-INDEX(Assumptions!$C$26:$E$26,$B$3))*J33</f>
        <v>3.01573864541833</v>
      </c>
      <c r="K36" s="16" t="n">
        <f aca="false">K24*(1-INDEX(Assumptions!$C$26:$E$26,$B$3))*K33</f>
        <v>2.55832279076363</v>
      </c>
      <c r="L36" s="16" t="n">
        <f aca="false">L24*(1-INDEX(Assumptions!$C$26:$E$26,$B$3))*L33</f>
        <v>3.0976</v>
      </c>
      <c r="M36" s="16" t="n">
        <f aca="false">M24*(1-INDEX(Assumptions!$C$26:$E$26,$B$3))*M33</f>
        <v>3.36</v>
      </c>
      <c r="N36" s="16" t="n">
        <f aca="false">N24*(1-INDEX(Assumptions!$C$26:$E$26,$B$3))*N33</f>
        <v>3.2</v>
      </c>
      <c r="O36" s="38" t="n">
        <f aca="false">SUM(C36:N36)</f>
        <v>27.024581436182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0.192</v>
      </c>
      <c r="E37" s="16" t="n">
        <f aca="false">D36*INDEX(Assumptions!$C$89:$E$89,$B$3)*E33</f>
        <v>0.235476</v>
      </c>
      <c r="F37" s="16" t="n">
        <f aca="false">E36*INDEX(Assumptions!$C$89:$E$89,$B$3)*F33</f>
        <v>0.36288</v>
      </c>
      <c r="G37" s="16" t="n">
        <f aca="false">F36*INDEX(Assumptions!$C$89:$E$89,$B$3)*G33</f>
        <v>0.48</v>
      </c>
      <c r="H37" s="16" t="n">
        <f aca="false">G36*INDEX(Assumptions!$C$89:$E$89,$B$3)*H33</f>
        <v>0.61344</v>
      </c>
      <c r="I37" s="16" t="n">
        <f aca="false">H36*INDEX(Assumptions!$C$89:$E$89,$B$3)*I33</f>
        <v>0.7056</v>
      </c>
      <c r="J37" s="16" t="n">
        <f aca="false">I36*INDEX(Assumptions!$C$89:$E$89,$B$3)*J33</f>
        <v>0.871213386454183</v>
      </c>
      <c r="K37" s="16" t="n">
        <f aca="false">J36*INDEX(Assumptions!$C$89:$E$89,$B$3)*K33</f>
        <v>0.761371668509245</v>
      </c>
      <c r="L37" s="16" t="n">
        <f aca="false">K36*INDEX(Assumptions!$C$89:$E$89,$B$3)*L33</f>
        <v>0.76749683722909</v>
      </c>
      <c r="M37" s="16" t="n">
        <f aca="false">L36*INDEX(Assumptions!$C$89:$E$89,$B$3)*M33</f>
        <v>0.92928</v>
      </c>
      <c r="N37" s="16" t="n">
        <f aca="false">M36*INDEX(Assumptions!$C$89:$E$89,$B$3)*N33</f>
        <v>1.008</v>
      </c>
      <c r="O37" s="38" t="n">
        <f aca="false">SUM(C37:N37)</f>
        <v>6.92675789219252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1.6</v>
      </c>
      <c r="D38" s="38" t="n">
        <f aca="false">D34+D35+D36</f>
        <v>1.9623</v>
      </c>
      <c r="E38" s="38" t="n">
        <f aca="false">E34+E35+E36</f>
        <v>3.024</v>
      </c>
      <c r="F38" s="38" t="n">
        <f aca="false">F34+F35+F36</f>
        <v>4</v>
      </c>
      <c r="G38" s="38" t="n">
        <f aca="false">G34+G35+G36</f>
        <v>5.112</v>
      </c>
      <c r="H38" s="38" t="n">
        <f aca="false">H34+H35+H36</f>
        <v>5.88</v>
      </c>
      <c r="I38" s="38" t="n">
        <f aca="false">I34+I35+I36</f>
        <v>7.904</v>
      </c>
      <c r="J38" s="38" t="n">
        <f aca="false">J34+J35+J36</f>
        <v>7.53934661354582</v>
      </c>
      <c r="K38" s="38" t="n">
        <f aca="false">K34+K35+K36</f>
        <v>6.39580697690908</v>
      </c>
      <c r="L38" s="38" t="n">
        <f aca="false">L34+L35+L36</f>
        <v>9.5824</v>
      </c>
      <c r="M38" s="38" t="n">
        <f aca="false">M34+M35+M36</f>
        <v>10.14</v>
      </c>
      <c r="N38" s="38" t="n">
        <f aca="false">N34+N35+N36</f>
        <v>8</v>
      </c>
      <c r="O38" s="17" t="n">
        <f aca="false">SUM(C38:N38)</f>
        <v>71.1398535904549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1.6</v>
      </c>
      <c r="D39" s="16" t="n">
        <f aca="false">IF(2&lt;IF($Q$3=1,$Q$4+1,INDEX(Assumptions!$C$215:$E$215,$D$3)),D24,D38)</f>
        <v>1.9623</v>
      </c>
      <c r="E39" s="16" t="n">
        <f aca="false">IF(3&lt;IF($Q$3=1,$Q$4+1,INDEX(Assumptions!$C$215:$E$215,$D$3)),E24,E38)</f>
        <v>3.024</v>
      </c>
      <c r="F39" s="16" t="n">
        <f aca="false">IF(4&lt;IF($Q$3=1,$Q$4+1,INDEX(Assumptions!$C$215:$E$215,$D$3)),F24,F38)</f>
        <v>4</v>
      </c>
      <c r="G39" s="16" t="n">
        <f aca="false">IF(5&lt;IF($Q$3=1,$Q$4+1,INDEX(Assumptions!$C$215:$E$215,$D$3)),G24,G38)</f>
        <v>5.112</v>
      </c>
      <c r="H39" s="16" t="n">
        <f aca="false">IF(6&lt;IF($Q$3=1,$Q$4+1,INDEX(Assumptions!$C$215:$E$215,$D$3)),H24,H38)</f>
        <v>5.88</v>
      </c>
      <c r="I39" s="16" t="n">
        <f aca="false">IF(7&lt;IF($Q$3=1,$Q$4+1,INDEX(Assumptions!$C$215:$E$215,$D$3)),I24,I38)</f>
        <v>7.904</v>
      </c>
      <c r="J39" s="16" t="n">
        <f aca="false">IF(8&lt;IF($Q$3=1,$Q$4+1,INDEX(Assumptions!$C$215:$E$215,$D$3)),J24,J38)</f>
        <v>8.208</v>
      </c>
      <c r="K39" s="16" t="n">
        <f aca="false">IF(9&lt;IF($Q$3=1,$Q$4+1,INDEX(Assumptions!$C$215:$E$215,$D$3)),K24,K38)</f>
        <v>7.6</v>
      </c>
      <c r="L39" s="16" t="n">
        <f aca="false">IF(10&lt;IF($Q$3=1,$Q$4+1,INDEX(Assumptions!$C$215:$E$215,$D$3)),L24,L38)</f>
        <v>9.5824</v>
      </c>
      <c r="M39" s="16" t="n">
        <f aca="false">IF(11&lt;IF($Q$3=1,$Q$4+1,INDEX(Assumptions!$C$215:$E$215,$D$3)),M24,M38)</f>
        <v>10.14</v>
      </c>
      <c r="N39" s="16" t="n">
        <f aca="false">IF(12&lt;IF($Q$3=1,$Q$4+1,INDEX(Assumptions!$C$215:$E$215,$D$3)),N24,N38)</f>
        <v>8</v>
      </c>
      <c r="O39" s="38" t="n">
        <f aca="false">SUM(C39:N39)</f>
        <v>73.0127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0.4</v>
      </c>
      <c r="D40" s="16" t="n">
        <f aca="false">D38*INDEX(Assumptions!$C$74:$E$74,$B$3)</f>
        <v>0.490575</v>
      </c>
      <c r="E40" s="16" t="n">
        <f aca="false">E38*INDEX(Assumptions!$C$74:$E$74,$B$3)</f>
        <v>0.756</v>
      </c>
      <c r="F40" s="16" t="n">
        <f aca="false">F38*INDEX(Assumptions!$C$74:$E$74,$B$3)</f>
        <v>1</v>
      </c>
      <c r="G40" s="16" t="n">
        <f aca="false">G38*INDEX(Assumptions!$C$74:$E$74,$B$3)</f>
        <v>1.278</v>
      </c>
      <c r="H40" s="16" t="n">
        <f aca="false">H38*INDEX(Assumptions!$C$74:$E$74,$B$3)</f>
        <v>1.47</v>
      </c>
      <c r="I40" s="16" t="n">
        <f aca="false">I38*INDEX(Assumptions!$C$74:$E$74,$B$3)</f>
        <v>1.976</v>
      </c>
      <c r="J40" s="16" t="n">
        <f aca="false">J38*INDEX(Assumptions!$C$74:$E$74,$B$3)</f>
        <v>1.88483665338645</v>
      </c>
      <c r="K40" s="16" t="n">
        <f aca="false">K38*INDEX(Assumptions!$C$74:$E$74,$B$3)</f>
        <v>1.59895174422727</v>
      </c>
      <c r="L40" s="16" t="n">
        <f aca="false">L38*INDEX(Assumptions!$C$74:$E$74,$B$3)</f>
        <v>2.3956</v>
      </c>
      <c r="M40" s="16" t="n">
        <f aca="false">M38*INDEX(Assumptions!$C$74:$E$74,$B$3)</f>
        <v>2.535</v>
      </c>
      <c r="N40" s="16" t="n">
        <f aca="false">N38*INDEX(Assumptions!$C$74:$E$74,$B$3)</f>
        <v>2</v>
      </c>
      <c r="O40" s="38" t="n">
        <f aca="false">SUM(C40:N40)</f>
        <v>17.7849633976137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0.3618</v>
      </c>
      <c r="E41" s="16" t="n">
        <f aca="false">E10*MIN(E16,E21*E20)*E22*E23*E33</f>
        <v>1.344</v>
      </c>
      <c r="F41" s="16" t="n">
        <f aca="false">F10*MIN(F16,F21*F20)*F22*F23*F33</f>
        <v>1.92</v>
      </c>
      <c r="G41" s="16" t="n">
        <f aca="false">G10*MIN(G16,G21*G20)*G22*G23*G33</f>
        <v>2.592</v>
      </c>
      <c r="H41" s="16" t="n">
        <f aca="false">H10*MIN(H16,H21*H20)*H22*H23*H33</f>
        <v>2.88</v>
      </c>
      <c r="I41" s="16" t="n">
        <f aca="false">I10*MIN(I16,I21*I20)*I22*I23*I33</f>
        <v>3.744</v>
      </c>
      <c r="J41" s="16" t="n">
        <f aca="false">J10*MIN(J16,J21*J20)*J22*J23*J33</f>
        <v>3.5712694485217</v>
      </c>
      <c r="K41" s="16" t="n">
        <f aca="false">K10*MIN(K16,K21*K20)*K22*K23*K33</f>
        <v>3.02959277853588</v>
      </c>
      <c r="L41" s="16" t="n">
        <f aca="false">L10*MIN(L16,L21*L20)*L22*L23*L33</f>
        <v>4.224</v>
      </c>
      <c r="M41" s="16" t="n">
        <f aca="false">M10*MIN(M16,M21*M20)*M22*M23*M33</f>
        <v>5.04</v>
      </c>
      <c r="N41" s="16" t="n">
        <f aca="false">N10*MIN(N16,N21*N20)*N22*N23*N33</f>
        <v>4.8</v>
      </c>
      <c r="O41" s="38" t="n">
        <f aca="false">SUM(C41:N41)</f>
        <v>33.5066622270576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1.6</v>
      </c>
      <c r="D42" s="6" t="n">
        <f aca="false">D31+D34+D37+D36+1.25*D35</f>
        <v>3.1143</v>
      </c>
      <c r="E42" s="6" t="n">
        <f aca="false">E31+E34+E37+E36+1.25*E35</f>
        <v>5.588856</v>
      </c>
      <c r="F42" s="6" t="n">
        <f aca="false">F31+F34+F37+F36+1.25*F35</f>
        <v>7.782136</v>
      </c>
      <c r="G42" s="6" t="n">
        <f aca="false">G31+G34+G37+G36+1.25*G35</f>
        <v>10.404756</v>
      </c>
      <c r="H42" s="6" t="n">
        <f aca="false">H31+H34+H37+H36+1.25*H35</f>
        <v>12.80352</v>
      </c>
      <c r="I42" s="6" t="n">
        <f aca="false">I31+I34+I37+I36+1.25*I35</f>
        <v>16.29824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21.0935740464655</v>
      </c>
      <c r="M42" s="6" t="n">
        <f aca="false">M31+M34+M37+M36+1.25*M35</f>
        <v>24.4204326918838</v>
      </c>
      <c r="N42" s="6" t="n">
        <f aca="false">N31+N34+N37+N36+1.25*N35</f>
        <v>22.0195768372291</v>
      </c>
      <c r="O42" s="41" t="n">
        <f aca="false">AVERAGE(C42:N42)</f>
        <v>13.4271159646315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</v>
      </c>
      <c r="D43" s="39" t="n">
        <f aca="false">D42/(D25*D26)</f>
        <v>0.19464375</v>
      </c>
      <c r="E43" s="39" t="n">
        <f aca="false">E42/(E25*E26)</f>
        <v>0.3493035</v>
      </c>
      <c r="F43" s="39" t="n">
        <f aca="false">F42/(F25*F26)</f>
        <v>0.4863835</v>
      </c>
      <c r="G43" s="39" t="n">
        <f aca="false">G42/(G25*G26)</f>
        <v>0.5202378</v>
      </c>
      <c r="H43" s="39" t="n">
        <f aca="false">H42/(H25*H26)</f>
        <v>0.640176</v>
      </c>
      <c r="I43" s="39" t="n">
        <f aca="false">I42/(I25*I26)</f>
        <v>0.814912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0.703119134882182</v>
      </c>
      <c r="M43" s="39" t="n">
        <f aca="false">M42/(M25*M26)</f>
        <v>0.814014423062793</v>
      </c>
      <c r="N43" s="39" t="n">
        <f aca="false">N42/(N25*N26)</f>
        <v>0.733985894574303</v>
      </c>
      <c r="O43" s="9" t="n">
        <f aca="false">N43</f>
        <v>0.733985894574303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2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2.72</v>
      </c>
      <c r="F46" s="6" t="n">
        <f aca="false">IF(4&gt;=3,INDEX(Assumptions!$C$234:$E$234,F$9)*INDEX(Assumptions!$C$235:$E$235,$B$3)*MIN(1,(4-2)/6),0)*$F$3*F22*$W$3</f>
        <v>5.44</v>
      </c>
      <c r="G46" s="6" t="n">
        <f aca="false">IF(5&gt;=3,INDEX(Assumptions!$C$234:$E$234,G$9)*INDEX(Assumptions!$C$235:$E$235,$B$3)*MIN(1,(5-2)/6),0)*$F$3*G22*$W$3</f>
        <v>8.16</v>
      </c>
      <c r="H46" s="6" t="n">
        <f aca="false">IF(6&gt;=3,INDEX(Assumptions!$C$234:$E$234,H$9)*INDEX(Assumptions!$C$235:$E$235,$B$3)*MIN(1,(6-2)/6),0)*$F$3*H22*$W$3</f>
        <v>10.88</v>
      </c>
      <c r="I46" s="6" t="n">
        <f aca="false">IF(7&gt;=3,INDEX(Assumptions!$C$234:$E$234,I$9)*INDEX(Assumptions!$C$235:$E$235,$B$3)*MIN(1,(7-2)/6),0)*$F$3*I22*$W$3</f>
        <v>13.6</v>
      </c>
      <c r="J46" s="6" t="n">
        <f aca="false">IF(8&gt;=3,INDEX(Assumptions!$C$234:$E$234,J$9)*INDEX(Assumptions!$C$235:$E$235,$B$3)*MIN(1,(8-2)/6),0)*$F$3*J22*$W$3</f>
        <v>16.32</v>
      </c>
      <c r="K46" s="6" t="n">
        <f aca="false">IF(9&gt;=3,INDEX(Assumptions!$C$234:$E$234,K$9)*INDEX(Assumptions!$C$235:$E$235,$B$3)*MIN(1,(9-2)/6),0)*$F$3*K22*$W$3</f>
        <v>16.32</v>
      </c>
      <c r="L46" s="6" t="n">
        <f aca="false">IF(10&gt;=3,INDEX(Assumptions!$C$234:$E$234,L$9)*INDEX(Assumptions!$C$235:$E$235,$B$3)*MIN(1,(10-2)/6),0)*$F$3*L22*$W$3</f>
        <v>16.32</v>
      </c>
      <c r="M46" s="6" t="n">
        <f aca="false">IF(11&gt;=3,INDEX(Assumptions!$C$234:$E$234,M$9)*INDEX(Assumptions!$C$235:$E$235,$B$3)*MIN(1,(11-2)/6),0)*$F$3*M22*$W$3</f>
        <v>16.32</v>
      </c>
      <c r="N46" s="6" t="n">
        <f aca="false">IF(12&gt;=3,INDEX(Assumptions!$C$234:$E$234,N$9)*INDEX(Assumptions!$C$235:$E$235,$B$3)*MIN(1,(12-2)/6),0)*$F$3*N22*$W$3</f>
        <v>16.32</v>
      </c>
      <c r="O46" s="41" t="n">
        <f aca="false">SUM(C46:N46)</f>
        <v>122.4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5.6</v>
      </c>
      <c r="D47" s="6" t="n">
        <f aca="false">INDEX(Assumptions!$C$236:$E$236,D$9)*D11*MIN(1,2/3)*$F$3*D22</f>
        <v>9.6</v>
      </c>
      <c r="E47" s="6" t="n">
        <f aca="false">INDEX(Assumptions!$C$236:$E$236,E$9)*E11*MIN(1,3/3)*$F$3*E22</f>
        <v>14.4</v>
      </c>
      <c r="F47" s="6" t="n">
        <f aca="false">INDEX(Assumptions!$C$236:$E$236,F$9)*F11*MIN(1,4/3)*$F$3*F22</f>
        <v>15.6</v>
      </c>
      <c r="G47" s="6" t="n">
        <f aca="false">INDEX(Assumptions!$C$236:$E$236,G$9)*G11*MIN(1,5/3)*$F$3*G22</f>
        <v>10.8</v>
      </c>
      <c r="H47" s="6" t="n">
        <f aca="false">INDEX(Assumptions!$C$236:$E$236,H$9)*H11*MIN(1,6/3)*$F$3*H22</f>
        <v>9.6</v>
      </c>
      <c r="I47" s="6" t="n">
        <f aca="false">INDEX(Assumptions!$C$236:$E$236,I$9)*I11*MIN(1,7/3)*$F$3*I22</f>
        <v>8.4</v>
      </c>
      <c r="J47" s="6" t="n">
        <f aca="false">INDEX(Assumptions!$C$236:$E$236,J$9)*J11*MIN(1,8/3)*$F$3*J22</f>
        <v>7.2</v>
      </c>
      <c r="K47" s="6" t="n">
        <f aca="false">INDEX(Assumptions!$C$236:$E$236,K$9)*K11*MIN(1,9/3)*$F$3*K22</f>
        <v>7.2</v>
      </c>
      <c r="L47" s="6" t="n">
        <f aca="false">INDEX(Assumptions!$C$236:$E$236,L$9)*L11*MIN(1,10/3)*$F$3*L22</f>
        <v>9.6</v>
      </c>
      <c r="M47" s="6" t="n">
        <f aca="false">INDEX(Assumptions!$C$236:$E$236,M$9)*M11*MIN(1,11/3)*$F$3*M22</f>
        <v>13.2</v>
      </c>
      <c r="N47" s="6" t="n">
        <f aca="false">INDEX(Assumptions!$C$236:$E$236,N$9)*N11*MIN(1,12/3)*$F$3*N22</f>
        <v>16.8</v>
      </c>
      <c r="O47" s="41" t="n">
        <f aca="false">SUM(C47:N47)</f>
        <v>128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1.50093808630394</v>
      </c>
      <c r="D48" s="6" t="n">
        <f aca="false">D24*INDEX(Assumptions!$C$31:$E$31,$B$3)/(INDEX(Assumptions!$C$56:$E$56,$B$3)*INDEX(Assumptions!$C$57:$E$57,$B$3)*INDEX(Assumptions!$C$58:$E$58,$B$3))</f>
        <v>1.84080675422139</v>
      </c>
      <c r="E48" s="6" t="n">
        <f aca="false">E24*INDEX(Assumptions!$C$31:$E$31,$B$3)/(INDEX(Assumptions!$C$56:$E$56,$B$3)*INDEX(Assumptions!$C$57:$E$57,$B$3)*INDEX(Assumptions!$C$58:$E$58,$B$3))</f>
        <v>2.83677298311445</v>
      </c>
      <c r="F48" s="6" t="n">
        <f aca="false">F24*INDEX(Assumptions!$C$31:$E$31,$B$3)/(INDEX(Assumptions!$C$56:$E$56,$B$3)*INDEX(Assumptions!$C$57:$E$57,$B$3)*INDEX(Assumptions!$C$58:$E$58,$B$3))</f>
        <v>3.75234521575985</v>
      </c>
      <c r="G48" s="6" t="n">
        <f aca="false">G24*INDEX(Assumptions!$C$31:$E$31,$B$3)/(INDEX(Assumptions!$C$56:$E$56,$B$3)*INDEX(Assumptions!$C$57:$E$57,$B$3)*INDEX(Assumptions!$C$58:$E$58,$B$3))</f>
        <v>4.79549718574109</v>
      </c>
      <c r="H48" s="6" t="n">
        <f aca="false">H24*INDEX(Assumptions!$C$31:$E$31,$B$3)/(INDEX(Assumptions!$C$56:$E$56,$B$3)*INDEX(Assumptions!$C$57:$E$57,$B$3)*INDEX(Assumptions!$C$58:$E$58,$B$3))</f>
        <v>5.51594746716698</v>
      </c>
      <c r="I48" s="6" t="n">
        <f aca="false">I24*INDEX(Assumptions!$C$31:$E$31,$B$3)/(INDEX(Assumptions!$C$56:$E$56,$B$3)*INDEX(Assumptions!$C$57:$E$57,$B$3)*INDEX(Assumptions!$C$58:$E$58,$B$3))</f>
        <v>7.41463414634146</v>
      </c>
      <c r="J48" s="6" t="n">
        <f aca="false">J24*INDEX(Assumptions!$C$31:$E$31,$B$3)/(INDEX(Assumptions!$C$56:$E$56,$B$3)*INDEX(Assumptions!$C$57:$E$57,$B$3)*INDEX(Assumptions!$C$58:$E$58,$B$3))</f>
        <v>7.69981238273921</v>
      </c>
      <c r="K48" s="6" t="n">
        <f aca="false">K24*INDEX(Assumptions!$C$31:$E$31,$B$3)/(INDEX(Assumptions!$C$56:$E$56,$B$3)*INDEX(Assumptions!$C$57:$E$57,$B$3)*INDEX(Assumptions!$C$58:$E$58,$B$3))</f>
        <v>7.12945590994371</v>
      </c>
      <c r="L48" s="6" t="n">
        <f aca="false">L24*INDEX(Assumptions!$C$31:$E$31,$B$3)/(INDEX(Assumptions!$C$56:$E$56,$B$3)*INDEX(Assumptions!$C$57:$E$57,$B$3)*INDEX(Assumptions!$C$58:$E$58,$B$3))</f>
        <v>7.26454033771107</v>
      </c>
      <c r="M48" s="6" t="n">
        <f aca="false">M24*INDEX(Assumptions!$C$31:$E$31,$B$3)/(INDEX(Assumptions!$C$56:$E$56,$B$3)*INDEX(Assumptions!$C$57:$E$57,$B$3)*INDEX(Assumptions!$C$58:$E$58,$B$3))</f>
        <v>7.87992495309568</v>
      </c>
      <c r="N48" s="6" t="n">
        <f aca="false">N24*INDEX(Assumptions!$C$31:$E$31,$B$3)/(INDEX(Assumptions!$C$56:$E$56,$B$3)*INDEX(Assumptions!$C$57:$E$57,$B$3)*INDEX(Assumptions!$C$58:$E$58,$B$3))</f>
        <v>7.5046904315197</v>
      </c>
      <c r="O48" s="41" t="n">
        <f aca="false">SUM(C48:N48)</f>
        <v>65.1353658536585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12.8</v>
      </c>
      <c r="M50" s="6" t="n">
        <f aca="false">M49*INDEX(Assumptions!$C$82:$E$82,$B$3)*$F$3*M22</f>
        <v>12.8</v>
      </c>
      <c r="N50" s="6" t="n">
        <f aca="false">N49*INDEX(Assumptions!$C$82:$E$82,$B$3)*$F$3*N22</f>
        <v>12.8</v>
      </c>
      <c r="O50" s="41" t="n">
        <f aca="false">SUM(C50:N50)</f>
        <v>38.4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0.1904</v>
      </c>
      <c r="F51" s="16" t="n">
        <f aca="false">F46*0.7*INDEX(Assumptions!$C$73:$E$73,$B$3)</f>
        <v>0.3808</v>
      </c>
      <c r="G51" s="16" t="n">
        <f aca="false">G46*0.7*INDEX(Assumptions!$C$73:$E$73,$B$3)</f>
        <v>0.5712</v>
      </c>
      <c r="H51" s="16" t="n">
        <f aca="false">H46*0.7*INDEX(Assumptions!$C$73:$E$73,$B$3)</f>
        <v>0.7616</v>
      </c>
      <c r="I51" s="16" t="n">
        <f aca="false">I46*0.7*INDEX(Assumptions!$C$73:$E$73,$B$3)</f>
        <v>0.952</v>
      </c>
      <c r="J51" s="16" t="n">
        <f aca="false">J46*0.7*INDEX(Assumptions!$C$73:$E$73,$B$3)</f>
        <v>1.1424</v>
      </c>
      <c r="K51" s="16" t="n">
        <f aca="false">K46*0.7*INDEX(Assumptions!$C$73:$E$73,$B$3)</f>
        <v>1.1424</v>
      </c>
      <c r="L51" s="16" t="n">
        <f aca="false">L46*0.7*INDEX(Assumptions!$C$73:$E$73,$B$3)</f>
        <v>1.1424</v>
      </c>
      <c r="M51" s="16" t="n">
        <f aca="false">M46*0.7*INDEX(Assumptions!$C$73:$E$73,$B$3)</f>
        <v>1.1424</v>
      </c>
      <c r="N51" s="16" t="n">
        <f aca="false">N46*0.7*INDEX(Assumptions!$C$73:$E$73,$B$3)</f>
        <v>1.1424</v>
      </c>
      <c r="O51" s="38" t="n">
        <f aca="false">SUM(C51:N51)</f>
        <v>8.568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48813.5593220339</v>
      </c>
      <c r="D56" s="10" t="n">
        <f aca="false">D34*D53/(1+INDEX(Assumptions!$C$15:$E$15,$B$3)*$H$4)</f>
        <v>59866.7796610169</v>
      </c>
      <c r="E56" s="10" t="n">
        <f aca="false">E34*E53/(1+INDEX(Assumptions!$C$15:$E$15,$B$3)*$H$4)</f>
        <v>92257.6271186441</v>
      </c>
      <c r="F56" s="10" t="n">
        <f aca="false">F34*F53/(1+INDEX(Assumptions!$C$15:$E$15,$B$3)*$H$4)</f>
        <v>122033.898305085</v>
      </c>
      <c r="G56" s="10" t="n">
        <f aca="false">G34*G53/(1+INDEX(Assumptions!$C$15:$E$15,$B$3)*$H$4)</f>
        <v>155959.322033898</v>
      </c>
      <c r="H56" s="10" t="n">
        <f aca="false">H34*H53/(1+INDEX(Assumptions!$C$15:$E$15,$B$3)*$H$4)</f>
        <v>179389.830508475</v>
      </c>
      <c r="I56" s="10" t="n">
        <f aca="false">I34*I53/(1+INDEX(Assumptions!$C$15:$E$15,$B$3)*$H$4)</f>
        <v>241138.983050847</v>
      </c>
      <c r="J56" s="10" t="n">
        <f aca="false">J34*J53/(1+INDEX(Assumptions!$C$15:$E$15,$B$3)*$H$4)</f>
        <v>230013.964481059</v>
      </c>
      <c r="K56" s="10" t="n">
        <f aca="false">K34*K53/(1+INDEX(Assumptions!$C$15:$E$15,$B$3)*$H$4)</f>
        <v>195126.314549769</v>
      </c>
      <c r="L56" s="10" t="n">
        <f aca="false">L34*L53/(1+INDEX(Assumptions!$C$15:$E$15,$B$3)*$H$4)</f>
        <v>196881.355932203</v>
      </c>
      <c r="M56" s="10" t="n">
        <f aca="false">M34*M53/(1+INDEX(Assumptions!$C$15:$E$15,$B$3)*$H$4)</f>
        <v>213559.322033898</v>
      </c>
      <c r="N56" s="10" t="n">
        <f aca="false">N34*N53/(1+INDEX(Assumptions!$C$15:$E$15,$B$3)*$H$4)</f>
        <v>203389.830508475</v>
      </c>
      <c r="O56" s="40" t="n">
        <f aca="false">SUM(C56:N56)</f>
        <v>1938430.7875054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67796.6101694915</v>
      </c>
      <c r="O57" s="40" t="n">
        <f aca="false">SUM(C57:N57)</f>
        <v>406779.661016949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3270.50847457627</v>
      </c>
      <c r="E58" s="10" t="n">
        <f aca="false">E37*MAX(0,E53-INDEX(Assumptions!$C$18:$E$18,$B$3)*$H$3)/(1+INDEX(Assumptions!$C$15:$E$15,$B$3)*$H$4)</f>
        <v>4011.07423728814</v>
      </c>
      <c r="F58" s="10" t="n">
        <f aca="false">F37*MAX(0,F53-INDEX(Assumptions!$C$18:$E$18,$B$3)*$H$3)/(1+INDEX(Assumptions!$C$15:$E$15,$B$3)*$H$4)</f>
        <v>6181.26101694915</v>
      </c>
      <c r="G58" s="10" t="n">
        <f aca="false">G37*MAX(0,G53-INDEX(Assumptions!$C$18:$E$18,$B$3)*$H$3)/(1+INDEX(Assumptions!$C$15:$E$15,$B$3)*$H$4)</f>
        <v>8176.27118644068</v>
      </c>
      <c r="H58" s="10" t="n">
        <f aca="false">H37*MAX(0,H53-INDEX(Assumptions!$C$18:$E$18,$B$3)*$H$3)/(1+INDEX(Assumptions!$C$15:$E$15,$B$3)*$H$4)</f>
        <v>10449.2745762712</v>
      </c>
      <c r="I58" s="10" t="n">
        <f aca="false">I37*MAX(0,I53-INDEX(Assumptions!$C$18:$E$18,$B$3)*$H$3)/(1+INDEX(Assumptions!$C$15:$E$15,$B$3)*$H$4)</f>
        <v>12019.1186440678</v>
      </c>
      <c r="J58" s="10" t="n">
        <f aca="false">J37*MAX(0,J53-INDEX(Assumptions!$C$18:$E$18,$B$3)*$H$3)/(1+INDEX(Assumptions!$C$15:$E$15,$B$3)*$H$4)</f>
        <v>14840.1602268891</v>
      </c>
      <c r="K58" s="10" t="n">
        <f aca="false">K37*MAX(0,K53-INDEX(Assumptions!$C$18:$E$18,$B$3)*$H$3)/(1+INDEX(Assumptions!$C$15:$E$15,$B$3)*$H$4)</f>
        <v>12969.1275737592</v>
      </c>
      <c r="L58" s="10" t="n">
        <f aca="false">L37*MAX(0,L53-INDEX(Assumptions!$C$18:$E$18,$B$3)*$H$3)/(1+INDEX(Assumptions!$C$15:$E$15,$B$3)*$H$4)</f>
        <v>17409.6033981627</v>
      </c>
      <c r="M58" s="10" t="n">
        <f aca="false">M37*MAX(0,M53-INDEX(Assumptions!$C$18:$E$18,$B$3)*$H$3)/(1+INDEX(Assumptions!$C$15:$E$15,$B$3)*$H$4)</f>
        <v>21079.4305084746</v>
      </c>
      <c r="N58" s="10" t="n">
        <f aca="false">N37*MAX(0,N53-INDEX(Assumptions!$C$18:$E$18,$B$3)*$H$3)/(1+INDEX(Assumptions!$C$15:$E$15,$B$3)*$H$4)</f>
        <v>22865.0847457627</v>
      </c>
      <c r="O58" s="40" t="n">
        <f aca="false">SUM(C58:N58)</f>
        <v>133270.914588641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21640.6779661017</v>
      </c>
      <c r="D59" s="10" t="n">
        <f aca="false">D36*INDEX(Assumptions!$C$18:$E$18,$B$3)*$H$3/(1+INDEX(Assumptions!$C$15:$E$15,$B$3)*$H$4)</f>
        <v>26540.9389830508</v>
      </c>
      <c r="E59" s="10" t="n">
        <f aca="false">E36*INDEX(Assumptions!$C$18:$E$18,$B$3)*$H$3/(1+INDEX(Assumptions!$C$15:$E$15,$B$3)*$H$4)</f>
        <v>40900.8813559322</v>
      </c>
      <c r="F59" s="10" t="n">
        <f aca="false">F36*INDEX(Assumptions!$C$18:$E$18,$B$3)*$H$3/(1+INDEX(Assumptions!$C$15:$E$15,$B$3)*$H$4)</f>
        <v>54101.6949152542</v>
      </c>
      <c r="G59" s="10" t="n">
        <f aca="false">G36*INDEX(Assumptions!$C$18:$E$18,$B$3)*$H$3/(1+INDEX(Assumptions!$C$15:$E$15,$B$3)*$H$4)</f>
        <v>69141.9661016949</v>
      </c>
      <c r="H59" s="10" t="n">
        <f aca="false">H36*INDEX(Assumptions!$C$18:$E$18,$B$3)*$H$3/(1+INDEX(Assumptions!$C$15:$E$15,$B$3)*$H$4)</f>
        <v>79529.4915254237</v>
      </c>
      <c r="I59" s="10" t="n">
        <f aca="false">I36*INDEX(Assumptions!$C$18:$E$18,$B$3)*$H$3/(1+INDEX(Assumptions!$C$15:$E$15,$B$3)*$H$4)</f>
        <v>106904.949152542</v>
      </c>
      <c r="J59" s="10" t="n">
        <f aca="false">J36*INDEX(Assumptions!$C$18:$E$18,$B$3)*$H$3/(1+INDEX(Assumptions!$C$15:$E$15,$B$3)*$H$4)</f>
        <v>101972.857586603</v>
      </c>
      <c r="K59" s="10" t="n">
        <f aca="false">K36*INDEX(Assumptions!$C$18:$E$18,$B$3)*$H$3/(1+INDEX(Assumptions!$C$15:$E$15,$B$3)*$H$4)</f>
        <v>86505.9994503974</v>
      </c>
      <c r="L59" s="10" t="n">
        <f aca="false">L36*INDEX(Assumptions!$C$18:$E$18,$B$3)*$H$3/(1+INDEX(Assumptions!$C$15:$E$15,$B$3)*$H$4)</f>
        <v>104740.881355932</v>
      </c>
      <c r="M59" s="10" t="n">
        <f aca="false">M36*INDEX(Assumptions!$C$18:$E$18,$B$3)*$H$3/(1+INDEX(Assumptions!$C$15:$E$15,$B$3)*$H$4)</f>
        <v>113613.559322034</v>
      </c>
      <c r="N59" s="10" t="n">
        <f aca="false">N36*INDEX(Assumptions!$C$18:$E$18,$B$3)*$H$3/(1+INDEX(Assumptions!$C$15:$E$15,$B$3)*$H$4)</f>
        <v>108203.389830508</v>
      </c>
      <c r="O59" s="40" t="n">
        <f aca="false">SUM(C59:N59)</f>
        <v>913797.287545475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1135.25182052342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1392.31540463319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2145.62594078926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2838.12955130855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3627.12956657233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4172.05044042357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5608.1439933857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5823.84183928515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5392.44614748625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5494.61881133336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5960.07205774796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5676.2591026171</v>
      </c>
      <c r="O60" s="40" t="n">
        <f aca="false">SUM(C60:N60)</f>
        <v>49265.8846761058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23050.8474576271</v>
      </c>
      <c r="F61" s="10" t="n">
        <f aca="false">F46*INDEX(Assumptions!$C$21:$E$21,$B$3)*$H$3/(1+INDEX(Assumptions!$C$15:$E$15,$B$3)*$H$4)</f>
        <v>46101.6949152542</v>
      </c>
      <c r="G61" s="10" t="n">
        <f aca="false">G46*INDEX(Assumptions!$C$21:$E$21,$B$3)*$H$3/(1+INDEX(Assumptions!$C$15:$E$15,$B$3)*$H$4)</f>
        <v>69152.5423728814</v>
      </c>
      <c r="H61" s="10" t="n">
        <f aca="false">H46*INDEX(Assumptions!$C$21:$E$21,$B$3)*$H$3/(1+INDEX(Assumptions!$C$15:$E$15,$B$3)*$H$4)</f>
        <v>92203.3898305085</v>
      </c>
      <c r="I61" s="10" t="n">
        <f aca="false">I46*INDEX(Assumptions!$C$21:$E$21,$B$3)*$H$3/(1+INDEX(Assumptions!$C$15:$E$15,$B$3)*$H$4)</f>
        <v>115254.237288136</v>
      </c>
      <c r="J61" s="10" t="n">
        <f aca="false">J46*INDEX(Assumptions!$C$21:$E$21,$B$3)*$H$3/(1+INDEX(Assumptions!$C$15:$E$15,$B$3)*$H$4)</f>
        <v>138305.084745763</v>
      </c>
      <c r="K61" s="10" t="n">
        <f aca="false">K46*INDEX(Assumptions!$C$21:$E$21,$B$3)*$H$3/(1+INDEX(Assumptions!$C$15:$E$15,$B$3)*$H$4)</f>
        <v>138305.084745763</v>
      </c>
      <c r="L61" s="10" t="n">
        <f aca="false">L46*INDEX(Assumptions!$C$21:$E$21,$B$3)*$H$3/(1+INDEX(Assumptions!$C$15:$E$15,$B$3)*$H$4)</f>
        <v>138305.084745763</v>
      </c>
      <c r="M61" s="10" t="n">
        <f aca="false">M46*INDEX(Assumptions!$C$21:$E$21,$B$3)*$H$3/(1+INDEX(Assumptions!$C$15:$E$15,$B$3)*$H$4)</f>
        <v>138305.084745763</v>
      </c>
      <c r="N61" s="10" t="n">
        <f aca="false">N46*INDEX(Assumptions!$C$21:$E$21,$B$3)*$H$3/(1+INDEX(Assumptions!$C$15:$E$15,$B$3)*$H$4)</f>
        <v>138305.084745763</v>
      </c>
      <c r="O61" s="40" t="n">
        <f aca="false">SUM(C61:N61)</f>
        <v>1037288.13559322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23724.0677966102</v>
      </c>
      <c r="D62" s="10" t="n">
        <f aca="false">D47*INDEX(Assumptions!$C$22:$E$22,$B$3)*$H$3/(1+INDEX(Assumptions!$C$15:$E$15,$B$3)*$H$4)</f>
        <v>40669.8305084746</v>
      </c>
      <c r="E62" s="10" t="n">
        <f aca="false">E47*INDEX(Assumptions!$C$22:$E$22,$B$3)*$H$3/(1+INDEX(Assumptions!$C$15:$E$15,$B$3)*$H$4)</f>
        <v>61004.7457627119</v>
      </c>
      <c r="F62" s="10" t="n">
        <f aca="false">F47*INDEX(Assumptions!$C$22:$E$22,$B$3)*$H$3/(1+INDEX(Assumptions!$C$15:$E$15,$B$3)*$H$4)</f>
        <v>66088.4745762712</v>
      </c>
      <c r="G62" s="10" t="n">
        <f aca="false">G47*INDEX(Assumptions!$C$22:$E$22,$B$3)*$H$3/(1+INDEX(Assumptions!$C$15:$E$15,$B$3)*$H$4)</f>
        <v>45753.5593220339</v>
      </c>
      <c r="H62" s="10" t="n">
        <f aca="false">H47*INDEX(Assumptions!$C$22:$E$22,$B$3)*$H$3/(1+INDEX(Assumptions!$C$15:$E$15,$B$3)*$H$4)</f>
        <v>40669.8305084746</v>
      </c>
      <c r="I62" s="10" t="n">
        <f aca="false">I47*INDEX(Assumptions!$C$22:$E$22,$B$3)*$H$3/(1+INDEX(Assumptions!$C$15:$E$15,$B$3)*$H$4)</f>
        <v>35586.1016949153</v>
      </c>
      <c r="J62" s="10" t="n">
        <f aca="false">J47*INDEX(Assumptions!$C$22:$E$22,$B$3)*$H$3/(1+INDEX(Assumptions!$C$15:$E$15,$B$3)*$H$4)</f>
        <v>30502.3728813559</v>
      </c>
      <c r="K62" s="10" t="n">
        <f aca="false">K47*INDEX(Assumptions!$C$22:$E$22,$B$3)*$H$3/(1+INDEX(Assumptions!$C$15:$E$15,$B$3)*$H$4)</f>
        <v>30502.3728813559</v>
      </c>
      <c r="L62" s="10" t="n">
        <f aca="false">L47*INDEX(Assumptions!$C$22:$E$22,$B$3)*$H$3/(1+INDEX(Assumptions!$C$15:$E$15,$B$3)*$H$4)</f>
        <v>40669.8305084746</v>
      </c>
      <c r="M62" s="10" t="n">
        <f aca="false">M47*INDEX(Assumptions!$C$22:$E$22,$B$3)*$H$3/(1+INDEX(Assumptions!$C$15:$E$15,$B$3)*$H$4)</f>
        <v>55921.0169491525</v>
      </c>
      <c r="N62" s="10" t="n">
        <f aca="false">N47*INDEX(Assumptions!$C$22:$E$22,$B$3)*$H$3/(1+INDEX(Assumptions!$C$15:$E$15,$B$3)*$H$4)</f>
        <v>71172.2033898305</v>
      </c>
      <c r="O62" s="40" t="n">
        <f aca="false">SUM(C62:N62)</f>
        <v>542264.406779661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16260.3389830509</v>
      </c>
      <c r="M63" s="10" t="n">
        <f aca="false">M50*INDEX(Assumptions!$C$83:$E$83,$B$3)/(1+INDEX(Assumptions!$C$15:$E$15,$B$3)*$H$4)</f>
        <v>16260.3389830509</v>
      </c>
      <c r="N63" s="10" t="n">
        <f aca="false">N50*INDEX(Assumptions!$C$83:$E$83,$B$3)/(1+INDEX(Assumptions!$C$15:$E$15,$B$3)*$H$4)</f>
        <v>16260.3389830509</v>
      </c>
      <c r="O63" s="40" t="n">
        <f aca="false">SUM(C63:N63)</f>
        <v>48781.0169491525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1613.3979661017</v>
      </c>
      <c r="F64" s="10" t="n">
        <f aca="false">F51*INDEX(Assumptions!$C$23:$E$23,$B$3)/(1+INDEX(Assumptions!$C$15:$E$15,$B$3)*$H$4)</f>
        <v>3226.79593220339</v>
      </c>
      <c r="G64" s="10" t="n">
        <f aca="false">G51*INDEX(Assumptions!$C$23:$E$23,$B$3)/(1+INDEX(Assumptions!$C$15:$E$15,$B$3)*$H$4)</f>
        <v>4840.19389830509</v>
      </c>
      <c r="H64" s="10" t="n">
        <f aca="false">H51*INDEX(Assumptions!$C$23:$E$23,$B$3)/(1+INDEX(Assumptions!$C$15:$E$15,$B$3)*$H$4)</f>
        <v>6453.59186440678</v>
      </c>
      <c r="I64" s="10" t="n">
        <f aca="false">I51*INDEX(Assumptions!$C$23:$E$23,$B$3)/(1+INDEX(Assumptions!$C$15:$E$15,$B$3)*$H$4)</f>
        <v>8066.98983050847</v>
      </c>
      <c r="J64" s="10" t="n">
        <f aca="false">J51*INDEX(Assumptions!$C$23:$E$23,$B$3)/(1+INDEX(Assumptions!$C$15:$E$15,$B$3)*$H$4)</f>
        <v>9680.38779661017</v>
      </c>
      <c r="K64" s="10" t="n">
        <f aca="false">K51*INDEX(Assumptions!$C$23:$E$23,$B$3)/(1+INDEX(Assumptions!$C$15:$E$15,$B$3)*$H$4)</f>
        <v>9680.38779661017</v>
      </c>
      <c r="L64" s="10" t="n">
        <f aca="false">L51*INDEX(Assumptions!$C$23:$E$23,$B$3)/(1+INDEX(Assumptions!$C$15:$E$15,$B$3)*$H$4)</f>
        <v>9680.38779661017</v>
      </c>
      <c r="M64" s="10" t="n">
        <f aca="false">M51*INDEX(Assumptions!$C$23:$E$23,$B$3)/(1+INDEX(Assumptions!$C$15:$E$15,$B$3)*$H$4)</f>
        <v>9680.38779661017</v>
      </c>
      <c r="N64" s="10" t="n">
        <f aca="false">N51*INDEX(Assumptions!$C$23:$E$23,$B$3)/(1+INDEX(Assumptions!$C$15:$E$15,$B$3)*$H$4)</f>
        <v>9680.38779661017</v>
      </c>
      <c r="O64" s="40" t="n">
        <f aca="false">SUM(C64:N64)</f>
        <v>72602.9084745763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6225.408</v>
      </c>
      <c r="M65" s="10" t="n">
        <f aca="false">(M34+M35)*(1-M54)*INDEX(Assumptions!$C$90:$E$90,$B$3)</f>
        <v>6508.8</v>
      </c>
      <c r="N65" s="10" t="n">
        <f aca="false">(N34+N35)*(1-N54)*INDEX(Assumptions!$C$90:$E$90,$B$3)</f>
        <v>4608</v>
      </c>
      <c r="O65" s="40" t="n">
        <f aca="false">SUM(C65:N65)</f>
        <v>17342.208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95313.5569052692</v>
      </c>
      <c r="D66" s="40" t="n">
        <f aca="false">SUM(D56:D65)</f>
        <v>131740.373031752</v>
      </c>
      <c r="E66" s="40" t="n">
        <f aca="false">SUM(E56:E65)</f>
        <v>224984.199839094</v>
      </c>
      <c r="F66" s="40" t="n">
        <f aca="false">SUM(F56:F65)</f>
        <v>300571.949212326</v>
      </c>
      <c r="G66" s="40" t="n">
        <f aca="false">SUM(G56:G65)</f>
        <v>356650.984481827</v>
      </c>
      <c r="H66" s="40" t="n">
        <f aca="false">SUM(H56:H65)</f>
        <v>412867.459253983</v>
      </c>
      <c r="I66" s="40" t="n">
        <f aca="false">SUM(I56:I65)</f>
        <v>524578.523654403</v>
      </c>
      <c r="J66" s="40" t="n">
        <f aca="false">SUM(J56:J65)</f>
        <v>531138.669557565</v>
      </c>
      <c r="K66" s="40" t="n">
        <f aca="false">SUM(K56:K65)</f>
        <v>478481.73314514</v>
      </c>
      <c r="L66" s="40" t="n">
        <f aca="false">SUM(L56:L65)</f>
        <v>705159.034955259</v>
      </c>
      <c r="M66" s="40" t="n">
        <f aca="false">SUM(M56:M65)</f>
        <v>750379.53782046</v>
      </c>
      <c r="N66" s="40" t="n">
        <f aca="false">SUM(N56:N65)</f>
        <v>647957.189272109</v>
      </c>
      <c r="O66" s="11" t="n">
        <f aca="false">SUM(C66:N66)</f>
        <v>5159823.21112919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70454.2372881356</v>
      </c>
      <c r="D67" s="10" t="n">
        <f aca="false">D56+D57+D58+D59</f>
        <v>89678.2271186441</v>
      </c>
      <c r="E67" s="10" t="n">
        <f aca="false">E56+E57+E58+E59</f>
        <v>137169.582711864</v>
      </c>
      <c r="F67" s="10" t="n">
        <f aca="false">F56+F57+F58+F59</f>
        <v>182316.854237288</v>
      </c>
      <c r="G67" s="10" t="n">
        <f aca="false">G56+G57+G58+G59</f>
        <v>233277.559322034</v>
      </c>
      <c r="H67" s="10" t="n">
        <f aca="false">H56+H57+H58+H59</f>
        <v>269368.59661017</v>
      </c>
      <c r="I67" s="10" t="n">
        <f aca="false">I56+I57+I58+I59</f>
        <v>360063.050847458</v>
      </c>
      <c r="J67" s="10" t="n">
        <f aca="false">J56+J57+J58+J59</f>
        <v>346826.982294551</v>
      </c>
      <c r="K67" s="10" t="n">
        <f aca="false">K56+K57+K58+K59</f>
        <v>294601.441573925</v>
      </c>
      <c r="L67" s="10" t="n">
        <f aca="false">L56+L57+L58+L59</f>
        <v>488523.366110027</v>
      </c>
      <c r="M67" s="10" t="n">
        <f aca="false">M56+M57+M58+M59</f>
        <v>517743.837288136</v>
      </c>
      <c r="N67" s="10" t="n">
        <f aca="false">N56+N57+N58+N59</f>
        <v>402254.915254237</v>
      </c>
      <c r="O67" s="40" t="n">
        <f aca="false">SUM(C67:N67)</f>
        <v>3392278.65065647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5760</v>
      </c>
      <c r="D69" s="10" t="n">
        <f aca="false">((D34+D37)*INDEX(Assumptions!$C$91:$E$91,$B$3)+D35*(INDEX(Assumptions!$C$93:$E$93,$B$3)+IF($Q$3=1,INDEX(Assumptions!$C$282:$E$282,$B$3),0)))*$N$3</f>
        <v>8216.28</v>
      </c>
      <c r="E69" s="10" t="n">
        <f aca="false">((E34+E37)*INDEX(Assumptions!$C$91:$E$91,$B$3)+E35*(INDEX(Assumptions!$C$93:$E$93,$B$3)+IF($Q$3=1,INDEX(Assumptions!$C$282:$E$282,$B$3),0)))*$N$3</f>
        <v>12299.256</v>
      </c>
      <c r="F69" s="10" t="n">
        <f aca="false">((F34+F37)*INDEX(Assumptions!$C$91:$E$91,$B$3)+F35*(INDEX(Assumptions!$C$93:$E$93,$B$3)+IF($Q$3=1,INDEX(Assumptions!$C$282:$E$282,$B$3),0)))*$N$3</f>
        <v>16577.28</v>
      </c>
      <c r="G69" s="10" t="n">
        <f aca="false">((G34+G37)*INDEX(Assumptions!$C$91:$E$91,$B$3)+G35*(INDEX(Assumptions!$C$93:$E$93,$B$3)+IF($Q$3=1,INDEX(Assumptions!$C$282:$E$282,$B$3),0)))*$N$3</f>
        <v>21283.2</v>
      </c>
      <c r="H69" s="10" t="n">
        <f aca="false">((H34+H37)*INDEX(Assumptions!$C$91:$E$91,$B$3)+H35*(INDEX(Assumptions!$C$93:$E$93,$B$3)+IF($Q$3=1,INDEX(Assumptions!$C$282:$E$282,$B$3),0)))*$N$3</f>
        <v>24848.64</v>
      </c>
      <c r="I69" s="10" t="n">
        <f aca="false">((I34+I37)*INDEX(Assumptions!$C$91:$E$91,$B$3)+I35*(INDEX(Assumptions!$C$93:$E$93,$B$3)+IF($Q$3=1,INDEX(Assumptions!$C$282:$E$282,$B$3),0)))*$N$3</f>
        <v>32688</v>
      </c>
      <c r="J69" s="10" t="n">
        <f aca="false">((J34+J37)*INDEX(Assumptions!$C$91:$E$91,$B$3)+J35*(INDEX(Assumptions!$C$93:$E$93,$B$3)+IF($Q$3=1,INDEX(Assumptions!$C$282:$E$282,$B$3),0)))*$N$3</f>
        <v>32368.92812749</v>
      </c>
      <c r="K69" s="10" t="n">
        <f aca="false">((K34+K37)*INDEX(Assumptions!$C$91:$E$91,$B$3)+K35*(INDEX(Assumptions!$C$93:$E$93,$B$3)+IF($Q$3=1,INDEX(Assumptions!$C$282:$E$282,$B$3),0)))*$N$3</f>
        <v>27593.1351279282</v>
      </c>
      <c r="L69" s="10" t="n">
        <f aca="false">((L34+L37)*INDEX(Assumptions!$C$91:$E$91,$B$3)+L35*(INDEX(Assumptions!$C$93:$E$93,$B$3)+IF($Q$3=1,INDEX(Assumptions!$C$282:$E$282,$B$3),0)))*$N$3</f>
        <v>54013.7810233745</v>
      </c>
      <c r="M69" s="10" t="n">
        <f aca="false">((M34+M37)*INDEX(Assumptions!$C$91:$E$91,$B$3)+M35*(INDEX(Assumptions!$C$93:$E$93,$B$3)+IF($Q$3=1,INDEX(Assumptions!$C$282:$E$282,$B$3),0)))*$N$3</f>
        <v>56755.68</v>
      </c>
      <c r="N69" s="10" t="n">
        <f aca="false">((N34+N37)*INDEX(Assumptions!$C$91:$E$91,$B$3)+N35*(INDEX(Assumptions!$C$93:$E$93,$B$3)+IF($Q$3=1,INDEX(Assumptions!$C$282:$E$282,$B$3),0)))*$N$3</f>
        <v>39048</v>
      </c>
      <c r="O69" s="40" t="n">
        <f aca="false">SUM(C69:N69)</f>
        <v>331452.180278793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11520</v>
      </c>
      <c r="D70" s="10" t="n">
        <f aca="false">(D34+D35)*D54*INDEX(Assumptions!$C$14:$E$14,$B$3)*$N$3</f>
        <v>14128.56</v>
      </c>
      <c r="E70" s="10" t="n">
        <f aca="false">(E34+E35)*E54*INDEX(Assumptions!$C$14:$E$14,$B$3)*$N$3</f>
        <v>21772.8</v>
      </c>
      <c r="F70" s="10" t="n">
        <f aca="false">(F34+F35)*F54*INDEX(Assumptions!$C$14:$E$14,$B$3)*$N$3</f>
        <v>28800</v>
      </c>
      <c r="G70" s="10" t="n">
        <f aca="false">(G34+G35)*G54*INDEX(Assumptions!$C$14:$E$14,$B$3)*$N$3</f>
        <v>36806.4</v>
      </c>
      <c r="H70" s="10" t="n">
        <f aca="false">(H34+H35)*H54*INDEX(Assumptions!$C$14:$E$14,$B$3)*$N$3</f>
        <v>42336</v>
      </c>
      <c r="I70" s="10" t="n">
        <f aca="false">(I34+I35)*I54*INDEX(Assumptions!$C$14:$E$14,$B$3)*$N$3</f>
        <v>56908.8</v>
      </c>
      <c r="J70" s="10" t="n">
        <f aca="false">(J34+J35)*J54*INDEX(Assumptions!$C$14:$E$14,$B$3)*$N$3</f>
        <v>54283.2956175299</v>
      </c>
      <c r="K70" s="10" t="n">
        <f aca="false">(K34+K35)*K54*INDEX(Assumptions!$C$14:$E$14,$B$3)*$N$3</f>
        <v>46049.8102337454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312605.665851275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1280</v>
      </c>
      <c r="D71" s="10" t="n">
        <f aca="false">D36*INDEX(Assumptions!$C$92:$E$92,$B$3)*$N$3</f>
        <v>1569.84</v>
      </c>
      <c r="E71" s="10" t="n">
        <f aca="false">E36*INDEX(Assumptions!$C$92:$E$92,$B$3)*$N$3</f>
        <v>2419.2</v>
      </c>
      <c r="F71" s="10" t="n">
        <f aca="false">F36*INDEX(Assumptions!$C$92:$E$92,$B$3)*$N$3</f>
        <v>3200</v>
      </c>
      <c r="G71" s="10" t="n">
        <f aca="false">G36*INDEX(Assumptions!$C$92:$E$92,$B$3)*$N$3</f>
        <v>4089.6</v>
      </c>
      <c r="H71" s="10" t="n">
        <f aca="false">H36*INDEX(Assumptions!$C$92:$E$92,$B$3)*$N$3</f>
        <v>4704</v>
      </c>
      <c r="I71" s="10" t="n">
        <f aca="false">I36*INDEX(Assumptions!$C$92:$E$92,$B$3)*$N$3</f>
        <v>6323.2</v>
      </c>
      <c r="J71" s="10" t="n">
        <f aca="false">J36*INDEX(Assumptions!$C$92:$E$92,$B$3)*$N$3</f>
        <v>6031.47729083665</v>
      </c>
      <c r="K71" s="10" t="n">
        <f aca="false">K36*INDEX(Assumptions!$C$92:$E$92,$B$3)*$N$3</f>
        <v>5116.64558152727</v>
      </c>
      <c r="L71" s="10" t="n">
        <f aca="false">L36*INDEX(Assumptions!$C$92:$E$92,$B$3)*$N$3</f>
        <v>6195.2</v>
      </c>
      <c r="M71" s="10" t="n">
        <f aca="false">M36*INDEX(Assumptions!$C$92:$E$92,$B$3)*$N$3</f>
        <v>6720</v>
      </c>
      <c r="N71" s="10" t="n">
        <f aca="false">N36*INDEX(Assumptions!$C$92:$E$92,$B$3)*$N$3</f>
        <v>6400</v>
      </c>
      <c r="O71" s="40" t="n">
        <f aca="false">SUM(C71:N71)</f>
        <v>54049.1628723639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2615.23452157599</v>
      </c>
      <c r="D72" s="10" t="n">
        <f aca="false">(D46*INDEX(Assumptions!$C$94:$E$94,$B$3)+D47*INDEX(Assumptions!$C$95:$E$95,$B$3)+D48*INDEX(Assumptions!$C$96:$E$96,$B$3))*$N$3</f>
        <v>4300.20168855535</v>
      </c>
      <c r="E72" s="10" t="n">
        <f aca="false">(E46*INDEX(Assumptions!$C$94:$E$94,$B$3)+E47*INDEX(Assumptions!$C$95:$E$95,$B$3)+E48*INDEX(Assumptions!$C$96:$E$96,$B$3))*$N$3</f>
        <v>9189.19324577861</v>
      </c>
      <c r="F72" s="10" t="n">
        <f aca="false">(F46*INDEX(Assumptions!$C$94:$E$94,$B$3)+F47*INDEX(Assumptions!$C$95:$E$95,$B$3)+F48*INDEX(Assumptions!$C$96:$E$96,$B$3))*$N$3</f>
        <v>12618.08630394</v>
      </c>
      <c r="G72" s="10" t="n">
        <f aca="false">(G46*INDEX(Assumptions!$C$94:$E$94,$B$3)+G47*INDEX(Assumptions!$C$95:$E$95,$B$3)+G48*INDEX(Assumptions!$C$96:$E$96,$B$3))*$N$3</f>
        <v>13678.8742964353</v>
      </c>
      <c r="H72" s="10" t="n">
        <f aca="false">(H46*INDEX(Assumptions!$C$94:$E$94,$B$3)+H47*INDEX(Assumptions!$C$95:$E$95,$B$3)+H48*INDEX(Assumptions!$C$96:$E$96,$B$3))*$N$3</f>
        <v>16098.9868667917</v>
      </c>
      <c r="I72" s="10" t="n">
        <f aca="false">(I46*INDEX(Assumptions!$C$94:$E$94,$B$3)+I47*INDEX(Assumptions!$C$95:$E$95,$B$3)+I48*INDEX(Assumptions!$C$96:$E$96,$B$3))*$N$3</f>
        <v>18813.6585365854</v>
      </c>
      <c r="J72" s="10" t="n">
        <f aca="false">(J46*INDEX(Assumptions!$C$94:$E$94,$B$3)+J47*INDEX(Assumptions!$C$95:$E$95,$B$3)+J48*INDEX(Assumptions!$C$96:$E$96,$B$3))*$N$3</f>
        <v>21124.9530956848</v>
      </c>
      <c r="K72" s="10" t="n">
        <f aca="false">(K46*INDEX(Assumptions!$C$94:$E$94,$B$3)+K47*INDEX(Assumptions!$C$95:$E$95,$B$3)+K48*INDEX(Assumptions!$C$96:$E$96,$B$3))*$N$3</f>
        <v>20982.3639774859</v>
      </c>
      <c r="L72" s="10" t="n">
        <f aca="false">(L46*INDEX(Assumptions!$C$94:$E$94,$B$3)+L47*INDEX(Assumptions!$C$95:$E$95,$B$3)+L48*INDEX(Assumptions!$C$96:$E$96,$B$3))*$N$3</f>
        <v>21976.1350844278</v>
      </c>
      <c r="M72" s="10" t="n">
        <f aca="false">(M46*INDEX(Assumptions!$C$94:$E$94,$B$3)+M47*INDEX(Assumptions!$C$95:$E$95,$B$3)+M48*INDEX(Assumptions!$C$96:$E$96,$B$3))*$N$3</f>
        <v>23569.9812382739</v>
      </c>
      <c r="N72" s="10" t="n">
        <f aca="false">(N46*INDEX(Assumptions!$C$94:$E$94,$B$3)+N47*INDEX(Assumptions!$C$95:$E$95,$B$3)+N48*INDEX(Assumptions!$C$96:$E$96,$B$3))*$N$3</f>
        <v>24916.1726078799</v>
      </c>
      <c r="O72" s="40" t="n">
        <f aca="false">SUM(C72:N72)</f>
        <v>189883.841463415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380.8</v>
      </c>
      <c r="F74" s="10" t="n">
        <f aca="false">F51*INDEX(Assumptions!$C$97:$E$97,$B$3)</f>
        <v>761.6</v>
      </c>
      <c r="G74" s="10" t="n">
        <f aca="false">G51*INDEX(Assumptions!$C$97:$E$97,$B$3)</f>
        <v>1142.4</v>
      </c>
      <c r="H74" s="10" t="n">
        <f aca="false">H51*INDEX(Assumptions!$C$97:$E$97,$B$3)</f>
        <v>1523.2</v>
      </c>
      <c r="I74" s="10" t="n">
        <f aca="false">I51*INDEX(Assumptions!$C$97:$E$97,$B$3)</f>
        <v>1904</v>
      </c>
      <c r="J74" s="10" t="n">
        <f aca="false">J51*INDEX(Assumptions!$C$97:$E$97,$B$3)</f>
        <v>2284.8</v>
      </c>
      <c r="K74" s="10" t="n">
        <f aca="false">K51*INDEX(Assumptions!$C$97:$E$97,$B$3)</f>
        <v>2284.8</v>
      </c>
      <c r="L74" s="10" t="n">
        <f aca="false">L51*INDEX(Assumptions!$C$97:$E$97,$B$3)</f>
        <v>2284.8</v>
      </c>
      <c r="M74" s="10" t="n">
        <f aca="false">M51*INDEX(Assumptions!$C$97:$E$97,$B$3)</f>
        <v>2284.8</v>
      </c>
      <c r="N74" s="10" t="n">
        <f aca="false">N51*INDEX(Assumptions!$C$97:$E$97,$B$3)</f>
        <v>2284.8</v>
      </c>
      <c r="O74" s="40" t="n">
        <f aca="false">SUM(C74:N74)</f>
        <v>17136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3257.39994296435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4412.85780354934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7297.57579920263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9741.14104141088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11806.3632337711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13663.849558394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17607.7679582439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17591.1102767776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15589.3397820762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24566.8615351162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26054.2473325629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21363.9536668218</v>
      </c>
      <c r="O75" s="40" t="n">
        <f aca="false">SUM(C75:N75)</f>
        <v>172952.467930891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960</v>
      </c>
      <c r="D76" s="10" t="n">
        <f aca="false">D38*INDEX(Assumptions!$C$240:$E$240,$B$3)*INDEX(Assumptions!$C$69:$E$69,$B$3)</f>
        <v>1177.38</v>
      </c>
      <c r="E76" s="10" t="n">
        <f aca="false">E38*INDEX(Assumptions!$C$240:$E$240,$B$3)*INDEX(Assumptions!$C$69:$E$69,$B$3)</f>
        <v>1814.4</v>
      </c>
      <c r="F76" s="10" t="n">
        <f aca="false">F38*INDEX(Assumptions!$C$240:$E$240,$B$3)*INDEX(Assumptions!$C$69:$E$69,$B$3)</f>
        <v>2400</v>
      </c>
      <c r="G76" s="10" t="n">
        <f aca="false">G38*INDEX(Assumptions!$C$240:$E$240,$B$3)*INDEX(Assumptions!$C$69:$E$69,$B$3)</f>
        <v>3067.2</v>
      </c>
      <c r="H76" s="10" t="n">
        <f aca="false">H38*INDEX(Assumptions!$C$240:$E$240,$B$3)*INDEX(Assumptions!$C$69:$E$69,$B$3)</f>
        <v>3528</v>
      </c>
      <c r="I76" s="10" t="n">
        <f aca="false">I38*INDEX(Assumptions!$C$240:$E$240,$B$3)*INDEX(Assumptions!$C$69:$E$69,$B$3)</f>
        <v>4742.4</v>
      </c>
      <c r="J76" s="10" t="n">
        <f aca="false">J38*INDEX(Assumptions!$C$240:$E$240,$B$3)*INDEX(Assumptions!$C$69:$E$69,$B$3)</f>
        <v>4523.60796812749</v>
      </c>
      <c r="K76" s="10" t="n">
        <f aca="false">K38*INDEX(Assumptions!$C$240:$E$240,$B$3)*INDEX(Assumptions!$C$69:$E$69,$B$3)</f>
        <v>3837.48418614545</v>
      </c>
      <c r="L76" s="10" t="n">
        <f aca="false">L38*INDEX(Assumptions!$C$240:$E$240,$B$3)*INDEX(Assumptions!$C$69:$E$69,$B$3)</f>
        <v>5749.44</v>
      </c>
      <c r="M76" s="10" t="n">
        <f aca="false">M38*INDEX(Assumptions!$C$240:$E$240,$B$3)*INDEX(Assumptions!$C$69:$E$69,$B$3)</f>
        <v>6084</v>
      </c>
      <c r="N76" s="10" t="n">
        <f aca="false">N38*INDEX(Assumptions!$C$240:$E$240,$B$3)*INDEX(Assumptions!$C$69:$E$69,$B$3)</f>
        <v>4800</v>
      </c>
      <c r="O76" s="40" t="n">
        <f aca="false">SUM(C76:N76)</f>
        <v>42683.9121542729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25392.6344645403</v>
      </c>
      <c r="D77" s="40" t="n">
        <f aca="false">SUM(D69:D76)</f>
        <v>33805.1194921047</v>
      </c>
      <c r="E77" s="40" t="n">
        <f aca="false">SUM(E69:E76)</f>
        <v>55173.2250449812</v>
      </c>
      <c r="F77" s="40" t="n">
        <f aca="false">SUM(F69:F76)</f>
        <v>74098.1073453508</v>
      </c>
      <c r="G77" s="40" t="n">
        <f aca="false">SUM(G69:G76)</f>
        <v>91874.0375302064</v>
      </c>
      <c r="H77" s="40" t="n">
        <f aca="false">SUM(H69:H76)</f>
        <v>106702.676425186</v>
      </c>
      <c r="I77" s="40" t="n">
        <f aca="false">SUM(I69:I76)</f>
        <v>138987.826494829</v>
      </c>
      <c r="J77" s="40" t="n">
        <f aca="false">SUM(J69:J76)</f>
        <v>138208.172376447</v>
      </c>
      <c r="K77" s="40" t="n">
        <f aca="false">SUM(K69:K76)</f>
        <v>121453.578888908</v>
      </c>
      <c r="L77" s="40" t="n">
        <f aca="false">SUM(L69:L76)</f>
        <v>140786.217642918</v>
      </c>
      <c r="M77" s="40" t="n">
        <f aca="false">SUM(M69:M76)</f>
        <v>147468.708570837</v>
      </c>
      <c r="N77" s="40" t="n">
        <f aca="false">SUM(N69:N76)</f>
        <v>124812.926274702</v>
      </c>
      <c r="O77" s="11" t="n">
        <f aca="false">SUM(C77:N77)</f>
        <v>1198763.23055101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69920.9224407288</v>
      </c>
      <c r="D78" s="40" t="n">
        <f aca="false">D66-D77</f>
        <v>97935.2535396472</v>
      </c>
      <c r="E78" s="40" t="n">
        <f aca="false">E66-E77</f>
        <v>169810.974794113</v>
      </c>
      <c r="F78" s="40" t="n">
        <f aca="false">F66-F77</f>
        <v>226473.841866975</v>
      </c>
      <c r="G78" s="40" t="n">
        <f aca="false">G66-G77</f>
        <v>264776.94695162</v>
      </c>
      <c r="H78" s="40" t="n">
        <f aca="false">H66-H77</f>
        <v>306164.782828797</v>
      </c>
      <c r="I78" s="40" t="n">
        <f aca="false">I66-I77</f>
        <v>385590.697159573</v>
      </c>
      <c r="J78" s="40" t="n">
        <f aca="false">J66-J77</f>
        <v>392930.497181118</v>
      </c>
      <c r="K78" s="40" t="n">
        <f aca="false">K66-K77</f>
        <v>357028.154256232</v>
      </c>
      <c r="L78" s="40" t="n">
        <f aca="false">L66-L77</f>
        <v>564372.81731234</v>
      </c>
      <c r="M78" s="40" t="n">
        <f aca="false">M66-M77</f>
        <v>602910.829249623</v>
      </c>
      <c r="N78" s="40" t="n">
        <f aca="false">N66-N77</f>
        <v>523144.262997407</v>
      </c>
      <c r="O78" s="11" t="n">
        <f aca="false">SUM(C78:N78)</f>
        <v>3961059.98057818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0.754768445586666</v>
      </c>
      <c r="F79" s="8" t="n">
        <f aca="false">IFERROR(F78/F66,0)</f>
        <v>0.753476305624889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0.735048576661907</v>
      </c>
      <c r="J79" s="8" t="n">
        <f aca="false">IFERROR(J78/J66,0)</f>
        <v>0.73978890956749</v>
      </c>
      <c r="K79" s="8" t="n">
        <f aca="false">IFERROR(K78/K66,0)</f>
        <v>0.746168828451248</v>
      </c>
      <c r="L79" s="8" t="n">
        <f aca="false">IFERROR(L78/L66,0)</f>
        <v>0.800348275120872</v>
      </c>
      <c r="M79" s="8" t="n">
        <f aca="false">IFERROR(M78/M66,0)</f>
        <v>0.803474507048564</v>
      </c>
      <c r="N79" s="8" t="n">
        <f aca="false">IFERROR(N78/N66,0)</f>
        <v>0.807374733483686</v>
      </c>
      <c r="O79" s="13" t="n">
        <f aca="false">IFERROR(O78/O66,0)</f>
        <v>0.767673584636503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-216912.077559271</v>
      </c>
      <c r="D103" s="40" t="n">
        <f aca="false">D78-D102</f>
        <v>-203897.746460353</v>
      </c>
      <c r="E103" s="40" t="n">
        <f aca="false">E78-E102</f>
        <v>-322022.025205887</v>
      </c>
      <c r="F103" s="40" t="n">
        <f aca="false">F78-F102</f>
        <v>-125359.158133025</v>
      </c>
      <c r="G103" s="40" t="n">
        <f aca="false">G78-G102</f>
        <v>-105056.05304838</v>
      </c>
      <c r="H103" s="40" t="n">
        <f aca="false">H78-H102</f>
        <v>-63668.2171712028</v>
      </c>
      <c r="I103" s="40" t="n">
        <f aca="false">I78-I102</f>
        <v>15757.6971595734</v>
      </c>
      <c r="J103" s="40" t="n">
        <f aca="false">J78-J102</f>
        <v>23097.497181118</v>
      </c>
      <c r="K103" s="40" t="n">
        <f aca="false">K78-K102</f>
        <v>-17804.845743768</v>
      </c>
      <c r="L103" s="40" t="n">
        <f aca="false">L78-L102</f>
        <v>16439.8173123404</v>
      </c>
      <c r="M103" s="40" t="n">
        <f aca="false">M78-M102</f>
        <v>34977.8292496231</v>
      </c>
      <c r="N103" s="40" t="n">
        <f aca="false">N78-N102</f>
        <v>-44788.7370025931</v>
      </c>
      <c r="O103" s="11" t="n">
        <f aca="false">SUM(C103:N103)</f>
        <v>-1009236.01942183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-2.27577361082912</v>
      </c>
      <c r="D104" s="8" t="n">
        <f aca="false">IFERROR(D103/D66,0)</f>
        <v>-1.54772407097413</v>
      </c>
      <c r="E104" s="8" t="n">
        <f aca="false">IFERROR(E103/E66,0)</f>
        <v>-1.43130951167323</v>
      </c>
      <c r="F104" s="8" t="n">
        <f aca="false">IFERROR(F103/F66,0)</f>
        <v>-0.41706872002374</v>
      </c>
      <c r="G104" s="8" t="n">
        <f aca="false">IFERROR(G103/G66,0)</f>
        <v>-0.294562632992628</v>
      </c>
      <c r="H104" s="8" t="n">
        <f aca="false">IFERROR(H103/H66,0)</f>
        <v>-0.154209821443051</v>
      </c>
      <c r="I104" s="8" t="n">
        <f aca="false">IFERROR(I103/I66,0)</f>
        <v>0.030038776749379</v>
      </c>
      <c r="J104" s="8" t="n">
        <f aca="false">IFERROR(J103/J66,0)</f>
        <v>0.0434867549756038</v>
      </c>
      <c r="K104" s="8" t="n">
        <f aca="false">IFERROR(K103/K66,0)</f>
        <v>-0.0372111295173879</v>
      </c>
      <c r="L104" s="8" t="n">
        <f aca="false">IFERROR(L103/L66,0)</f>
        <v>0.0233136306810328</v>
      </c>
      <c r="M104" s="8" t="n">
        <f aca="false">IFERROR(M103/M66,0)</f>
        <v>0.046613516876032</v>
      </c>
      <c r="N104" s="8" t="n">
        <f aca="false">IFERROR(N103/N66,0)</f>
        <v>-0.0691229879753432</v>
      </c>
      <c r="O104" s="8" t="n">
        <f aca="false">IFERROR(O103/O66,0)</f>
        <v>-0.195595077219896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-291912.077559271</v>
      </c>
      <c r="D105" s="10" t="n">
        <f aca="false">D103-INDEX(Assumptions!$C$204:$E$204,$B$3)</f>
        <v>-278897.746460353</v>
      </c>
      <c r="E105" s="10" t="n">
        <f aca="false">E103-INDEX(Assumptions!$C$204:$E$204,$B$3)</f>
        <v>-397022.025205887</v>
      </c>
      <c r="F105" s="10" t="n">
        <f aca="false">F103-INDEX(Assumptions!$C$204:$E$204,$B$3)</f>
        <v>-200359.158133025</v>
      </c>
      <c r="G105" s="10" t="n">
        <f aca="false">G103-INDEX(Assumptions!$C$204:$E$204,$B$3)</f>
        <v>-180056.05304838</v>
      </c>
      <c r="H105" s="10" t="n">
        <f aca="false">H103-INDEX(Assumptions!$C$204:$E$204,$B$3)</f>
        <v>-138668.217171203</v>
      </c>
      <c r="I105" s="10" t="n">
        <f aca="false">I103-INDEX(Assumptions!$C$204:$E$204,$B$3)</f>
        <v>-59242.3028404266</v>
      </c>
      <c r="J105" s="10" t="n">
        <f aca="false">J103-INDEX(Assumptions!$C$204:$E$204,$B$3)</f>
        <v>-51902.502818882</v>
      </c>
      <c r="K105" s="10" t="n">
        <f aca="false">K103-INDEX(Assumptions!$C$204:$E$204,$B$3)</f>
        <v>-92804.845743768</v>
      </c>
      <c r="L105" s="10" t="n">
        <f aca="false">L103-INDEX(Assumptions!$C$204:$E$204,$B$3)</f>
        <v>-58560.1826876596</v>
      </c>
      <c r="M105" s="10" t="n">
        <f aca="false">M103-INDEX(Assumptions!$C$204:$E$204,$B$3)</f>
        <v>-40022.1707503769</v>
      </c>
      <c r="N105" s="10" t="n">
        <f aca="false">N103-INDEX(Assumptions!$C$204:$E$204,$B$3)</f>
        <v>-119788.737002593</v>
      </c>
      <c r="O105" s="40" t="n">
        <f aca="false">SUM(C105:N105)</f>
        <v>-1909236.01942182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-35227.1186440678</v>
      </c>
      <c r="D113" s="10" t="n">
        <f aca="false">((D67+IF(INDEX(Assumptions!$C$87:$E$87,$B$3)&gt;=2,C67,0)+IF(INDEX(Assumptions!$C$87:$E$87,$B$3)&gt;=3,0,0))/INDEX(Assumptions!$C$87:$E$87,$B$3))-D67</f>
        <v>-9611.99491525423</v>
      </c>
      <c r="E113" s="10" t="n">
        <f aca="false">((E67+IF(INDEX(Assumptions!$C$87:$E$87,$B$3)&gt;=2,D67,0)+IF(INDEX(Assumptions!$C$87:$E$87,$B$3)&gt;=3,C67,0))/INDEX(Assumptions!$C$87:$E$87,$B$3))-E67</f>
        <v>-23745.6777966102</v>
      </c>
      <c r="F113" s="10" t="n">
        <f aca="false">((F67+IF(INDEX(Assumptions!$C$87:$E$87,$B$3)&gt;=2,E67,0)+IF(INDEX(Assumptions!$C$87:$E$87,$B$3)&gt;=3,D67,0))/INDEX(Assumptions!$C$87:$E$87,$B$3))-F67</f>
        <v>-22573.6357627119</v>
      </c>
      <c r="G113" s="10" t="n">
        <f aca="false">((G67+IF(INDEX(Assumptions!$C$87:$E$87,$B$3)&gt;=2,F67,0)+IF(INDEX(Assumptions!$C$87:$E$87,$B$3)&gt;=3,E67,0))/INDEX(Assumptions!$C$87:$E$87,$B$3))-G67</f>
        <v>-25480.3525423729</v>
      </c>
      <c r="H113" s="10" t="n">
        <f aca="false">((H67+IF(INDEX(Assumptions!$C$87:$E$87,$B$3)&gt;=2,G67,0)+IF(INDEX(Assumptions!$C$87:$E$87,$B$3)&gt;=3,F67,0))/INDEX(Assumptions!$C$87:$E$87,$B$3))-H67</f>
        <v>-18045.5186440678</v>
      </c>
      <c r="I113" s="10" t="n">
        <f aca="false">((I67+IF(INDEX(Assumptions!$C$87:$E$87,$B$3)&gt;=2,H67,0)+IF(INDEX(Assumptions!$C$87:$E$87,$B$3)&gt;=3,G67,0))/INDEX(Assumptions!$C$87:$E$87,$B$3))-I67</f>
        <v>-45347.2271186441</v>
      </c>
      <c r="J113" s="10" t="n">
        <f aca="false">((J67+IF(INDEX(Assumptions!$C$87:$E$87,$B$3)&gt;=2,I67,0)+IF(INDEX(Assumptions!$C$87:$E$87,$B$3)&gt;=3,H67,0))/INDEX(Assumptions!$C$87:$E$87,$B$3))-J67</f>
        <v>6618.03427645355</v>
      </c>
      <c r="K113" s="10" t="n">
        <f aca="false">((K67+IF(INDEX(Assumptions!$C$87:$E$87,$B$3)&gt;=2,J67,0)+IF(INDEX(Assumptions!$C$87:$E$87,$B$3)&gt;=3,I67,0))/INDEX(Assumptions!$C$87:$E$87,$B$3))-K67</f>
        <v>26112.7703603127</v>
      </c>
      <c r="L113" s="10" t="n">
        <f aca="false">((L67+IF(INDEX(Assumptions!$C$87:$E$87,$B$3)&gt;=2,K67,0)+IF(INDEX(Assumptions!$C$87:$E$87,$B$3)&gt;=3,J67,0))/INDEX(Assumptions!$C$87:$E$87,$B$3))-L67</f>
        <v>-96960.962268051</v>
      </c>
      <c r="M113" s="10" t="n">
        <f aca="false">((M67+IF(INDEX(Assumptions!$C$87:$E$87,$B$3)&gt;=2,L67,0)+IF(INDEX(Assumptions!$C$87:$E$87,$B$3)&gt;=3,K67,0))/INDEX(Assumptions!$C$87:$E$87,$B$3))-M67</f>
        <v>-14610.2355890542</v>
      </c>
      <c r="N113" s="10" t="n">
        <f aca="false">((N67+IF(INDEX(Assumptions!$C$87:$E$87,$B$3)&gt;=2,M67,0)+IF(INDEX(Assumptions!$C$87:$E$87,$B$3)&gt;=3,L67,0))/INDEX(Assumptions!$C$87:$E$87,$B$3))-N67</f>
        <v>57744.4610169492</v>
      </c>
      <c r="O113" s="40" t="n">
        <f aca="false">SUM(C113:N113)</f>
        <v>-201127.457627119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-402139.196203339</v>
      </c>
      <c r="D114" s="40" t="n">
        <f aca="false">D103+D113-D112</f>
        <v>-213509.741375607</v>
      </c>
      <c r="E114" s="40" t="n">
        <f aca="false">E103+E113-E112</f>
        <v>-445767.703002497</v>
      </c>
      <c r="F114" s="40" t="n">
        <f aca="false">F103+F113-F112</f>
        <v>-147932.793895737</v>
      </c>
      <c r="G114" s="40" t="n">
        <f aca="false">G103+G113-G112</f>
        <v>-130536.405590753</v>
      </c>
      <c r="H114" s="40" t="n">
        <f aca="false">H103+H113-H112</f>
        <v>-81713.7358152706</v>
      </c>
      <c r="I114" s="40" t="n">
        <f aca="false">I103+I113-I112</f>
        <v>-29589.5299590707</v>
      </c>
      <c r="J114" s="40" t="n">
        <f aca="false">J103+J113-J112</f>
        <v>29715.5314575715</v>
      </c>
      <c r="K114" s="40" t="n">
        <f aca="false">K103+K113-K112</f>
        <v>-1463692.07538346</v>
      </c>
      <c r="L114" s="40" t="n">
        <f aca="false">L103+L113-L112</f>
        <v>-80521.1449557106</v>
      </c>
      <c r="M114" s="40" t="n">
        <f aca="false">M103+M113-M112</f>
        <v>20367.5936605689</v>
      </c>
      <c r="N114" s="40" t="n">
        <f aca="false">N103+N113-N112</f>
        <v>12955.724014356</v>
      </c>
      <c r="O114" s="11" t="n">
        <f aca="false">SUM(C114:N114)</f>
        <v>-2932363.47704894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-402139.196203339</v>
      </c>
      <c r="D115" s="40" t="n">
        <f aca="false">C115+D114</f>
        <v>-615648.937578946</v>
      </c>
      <c r="E115" s="40" t="n">
        <f aca="false">D115+E114</f>
        <v>-1061416.64058144</v>
      </c>
      <c r="F115" s="40" t="n">
        <f aca="false">E115+F114</f>
        <v>-1209349.43447718</v>
      </c>
      <c r="G115" s="40" t="n">
        <f aca="false">F115+G114</f>
        <v>-1339885.84006793</v>
      </c>
      <c r="H115" s="40" t="n">
        <f aca="false">G115+H114</f>
        <v>-1421599.5758832</v>
      </c>
      <c r="I115" s="40" t="n">
        <f aca="false">H115+I114</f>
        <v>-1451189.10584227</v>
      </c>
      <c r="J115" s="40" t="n">
        <f aca="false">I115+J114</f>
        <v>-1421473.5743847</v>
      </c>
      <c r="K115" s="40" t="n">
        <f aca="false">J115+K114</f>
        <v>-2885165.64976816</v>
      </c>
      <c r="L115" s="40" t="n">
        <f aca="false">K115+L114</f>
        <v>-2965686.79472387</v>
      </c>
      <c r="M115" s="40" t="n">
        <f aca="false">L115+M114</f>
        <v>-2945319.2010633</v>
      </c>
      <c r="N115" s="40" t="n">
        <f aca="false">M115+N114</f>
        <v>-2932363.47704894</v>
      </c>
      <c r="O115" s="11" t="n">
        <f aca="false">N115</f>
        <v>-2932363.47704894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402139.196203339</v>
      </c>
      <c r="D116" s="40" t="n">
        <f aca="false">-MIN(0,MIN($C$115:D115))</f>
        <v>615648.937578946</v>
      </c>
      <c r="E116" s="40" t="n">
        <f aca="false">-MIN(0,MIN($C$115:E115))</f>
        <v>1061416.64058144</v>
      </c>
      <c r="F116" s="40" t="n">
        <f aca="false">-MIN(0,MIN($C$115:F115))</f>
        <v>1209349.43447718</v>
      </c>
      <c r="G116" s="40" t="n">
        <f aca="false">-MIN(0,MIN($C$115:G115))</f>
        <v>1339885.84006793</v>
      </c>
      <c r="H116" s="40" t="n">
        <f aca="false">-MIN(0,MIN($C$115:H115))</f>
        <v>1421599.5758832</v>
      </c>
      <c r="I116" s="40" t="n">
        <f aca="false">-MIN(0,MIN($C$115:I115))</f>
        <v>1451189.10584227</v>
      </c>
      <c r="J116" s="40" t="n">
        <f aca="false">-MIN(0,MIN($C$115:J115))</f>
        <v>1451189.10584227</v>
      </c>
      <c r="K116" s="40" t="n">
        <f aca="false">-MIN(0,MIN($C$115:K115))</f>
        <v>2885165.64976816</v>
      </c>
      <c r="L116" s="40" t="n">
        <f aca="false">-MIN(0,MIN($C$115:L115))</f>
        <v>2965686.79472387</v>
      </c>
      <c r="M116" s="40" t="n">
        <f aca="false">-MIN(0,MIN($C$115:M115))</f>
        <v>2965686.79472387</v>
      </c>
      <c r="N116" s="40" t="n">
        <f aca="false">-MIN(0,MIN($C$115:N115))</f>
        <v>2965686.79472387</v>
      </c>
      <c r="O116" s="11" t="n">
        <f aca="false">MAX(C116:N116)</f>
        <v>2965686.79472387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0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2.5343676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4.6077684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5.0795328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6.6406272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7.40915261568679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6.04210707541955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6.30826795535912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2.5343676</v>
      </c>
      <c r="D129" s="8" t="n">
        <f aca="false">C129/INDEX(Assumptions!$C$179:$E$179,$B$3)</f>
        <v>0.2111973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4.6077684</v>
      </c>
      <c r="D130" s="8" t="n">
        <f aca="false">C130/INDEX(Assumptions!$C$179:$E$179,$B$3)</f>
        <v>0.3839807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5.0795328</v>
      </c>
      <c r="D131" s="8" t="n">
        <f aca="false">C131/INDEX(Assumptions!$C$179:$E$179,$B$3)</f>
        <v>0.4232944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6.6406272</v>
      </c>
      <c r="D132" s="8" t="n">
        <f aca="false">C132/INDEX(Assumptions!$C$179:$E$179,$B$3)</f>
        <v>0.5533856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7.40915261568679</v>
      </c>
      <c r="D133" s="8" t="n">
        <f aca="false">C133/INDEX(Assumptions!$C$179:$E$179,$B$3)</f>
        <v>0.617429384640566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6.04210707541955</v>
      </c>
      <c r="D134" s="8" t="n">
        <f aca="false">C134/INDEX(Assumptions!$C$179:$E$179,$B$3)</f>
        <v>0.503508922951629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6.30826795535912</v>
      </c>
      <c r="D135" s="8" t="n">
        <f aca="false">C135/INDEX(Assumptions!$C$179:$E$179,$B$3)</f>
        <v>0.525688996279927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2.5343676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4.6077684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6.9845952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9.76657510756972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8.42024938353661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8.44111435535913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2.5343676</v>
      </c>
      <c r="D143" s="8" t="n">
        <f aca="false">C143/INDEX(Assumptions!$C$179:$E$179,$B$3)</f>
        <v>0.2111973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4.6077684</v>
      </c>
      <c r="D144" s="8" t="n">
        <f aca="false">C144/INDEX(Assumptions!$C$179:$E$179,$B$3)</f>
        <v>0.3839807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6.9845952</v>
      </c>
      <c r="D145" s="8" t="n">
        <f aca="false">C145/INDEX(Assumptions!$C$179:$E$179,$B$3)</f>
        <v>0.5820496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9.76657510756972</v>
      </c>
      <c r="D146" s="8" t="n">
        <f aca="false">C146/INDEX(Assumptions!$C$179:$E$179,$B$3)</f>
        <v>0.813881258964143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8.42024938353661</v>
      </c>
      <c r="D147" s="8" t="n">
        <f aca="false">C147/INDEX(Assumptions!$C$179:$E$179,$B$3)</f>
        <v>0.701687448628051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8.44111435535913</v>
      </c>
      <c r="D148" s="8" t="n">
        <f aca="false">C148/INDEX(Assumptions!$C$179:$E$179,$B$3)</f>
        <v>0.703426196279927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5159823.21112919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-1009236.01942183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-0.195595077219896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-1909236.01942182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2965686.79472387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34313.2052761316</v>
      </c>
    </row>
    <row r="160" customFormat="false" ht="15" hidden="false" customHeight="false" outlineLevel="0" collapsed="false">
      <c r="A160" s="3" t="s">
        <v>51</v>
      </c>
      <c r="B160" s="7" t="n">
        <f aca="false">O38</f>
        <v>71.1398535904549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8.26025893174248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122.4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0.733985894574303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186702.72774317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9.06499899232115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108.779987907854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13191.9299230203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0.233497159637459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0.572640421080537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20.3095094433751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6628.90955937037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-2932363.47704894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1451189.10584227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2659179.91215427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2209.63651979012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0.2111973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0.3839807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0.459783614838875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6.30826795535912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2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2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0.699206102530731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24.4088622270576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14583.3333333333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7.2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1690427.90955937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1580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1.2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9722.22222222222</v>
      </c>
      <c r="D19" s="10" t="n">
        <f aca="false">INDEX(Assumptions!$C$115:$E$115,$B$3)*INDEX(Assumptions!$C$120:$E$120,$B$3)*$L$3/$F$3</f>
        <v>9722.22222222222</v>
      </c>
      <c r="E19" s="10" t="n">
        <f aca="false">INDEX(Assumptions!$C$115:$E$115,$B$3)*INDEX(Assumptions!$C$120:$E$120,$B$3)*$L$3/$F$3</f>
        <v>9722.22222222222</v>
      </c>
      <c r="F19" s="10" t="n">
        <f aca="false">INDEX(Assumptions!$C$115:$E$115,$B$3)*INDEX(Assumptions!$C$120:$E$120,$B$3)*$L$3/$F$3</f>
        <v>9722.22222222222</v>
      </c>
      <c r="G19" s="10" t="n">
        <f aca="false">INDEX(Assumptions!$C$115:$E$115,$B$3)*INDEX(Assumptions!$C$120:$E$120,$B$3)*$L$3/$F$3</f>
        <v>9722.22222222222</v>
      </c>
      <c r="H19" s="10" t="n">
        <f aca="false">INDEX(Assumptions!$C$115:$E$115,$B$3)*INDEX(Assumptions!$C$120:$E$120,$B$3)*$L$3/$F$3</f>
        <v>9722.22222222222</v>
      </c>
      <c r="I19" s="10" t="n">
        <f aca="false">INDEX(Assumptions!$C$115:$E$115,$B$3)*INDEX(Assumptions!$C$120:$E$120,$B$3)*$L$3/$F$3</f>
        <v>9722.22222222222</v>
      </c>
      <c r="J19" s="10" t="n">
        <f aca="false">INDEX(Assumptions!$C$115:$E$115,$B$3)*INDEX(Assumptions!$C$120:$E$120,$B$3)*$L$3/$F$3</f>
        <v>9722.22222222222</v>
      </c>
      <c r="K19" s="10" t="n">
        <f aca="false">INDEX(Assumptions!$C$115:$E$115,$B$3)*INDEX(Assumptions!$C$120:$E$120,$B$3)*$L$3/$F$3</f>
        <v>9722.22222222222</v>
      </c>
      <c r="L19" s="10" t="n">
        <f aca="false">INDEX(Assumptions!$C$115:$E$115,$B$3)*INDEX(Assumptions!$C$120:$E$120,$B$3)*$L$3/$F$3</f>
        <v>9722.22222222222</v>
      </c>
      <c r="M19" s="10" t="n">
        <f aca="false">INDEX(Assumptions!$C$115:$E$115,$B$3)*INDEX(Assumptions!$C$120:$E$120,$B$3)*$L$3/$F$3</f>
        <v>9722.22222222222</v>
      </c>
      <c r="N19" s="10" t="n">
        <f aca="false">INDEX(Assumptions!$C$115:$E$115,$B$3)*INDEX(Assumptions!$C$120:$E$120,$B$3)*$L$3/$F$3</f>
        <v>9722.22222222222</v>
      </c>
      <c r="O19" s="40" t="n">
        <f aca="false">AVERAGE(C19:N19)</f>
        <v>9722.22222222222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1.08</v>
      </c>
      <c r="D21" s="16" t="n">
        <f aca="false">D18*INDEX(Assumptions!$C$119:$E$119,$B$3)/D19</f>
        <v>1.08</v>
      </c>
      <c r="E21" s="16" t="n">
        <f aca="false">E18*INDEX(Assumptions!$C$119:$E$119,$B$3)/E19</f>
        <v>2.88</v>
      </c>
      <c r="F21" s="16" t="n">
        <f aca="false">F18*INDEX(Assumptions!$C$119:$E$119,$B$3)/F19</f>
        <v>3.6</v>
      </c>
      <c r="G21" s="16" t="n">
        <f aca="false">G18*INDEX(Assumptions!$C$119:$E$119,$B$3)/G19</f>
        <v>4.32</v>
      </c>
      <c r="H21" s="16" t="n">
        <f aca="false">H18*INDEX(Assumptions!$C$119:$E$119,$B$3)/H19</f>
        <v>4.32</v>
      </c>
      <c r="I21" s="16" t="n">
        <f aca="false">I18*INDEX(Assumptions!$C$119:$E$119,$B$3)/I19</f>
        <v>4.32</v>
      </c>
      <c r="J21" s="16" t="n">
        <f aca="false">J18*INDEX(Assumptions!$C$119:$E$119,$B$3)/J19</f>
        <v>4.32</v>
      </c>
      <c r="K21" s="16" t="n">
        <f aca="false">K18*INDEX(Assumptions!$C$119:$E$119,$B$3)/K19</f>
        <v>4.32</v>
      </c>
      <c r="L21" s="16" t="n">
        <f aca="false">L18*INDEX(Assumptions!$C$119:$E$119,$B$3)/L19</f>
        <v>5.76</v>
      </c>
      <c r="M21" s="16" t="n">
        <f aca="false">M18*INDEX(Assumptions!$C$119:$E$119,$B$3)/M19</f>
        <v>7.2</v>
      </c>
      <c r="N21" s="16" t="n">
        <f aca="false">N18*INDEX(Assumptions!$C$119:$E$119,$B$3)/N19</f>
        <v>7.2</v>
      </c>
      <c r="O21" s="38" t="n">
        <f aca="false">SUM(C21:N21)</f>
        <v>50.4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2.4</v>
      </c>
      <c r="D24" s="38" t="n">
        <f aca="false">D10*(D14*$F$3+(D15-D14)*$F$3*D20+MIN(D16,D21*D20))*D22*D23</f>
        <v>2.94345</v>
      </c>
      <c r="E24" s="38" t="n">
        <f aca="false">E10*(E14*$F$3+(E15-E14)*$F$3*E20+MIN(E16,E21*E20))*E22*E23</f>
        <v>3.92</v>
      </c>
      <c r="F24" s="38" t="n">
        <f aca="false">F10*(F14*$F$3+(F15-F14)*$F$3*F20+MIN(F16,F21*F20))*F22*F23</f>
        <v>5.52</v>
      </c>
      <c r="G24" s="38" t="n">
        <f aca="false">G10*(G14*$F$3+(G15-G14)*$F$3*G20+MIN(G16,G21*G20))*G22*G23</f>
        <v>7.38</v>
      </c>
      <c r="H24" s="38" t="n">
        <f aca="false">H10*(H14*$F$3+(H15-H14)*$F$3*H20+MIN(H16,H21*H20))*H22*H23</f>
        <v>8.82</v>
      </c>
      <c r="I24" s="38" t="n">
        <f aca="false">I10*(I14*$F$3+(I15-I14)*$F$3*I20+MIN(I16,I21*I20))*I22*I23</f>
        <v>11.856</v>
      </c>
      <c r="J24" s="38" t="n">
        <f aca="false">J10*(J14*$F$3+(J15-J14)*$F$3*J20+MIN(J16,J21*J20))*J22*J23</f>
        <v>12.312</v>
      </c>
      <c r="K24" s="38" t="n">
        <f aca="false">K10*(K14*$F$3+(K15-K14)*$F$3*K20+MIN(K16,K21*K20))*K22*K23</f>
        <v>11.4</v>
      </c>
      <c r="L24" s="38" t="n">
        <f aca="false">L10*(L14*$F$3+(L15-L14)*$F$3*L20+MIN(L16,L21*L20))*L22*L23</f>
        <v>11.616</v>
      </c>
      <c r="M24" s="38" t="n">
        <f aca="false">M10*(M14*$F$3+(M15-M14)*$F$3*M20+MIN(M16,M21*M20))*M22*M23</f>
        <v>11.34</v>
      </c>
      <c r="N24" s="38" t="n">
        <f aca="false">N10*(N14*$F$3+(N15-N14)*$F$3*N20+MIN(N16,N21*N20))*N22*N23</f>
        <v>10.8</v>
      </c>
      <c r="O24" s="17" t="n">
        <f aca="false">SUM(C24:N24)</f>
        <v>100.30745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1.62</v>
      </c>
      <c r="O30" s="38" t="n">
        <f aca="false">SUM(C30:N30)</f>
        <v>7.62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1.44</v>
      </c>
      <c r="E31" s="6" t="n">
        <f aca="false">D34+C34+D37+C37+1.25*D35</f>
        <v>3.49407</v>
      </c>
      <c r="F31" s="6" t="n">
        <f aca="false">E34+D34+E37+D37+1.25*E35</f>
        <v>4.759284</v>
      </c>
      <c r="G31" s="6" t="n">
        <f aca="false">F34+E34+F37+E37+1.25*F35</f>
        <v>6.487614</v>
      </c>
      <c r="H31" s="6" t="n">
        <f aca="false">G34+F34+G37+F37+1.25*G35</f>
        <v>8.8728</v>
      </c>
      <c r="I31" s="6" t="n">
        <f aca="false">H34+G34+H37+G37+1.25*H35</f>
        <v>10.8998492581602</v>
      </c>
      <c r="J31" s="6" t="n">
        <f aca="false">I34+H34+I37+H37+1.25*I35</f>
        <v>10.2895001818884</v>
      </c>
      <c r="K31" s="6" t="n">
        <f aca="false">J34+I34+J37+I37+1.25*J35</f>
        <v>9.29143769488305</v>
      </c>
      <c r="L31" s="6" t="n">
        <f aca="false">K34+J34+K37+J37+1.25*K35</f>
        <v>10.2834449768846</v>
      </c>
      <c r="M31" s="6" t="n">
        <f aca="false">L34+K34+L37+K37+1.25*L35</f>
        <v>15.4202094355459</v>
      </c>
      <c r="N31" s="6" t="n">
        <f aca="false">M34+L34+M37+L37+1.25*M35</f>
        <v>14.2247919429308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2.4</v>
      </c>
      <c r="D32" s="6" t="n">
        <f aca="false">D24*(INDEX(Assumptions!$C$26:$E$26,$B$3)*(1-D28)+(1-INDEX(Assumptions!$C$26:$E$26,$B$3)))+1.25*D30+C36*INDEX(Assumptions!$C$89:$E$89,$B$3)</f>
        <v>3.23145</v>
      </c>
      <c r="E32" s="6" t="n">
        <f aca="false">E24*(INDEX(Assumptions!$C$26:$E$26,$B$3)*(1-E28)+(1-INDEX(Assumptions!$C$26:$E$26,$B$3)))+1.25*E30+D36*INDEX(Assumptions!$C$89:$E$89,$B$3)</f>
        <v>4.273214</v>
      </c>
      <c r="F32" s="6" t="n">
        <f aca="false">F24*(INDEX(Assumptions!$C$26:$E$26,$B$3)*(1-F28)+(1-INDEX(Assumptions!$C$26:$E$26,$B$3)))+1.25*F30+E36*INDEX(Assumptions!$C$89:$E$89,$B$3)</f>
        <v>5.9904</v>
      </c>
      <c r="G32" s="6" t="n">
        <f aca="false">G24*(INDEX(Assumptions!$C$26:$E$26,$B$3)*(1-G28)+(1-INDEX(Assumptions!$C$26:$E$26,$B$3)))+1.25*G30+F36*INDEX(Assumptions!$C$89:$E$89,$B$3)</f>
        <v>8.0424</v>
      </c>
      <c r="H32" s="6" t="n">
        <f aca="false">H24*(INDEX(Assumptions!$C$26:$E$26,$B$3)*(1-H28)+(1-INDEX(Assumptions!$C$26:$E$26,$B$3)))+1.25*H30+G36*INDEX(Assumptions!$C$89:$E$89,$B$3)</f>
        <v>9.7056</v>
      </c>
      <c r="I32" s="6" t="n">
        <f aca="false">I24*(INDEX(Assumptions!$C$26:$E$26,$B$3)*(1-I28)+(1-INDEX(Assumptions!$C$26:$E$26,$B$3)))+1.25*I30+H36*INDEX(Assumptions!$C$89:$E$89,$B$3)</f>
        <v>12.8513252225519</v>
      </c>
      <c r="J32" s="6" t="n">
        <f aca="false">J24*(INDEX(Assumptions!$C$26:$E$26,$B$3)*(1-J28)+(1-INDEX(Assumptions!$C$26:$E$26,$B$3)))+1.25*J30+I36*INDEX(Assumptions!$C$89:$E$89,$B$3)</f>
        <v>13.0980299454335</v>
      </c>
      <c r="K32" s="6" t="n">
        <f aca="false">K24*(INDEX(Assumptions!$C$26:$E$26,$B$3)*(1-K28)+(1-INDEX(Assumptions!$C$26:$E$26,$B$3)))+1.25*K30+J36*INDEX(Assumptions!$C$89:$E$89,$B$3)</f>
        <v>12.269733914087</v>
      </c>
      <c r="L32" s="6" t="n">
        <f aca="false">L24*(INDEX(Assumptions!$C$26:$E$26,$B$3)*(1-L28)+(1-INDEX(Assumptions!$C$26:$E$26,$B$3)))+1.25*L30+K36*INDEX(Assumptions!$C$89:$E$89,$B$3)</f>
        <v>14.5945512298162</v>
      </c>
      <c r="M32" s="6" t="n">
        <f aca="false">M24*(INDEX(Assumptions!$C$26:$E$26,$B$3)*(1-M28)+(1-INDEX(Assumptions!$C$26:$E$26,$B$3)))+1.25*M30+L36*INDEX(Assumptions!$C$89:$E$89,$B$3)</f>
        <v>14.78292</v>
      </c>
      <c r="N32" s="6" t="n">
        <f aca="false">N24*(INDEX(Assumptions!$C$26:$E$26,$B$3)*(1-N28)+(1-INDEX(Assumptions!$C$26:$E$26,$B$3)))+1.25*N30+M36*INDEX(Assumptions!$C$89:$E$89,$B$3)</f>
        <v>12.2709449554019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0.940405539070228</v>
      </c>
      <c r="I33" s="8" t="n">
        <f aca="false">IF(I32&lt;=0,1,MAX(0,MIN(1,(I27-I31)/I32)))</f>
        <v>0.552483936005307</v>
      </c>
      <c r="J33" s="8" t="n">
        <f aca="false">IF(J32&lt;=0,1,MAX(0,MIN(1,(J27-J31)/J32)))</f>
        <v>0.588676300957746</v>
      </c>
      <c r="K33" s="8" t="n">
        <f aca="false">IF(K32&lt;=0,1,MAX(0,MIN(1,(K27-K31)/K32)))</f>
        <v>0.709759670918255</v>
      </c>
      <c r="L33" s="8" t="n">
        <f aca="false">IF(L32&lt;=0,1,MAX(0,MIN(1,(L27-L31)/L32)))</f>
        <v>1</v>
      </c>
      <c r="M33" s="8" t="n">
        <f aca="false">IF(M32&lt;=0,1,MAX(0,MIN(1,(M27-M31)/M32)))</f>
        <v>0.783322277632167</v>
      </c>
      <c r="N33" s="8" t="n">
        <f aca="false">IF(N32&lt;=0,1,MAX(0,MIN(1,(N27-N31)/N32)))</f>
        <v>1</v>
      </c>
      <c r="O33" s="8" t="n">
        <f aca="false">MIN(C33:N33)</f>
        <v>0.552483936005307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1.44</v>
      </c>
      <c r="D34" s="38" t="n">
        <f aca="false">D24*INDEX(Assumptions!$C$26:$E$26,$B$3)*(1-D28)*D33</f>
        <v>1.76607</v>
      </c>
      <c r="E34" s="38" t="n">
        <f aca="false">E24*INDEX(Assumptions!$C$26:$E$26,$B$3)*(1-E28)*E33</f>
        <v>2.352</v>
      </c>
      <c r="F34" s="38" t="n">
        <f aca="false">F24*INDEX(Assumptions!$C$26:$E$26,$B$3)*(1-F28)*F33</f>
        <v>3.312</v>
      </c>
      <c r="G34" s="38" t="n">
        <f aca="false">G24*INDEX(Assumptions!$C$26:$E$26,$B$3)*(1-G28)*G33</f>
        <v>4.428</v>
      </c>
      <c r="H34" s="38" t="n">
        <f aca="false">H24*INDEX(Assumptions!$C$26:$E$26,$B$3)*(1-H28)*H33</f>
        <v>4.97662611275964</v>
      </c>
      <c r="I34" s="38" t="n">
        <f aca="false">I24*INDEX(Assumptions!$C$26:$E$26,$B$3)*(1-I28)*I33</f>
        <v>3.93014972716735</v>
      </c>
      <c r="J34" s="38" t="n">
        <f aca="false">J24*INDEX(Assumptions!$C$26:$E$26,$B$3)*(1-J28)*J33</f>
        <v>4.34866957043506</v>
      </c>
      <c r="K34" s="38" t="n">
        <f aca="false">K24*INDEX(Assumptions!$C$26:$E$26,$B$3)*(1-K28)*K33</f>
        <v>4.85475614908086</v>
      </c>
      <c r="L34" s="38" t="n">
        <f aca="false">L24*INDEX(Assumptions!$C$26:$E$26,$B$3)*(1-L28)*L33</f>
        <v>5.2272</v>
      </c>
      <c r="M34" s="38" t="n">
        <f aca="false">M24*INDEX(Assumptions!$C$26:$E$26,$B$3)*(1-M28)*M33</f>
        <v>3.99729358275695</v>
      </c>
      <c r="N34" s="38" t="n">
        <f aca="false">N24*INDEX(Assumptions!$C$26:$E$26,$B$3)*(1-N28)*N33</f>
        <v>4.86</v>
      </c>
      <c r="O34" s="17" t="n">
        <f aca="false">SUM(C34:N34)</f>
        <v>45.4927651421999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2.3499668328965</v>
      </c>
      <c r="N35" s="16" t="n">
        <f aca="false">N30*N33</f>
        <v>1.62</v>
      </c>
      <c r="O35" s="38" t="n">
        <f aca="false">SUM(C35:N35)</f>
        <v>6.9699668328965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0.96</v>
      </c>
      <c r="D36" s="16" t="n">
        <f aca="false">D24*(1-INDEX(Assumptions!$C$26:$E$26,$B$3))*D33</f>
        <v>1.17738</v>
      </c>
      <c r="E36" s="16" t="n">
        <f aca="false">E24*(1-INDEX(Assumptions!$C$26:$E$26,$B$3))*E33</f>
        <v>1.568</v>
      </c>
      <c r="F36" s="16" t="n">
        <f aca="false">F24*(1-INDEX(Assumptions!$C$26:$E$26,$B$3))*F33</f>
        <v>2.208</v>
      </c>
      <c r="G36" s="16" t="n">
        <f aca="false">G24*(1-INDEX(Assumptions!$C$26:$E$26,$B$3))*G33</f>
        <v>2.952</v>
      </c>
      <c r="H36" s="16" t="n">
        <f aca="false">H24*(1-INDEX(Assumptions!$C$26:$E$26,$B$3))*H33</f>
        <v>3.31775074183976</v>
      </c>
      <c r="I36" s="16" t="n">
        <f aca="false">I24*(1-INDEX(Assumptions!$C$26:$E$26,$B$3))*I33</f>
        <v>2.62009981811157</v>
      </c>
      <c r="J36" s="16" t="n">
        <f aca="false">J24*(1-INDEX(Assumptions!$C$26:$E$26,$B$3))*J33</f>
        <v>2.89911304695671</v>
      </c>
      <c r="K36" s="16" t="n">
        <f aca="false">K24*(1-INDEX(Assumptions!$C$26:$E$26,$B$3))*K33</f>
        <v>3.23650409938724</v>
      </c>
      <c r="L36" s="16" t="n">
        <f aca="false">L24*(1-INDEX(Assumptions!$C$26:$E$26,$B$3))*L33</f>
        <v>4.6464</v>
      </c>
      <c r="M36" s="16" t="n">
        <f aca="false">M24*(1-INDEX(Assumptions!$C$26:$E$26,$B$3))*M33</f>
        <v>3.55314985133951</v>
      </c>
      <c r="N36" s="16" t="n">
        <f aca="false">N24*(1-INDEX(Assumptions!$C$26:$E$26,$B$3))*N33</f>
        <v>4.32</v>
      </c>
      <c r="O36" s="38" t="n">
        <f aca="false">SUM(C36:N36)</f>
        <v>33.4583975576348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0.288</v>
      </c>
      <c r="E37" s="16" t="n">
        <f aca="false">D36*INDEX(Assumptions!$C$89:$E$89,$B$3)*E33</f>
        <v>0.353214</v>
      </c>
      <c r="F37" s="16" t="n">
        <f aca="false">E36*INDEX(Assumptions!$C$89:$E$89,$B$3)*F33</f>
        <v>0.4704</v>
      </c>
      <c r="G37" s="16" t="n">
        <f aca="false">F36*INDEX(Assumptions!$C$89:$E$89,$B$3)*G33</f>
        <v>0.6624</v>
      </c>
      <c r="H37" s="16" t="n">
        <f aca="false">G36*INDEX(Assumptions!$C$89:$E$89,$B$3)*H33</f>
        <v>0.832823145400593</v>
      </c>
      <c r="I37" s="16" t="n">
        <f aca="false">H36*INDEX(Assumptions!$C$89:$E$89,$B$3)*I33</f>
        <v>0.549901196560848</v>
      </c>
      <c r="J37" s="16" t="n">
        <f aca="false">I36*INDEX(Assumptions!$C$89:$E$89,$B$3)*J33</f>
        <v>0.462717200719794</v>
      </c>
      <c r="K37" s="16" t="n">
        <f aca="false">J36*INDEX(Assumptions!$C$89:$E$89,$B$3)*K33</f>
        <v>0.617302056648844</v>
      </c>
      <c r="L37" s="16" t="n">
        <f aca="false">K36*INDEX(Assumptions!$C$89:$E$89,$B$3)*L33</f>
        <v>0.970951229816172</v>
      </c>
      <c r="M37" s="16" t="n">
        <f aca="false">L36*INDEX(Assumptions!$C$89:$E$89,$B$3)*M33</f>
        <v>1.09188858923703</v>
      </c>
      <c r="N37" s="16" t="n">
        <f aca="false">M36*INDEX(Assumptions!$C$89:$E$89,$B$3)*N33</f>
        <v>1.06594495540185</v>
      </c>
      <c r="O37" s="38" t="n">
        <f aca="false">SUM(C37:N37)</f>
        <v>7.36554237378514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2.4</v>
      </c>
      <c r="D38" s="38" t="n">
        <f aca="false">D34+D35+D36</f>
        <v>2.94345</v>
      </c>
      <c r="E38" s="38" t="n">
        <f aca="false">E34+E35+E36</f>
        <v>3.92</v>
      </c>
      <c r="F38" s="38" t="n">
        <f aca="false">F34+F35+F36</f>
        <v>5.52</v>
      </c>
      <c r="G38" s="38" t="n">
        <f aca="false">G34+G35+G36</f>
        <v>7.38</v>
      </c>
      <c r="H38" s="38" t="n">
        <f aca="false">H34+H35+H36</f>
        <v>8.29437685459941</v>
      </c>
      <c r="I38" s="38" t="n">
        <f aca="false">I34+I35+I36</f>
        <v>6.55024954527892</v>
      </c>
      <c r="J38" s="38" t="n">
        <f aca="false">J34+J35+J36</f>
        <v>7.24778261739177</v>
      </c>
      <c r="K38" s="38" t="n">
        <f aca="false">K34+K35+K36</f>
        <v>8.0912602484681</v>
      </c>
      <c r="L38" s="38" t="n">
        <f aca="false">L34+L35+L36</f>
        <v>12.8736</v>
      </c>
      <c r="M38" s="38" t="n">
        <f aca="false">M34+M35+M36</f>
        <v>9.90041026699297</v>
      </c>
      <c r="N38" s="38" t="n">
        <f aca="false">N34+N35+N36</f>
        <v>10.8</v>
      </c>
      <c r="O38" s="17" t="n">
        <f aca="false">SUM(C38:N38)</f>
        <v>85.9211295327312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2.4</v>
      </c>
      <c r="D39" s="16" t="n">
        <f aca="false">IF(2&lt;IF($Q$3=1,$Q$4+1,INDEX(Assumptions!$C$215:$E$215,$D$3)),D24,D38)</f>
        <v>2.94345</v>
      </c>
      <c r="E39" s="16" t="n">
        <f aca="false">IF(3&lt;IF($Q$3=1,$Q$4+1,INDEX(Assumptions!$C$215:$E$215,$D$3)),E24,E38)</f>
        <v>3.92</v>
      </c>
      <c r="F39" s="16" t="n">
        <f aca="false">IF(4&lt;IF($Q$3=1,$Q$4+1,INDEX(Assumptions!$C$215:$E$215,$D$3)),F24,F38)</f>
        <v>5.52</v>
      </c>
      <c r="G39" s="16" t="n">
        <f aca="false">IF(5&lt;IF($Q$3=1,$Q$4+1,INDEX(Assumptions!$C$215:$E$215,$D$3)),G24,G38)</f>
        <v>7.38</v>
      </c>
      <c r="H39" s="16" t="n">
        <f aca="false">IF(6&lt;IF($Q$3=1,$Q$4+1,INDEX(Assumptions!$C$215:$E$215,$D$3)),H24,H38)</f>
        <v>8.82</v>
      </c>
      <c r="I39" s="16" t="n">
        <f aca="false">IF(7&lt;IF($Q$3=1,$Q$4+1,INDEX(Assumptions!$C$215:$E$215,$D$3)),I24,I38)</f>
        <v>11.856</v>
      </c>
      <c r="J39" s="16" t="n">
        <f aca="false">IF(8&lt;IF($Q$3=1,$Q$4+1,INDEX(Assumptions!$C$215:$E$215,$D$3)),J24,J38)</f>
        <v>12.312</v>
      </c>
      <c r="K39" s="16" t="n">
        <f aca="false">IF(9&lt;IF($Q$3=1,$Q$4+1,INDEX(Assumptions!$C$215:$E$215,$D$3)),K24,K38)</f>
        <v>11.4</v>
      </c>
      <c r="L39" s="16" t="n">
        <f aca="false">IF(10&lt;IF($Q$3=1,$Q$4+1,INDEX(Assumptions!$C$215:$E$215,$D$3)),L24,L38)</f>
        <v>12.8736</v>
      </c>
      <c r="M39" s="16" t="n">
        <f aca="false">IF(11&lt;IF($Q$3=1,$Q$4+1,INDEX(Assumptions!$C$215:$E$215,$D$3)),M24,M38)</f>
        <v>9.90041026699297</v>
      </c>
      <c r="N39" s="16" t="n">
        <f aca="false">IF(12&lt;IF($Q$3=1,$Q$4+1,INDEX(Assumptions!$C$215:$E$215,$D$3)),N24,N38)</f>
        <v>10.8</v>
      </c>
      <c r="O39" s="38" t="n">
        <f aca="false">SUM(C39:N39)</f>
        <v>100.125460266993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0.6</v>
      </c>
      <c r="D40" s="16" t="n">
        <f aca="false">D38*INDEX(Assumptions!$C$74:$E$74,$B$3)</f>
        <v>0.7358625</v>
      </c>
      <c r="E40" s="16" t="n">
        <f aca="false">E38*INDEX(Assumptions!$C$74:$E$74,$B$3)</f>
        <v>0.98</v>
      </c>
      <c r="F40" s="16" t="n">
        <f aca="false">F38*INDEX(Assumptions!$C$74:$E$74,$B$3)</f>
        <v>1.38</v>
      </c>
      <c r="G40" s="16" t="n">
        <f aca="false">G38*INDEX(Assumptions!$C$74:$E$74,$B$3)</f>
        <v>1.845</v>
      </c>
      <c r="H40" s="16" t="n">
        <f aca="false">H38*INDEX(Assumptions!$C$74:$E$74,$B$3)</f>
        <v>2.07359421364985</v>
      </c>
      <c r="I40" s="16" t="n">
        <f aca="false">I38*INDEX(Assumptions!$C$74:$E$74,$B$3)</f>
        <v>1.63756238631973</v>
      </c>
      <c r="J40" s="16" t="n">
        <f aca="false">J38*INDEX(Assumptions!$C$74:$E$74,$B$3)</f>
        <v>1.81194565434794</v>
      </c>
      <c r="K40" s="16" t="n">
        <f aca="false">K38*INDEX(Assumptions!$C$74:$E$74,$B$3)</f>
        <v>2.02281506211703</v>
      </c>
      <c r="L40" s="16" t="n">
        <f aca="false">L38*INDEX(Assumptions!$C$74:$E$74,$B$3)</f>
        <v>3.2184</v>
      </c>
      <c r="M40" s="16" t="n">
        <f aca="false">M38*INDEX(Assumptions!$C$74:$E$74,$B$3)</f>
        <v>2.47510256674824</v>
      </c>
      <c r="N40" s="16" t="n">
        <f aca="false">N38*INDEX(Assumptions!$C$74:$E$74,$B$3)</f>
        <v>2.7</v>
      </c>
      <c r="O40" s="38" t="n">
        <f aca="false">SUM(C40:N40)</f>
        <v>21.4802823831828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0.5427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3.6</v>
      </c>
      <c r="H41" s="16" t="n">
        <f aca="false">H10*MIN(H16,H21*H20)*H22*H23*H33</f>
        <v>4.06255192878338</v>
      </c>
      <c r="I41" s="16" t="n">
        <f aca="false">I10*MIN(I16,I21*I20)*I22*I23*I33</f>
        <v>3.1027497846058</v>
      </c>
      <c r="J41" s="16" t="n">
        <f aca="false">J10*MIN(J16,J21*J20)*J22*J23*J33</f>
        <v>3.43316018718558</v>
      </c>
      <c r="K41" s="16" t="n">
        <f aca="false">K10*MIN(K16,K21*K20)*K22*K23*K33</f>
        <v>3.83270222295858</v>
      </c>
      <c r="L41" s="16" t="n">
        <f aca="false">L10*MIN(L16,L21*L20)*L22*L23*L33</f>
        <v>6.336</v>
      </c>
      <c r="M41" s="16" t="n">
        <f aca="false">M10*MIN(M16,M21*M20)*M22*M23*M33</f>
        <v>4.93493034908266</v>
      </c>
      <c r="N41" s="16" t="n">
        <f aca="false">N10*MIN(N16,N21*N20)*N22*N23*N33</f>
        <v>6</v>
      </c>
      <c r="O41" s="38" t="n">
        <f aca="false">SUM(C41:N41)</f>
        <v>39.644794472616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2.4</v>
      </c>
      <c r="D42" s="6" t="n">
        <f aca="false">D31+D34+D37+D36+1.25*D35</f>
        <v>4.67145</v>
      </c>
      <c r="E42" s="6" t="n">
        <f aca="false">E31+E34+E37+E36+1.25*E35</f>
        <v>7.767284</v>
      </c>
      <c r="F42" s="6" t="n">
        <f aca="false">F31+F34+F37+F36+1.25*F35</f>
        <v>10.749684</v>
      </c>
      <c r="G42" s="6" t="n">
        <f aca="false">G31+G34+G37+G36+1.25*G35</f>
        <v>14.530014</v>
      </c>
      <c r="H42" s="6" t="n">
        <f aca="false">H31+H34+H37+H36+1.25*H35</f>
        <v>18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24.8779962067007</v>
      </c>
      <c r="M42" s="6" t="n">
        <f aca="false">M31+M34+M37+M36+1.25*M35</f>
        <v>27</v>
      </c>
      <c r="N42" s="6" t="n">
        <f aca="false">N31+N34+N37+N36+1.25*N35</f>
        <v>26.4957368983326</v>
      </c>
      <c r="O42" s="41" t="n">
        <f aca="false">AVERAGE(C42:N42)</f>
        <v>15.8743470920861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0.15</v>
      </c>
      <c r="D43" s="39" t="n">
        <f aca="false">D42/(D25*D26)</f>
        <v>0.291965625</v>
      </c>
      <c r="E43" s="39" t="n">
        <f aca="false">E42/(E25*E26)</f>
        <v>0.48545525</v>
      </c>
      <c r="F43" s="39" t="n">
        <f aca="false">F42/(F25*F26)</f>
        <v>0.67185525</v>
      </c>
      <c r="G43" s="39" t="n">
        <f aca="false">G42/(G25*G26)</f>
        <v>0.7265007</v>
      </c>
      <c r="H43" s="39" t="n">
        <f aca="false">H42/(H25*H26)</f>
        <v>0.9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0.829266540223358</v>
      </c>
      <c r="M43" s="39" t="n">
        <f aca="false">M42/(M25*M26)</f>
        <v>0.9</v>
      </c>
      <c r="N43" s="39" t="n">
        <f aca="false">N42/(N25*N26)</f>
        <v>0.883191229944421</v>
      </c>
      <c r="O43" s="9" t="n">
        <f aca="false">N43</f>
        <v>0.883191229944421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5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4.08</v>
      </c>
      <c r="F46" s="6" t="n">
        <f aca="false">IF(4&gt;=3,INDEX(Assumptions!$C$234:$E$234,F$9)*INDEX(Assumptions!$C$235:$E$235,$B$3)*MIN(1,(4-2)/6),0)*$F$3*F22*$W$3</f>
        <v>8.16</v>
      </c>
      <c r="G46" s="6" t="n">
        <f aca="false">IF(5&gt;=3,INDEX(Assumptions!$C$234:$E$234,G$9)*INDEX(Assumptions!$C$235:$E$235,$B$3)*MIN(1,(5-2)/6),0)*$F$3*G22*$W$3</f>
        <v>12.24</v>
      </c>
      <c r="H46" s="6" t="n">
        <f aca="false">IF(6&gt;=3,INDEX(Assumptions!$C$234:$E$234,H$9)*INDEX(Assumptions!$C$235:$E$235,$B$3)*MIN(1,(6-2)/6),0)*$F$3*H22*$W$3</f>
        <v>16.32</v>
      </c>
      <c r="I46" s="6" t="n">
        <f aca="false">IF(7&gt;=3,INDEX(Assumptions!$C$234:$E$234,I$9)*INDEX(Assumptions!$C$235:$E$235,$B$3)*MIN(1,(7-2)/6),0)*$F$3*I22*$W$3</f>
        <v>20.4</v>
      </c>
      <c r="J46" s="6" t="n">
        <f aca="false">IF(8&gt;=3,INDEX(Assumptions!$C$234:$E$234,J$9)*INDEX(Assumptions!$C$235:$E$235,$B$3)*MIN(1,(8-2)/6),0)*$F$3*J22*$W$3</f>
        <v>24.48</v>
      </c>
      <c r="K46" s="6" t="n">
        <f aca="false">IF(9&gt;=3,INDEX(Assumptions!$C$234:$E$234,K$9)*INDEX(Assumptions!$C$235:$E$235,$B$3)*MIN(1,(9-2)/6),0)*$F$3*K22*$W$3</f>
        <v>24.48</v>
      </c>
      <c r="L46" s="6" t="n">
        <f aca="false">IF(10&gt;=3,INDEX(Assumptions!$C$234:$E$234,L$9)*INDEX(Assumptions!$C$235:$E$235,$B$3)*MIN(1,(10-2)/6),0)*$F$3*L22*$W$3</f>
        <v>24.48</v>
      </c>
      <c r="M46" s="6" t="n">
        <f aca="false">IF(11&gt;=3,INDEX(Assumptions!$C$234:$E$234,M$9)*INDEX(Assumptions!$C$235:$E$235,$B$3)*MIN(1,(11-2)/6),0)*$F$3*M22*$W$3</f>
        <v>24.48</v>
      </c>
      <c r="N46" s="6" t="n">
        <f aca="false">IF(12&gt;=3,INDEX(Assumptions!$C$234:$E$234,N$9)*INDEX(Assumptions!$C$235:$E$235,$B$3)*MIN(1,(12-2)/6),0)*$F$3*N22*$W$3</f>
        <v>24.48</v>
      </c>
      <c r="O46" s="41" t="n">
        <f aca="false">SUM(C46:N46)</f>
        <v>183.6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8.4</v>
      </c>
      <c r="D47" s="6" t="n">
        <f aca="false">INDEX(Assumptions!$C$236:$E$236,D$9)*D11*MIN(1,2/3)*$F$3*D22</f>
        <v>14.4</v>
      </c>
      <c r="E47" s="6" t="n">
        <f aca="false">INDEX(Assumptions!$C$236:$E$236,E$9)*E11*MIN(1,3/3)*$F$3*E22</f>
        <v>21.6</v>
      </c>
      <c r="F47" s="6" t="n">
        <f aca="false">INDEX(Assumptions!$C$236:$E$236,F$9)*F11*MIN(1,4/3)*$F$3*F22</f>
        <v>23.4</v>
      </c>
      <c r="G47" s="6" t="n">
        <f aca="false">INDEX(Assumptions!$C$236:$E$236,G$9)*G11*MIN(1,5/3)*$F$3*G22</f>
        <v>16.2</v>
      </c>
      <c r="H47" s="6" t="n">
        <f aca="false">INDEX(Assumptions!$C$236:$E$236,H$9)*H11*MIN(1,6/3)*$F$3*H22</f>
        <v>14.4</v>
      </c>
      <c r="I47" s="6" t="n">
        <f aca="false">INDEX(Assumptions!$C$236:$E$236,I$9)*I11*MIN(1,7/3)*$F$3*I22</f>
        <v>12.6</v>
      </c>
      <c r="J47" s="6" t="n">
        <f aca="false">INDEX(Assumptions!$C$236:$E$236,J$9)*J11*MIN(1,8/3)*$F$3*J22</f>
        <v>10.8</v>
      </c>
      <c r="K47" s="6" t="n">
        <f aca="false">INDEX(Assumptions!$C$236:$E$236,K$9)*K11*MIN(1,9/3)*$F$3*K22</f>
        <v>10.8</v>
      </c>
      <c r="L47" s="6" t="n">
        <f aca="false">INDEX(Assumptions!$C$236:$E$236,L$9)*L11*MIN(1,10/3)*$F$3*L22</f>
        <v>14.4</v>
      </c>
      <c r="M47" s="6" t="n">
        <f aca="false">INDEX(Assumptions!$C$236:$E$236,M$9)*M11*MIN(1,11/3)*$F$3*M22</f>
        <v>19.8</v>
      </c>
      <c r="N47" s="6" t="n">
        <f aca="false">INDEX(Assumptions!$C$236:$E$236,N$9)*N11*MIN(1,12/3)*$F$3*N22</f>
        <v>25.2</v>
      </c>
      <c r="O47" s="41" t="n">
        <f aca="false">SUM(C47:N47)</f>
        <v>192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2.25140712945591</v>
      </c>
      <c r="D48" s="6" t="n">
        <f aca="false">D24*INDEX(Assumptions!$C$31:$E$31,$B$3)/(INDEX(Assumptions!$C$56:$E$56,$B$3)*INDEX(Assumptions!$C$57:$E$57,$B$3)*INDEX(Assumptions!$C$58:$E$58,$B$3))</f>
        <v>2.76121013133208</v>
      </c>
      <c r="E48" s="6" t="n">
        <f aca="false">E24*INDEX(Assumptions!$C$31:$E$31,$B$3)/(INDEX(Assumptions!$C$56:$E$56,$B$3)*INDEX(Assumptions!$C$57:$E$57,$B$3)*INDEX(Assumptions!$C$58:$E$58,$B$3))</f>
        <v>3.67729831144465</v>
      </c>
      <c r="F48" s="6" t="n">
        <f aca="false">F24*INDEX(Assumptions!$C$31:$E$31,$B$3)/(INDEX(Assumptions!$C$56:$E$56,$B$3)*INDEX(Assumptions!$C$57:$E$57,$B$3)*INDEX(Assumptions!$C$58:$E$58,$B$3))</f>
        <v>5.17823639774859</v>
      </c>
      <c r="G48" s="6" t="n">
        <f aca="false">G24*INDEX(Assumptions!$C$31:$E$31,$B$3)/(INDEX(Assumptions!$C$56:$E$56,$B$3)*INDEX(Assumptions!$C$57:$E$57,$B$3)*INDEX(Assumptions!$C$58:$E$58,$B$3))</f>
        <v>6.92307692307692</v>
      </c>
      <c r="H48" s="6" t="n">
        <f aca="false">H24*INDEX(Assumptions!$C$31:$E$31,$B$3)/(INDEX(Assumptions!$C$56:$E$56,$B$3)*INDEX(Assumptions!$C$57:$E$57,$B$3)*INDEX(Assumptions!$C$58:$E$58,$B$3))</f>
        <v>8.27392120075047</v>
      </c>
      <c r="I48" s="6" t="n">
        <f aca="false">I24*INDEX(Assumptions!$C$31:$E$31,$B$3)/(INDEX(Assumptions!$C$56:$E$56,$B$3)*INDEX(Assumptions!$C$57:$E$57,$B$3)*INDEX(Assumptions!$C$58:$E$58,$B$3))</f>
        <v>11.1219512195122</v>
      </c>
      <c r="J48" s="6" t="n">
        <f aca="false">J24*INDEX(Assumptions!$C$31:$E$31,$B$3)/(INDEX(Assumptions!$C$56:$E$56,$B$3)*INDEX(Assumptions!$C$57:$E$57,$B$3)*INDEX(Assumptions!$C$58:$E$58,$B$3))</f>
        <v>11.5497185741088</v>
      </c>
      <c r="K48" s="6" t="n">
        <f aca="false">K24*INDEX(Assumptions!$C$31:$E$31,$B$3)/(INDEX(Assumptions!$C$56:$E$56,$B$3)*INDEX(Assumptions!$C$57:$E$57,$B$3)*INDEX(Assumptions!$C$58:$E$58,$B$3))</f>
        <v>10.6941838649156</v>
      </c>
      <c r="L48" s="6" t="n">
        <f aca="false">L24*INDEX(Assumptions!$C$31:$E$31,$B$3)/(INDEX(Assumptions!$C$56:$E$56,$B$3)*INDEX(Assumptions!$C$57:$E$57,$B$3)*INDEX(Assumptions!$C$58:$E$58,$B$3))</f>
        <v>10.8968105065666</v>
      </c>
      <c r="M48" s="6" t="n">
        <f aca="false">M24*INDEX(Assumptions!$C$31:$E$31,$B$3)/(INDEX(Assumptions!$C$56:$E$56,$B$3)*INDEX(Assumptions!$C$57:$E$57,$B$3)*INDEX(Assumptions!$C$58:$E$58,$B$3))</f>
        <v>10.6378986866792</v>
      </c>
      <c r="N48" s="6" t="n">
        <f aca="false">N24*INDEX(Assumptions!$C$31:$E$31,$B$3)/(INDEX(Assumptions!$C$56:$E$56,$B$3)*INDEX(Assumptions!$C$57:$E$57,$B$3)*INDEX(Assumptions!$C$58:$E$58,$B$3))</f>
        <v>10.1313320825516</v>
      </c>
      <c r="O48" s="41" t="n">
        <f aca="false">SUM(C48:N48)</f>
        <v>94.0970450281426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19.2</v>
      </c>
      <c r="M50" s="6" t="n">
        <f aca="false">M49*INDEX(Assumptions!$C$82:$E$82,$B$3)*$F$3*M22</f>
        <v>19.2</v>
      </c>
      <c r="N50" s="6" t="n">
        <f aca="false">N49*INDEX(Assumptions!$C$82:$E$82,$B$3)*$F$3*N22</f>
        <v>19.2</v>
      </c>
      <c r="O50" s="41" t="n">
        <f aca="false">SUM(C50:N50)</f>
        <v>57.6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0.2856</v>
      </c>
      <c r="F51" s="16" t="n">
        <f aca="false">F46*0.7*INDEX(Assumptions!$C$73:$E$73,$B$3)</f>
        <v>0.5712</v>
      </c>
      <c r="G51" s="16" t="n">
        <f aca="false">G46*0.7*INDEX(Assumptions!$C$73:$E$73,$B$3)</f>
        <v>0.8568</v>
      </c>
      <c r="H51" s="16" t="n">
        <f aca="false">H46*0.7*INDEX(Assumptions!$C$73:$E$73,$B$3)</f>
        <v>1.1424</v>
      </c>
      <c r="I51" s="16" t="n">
        <f aca="false">I46*0.7*INDEX(Assumptions!$C$73:$E$73,$B$3)</f>
        <v>1.428</v>
      </c>
      <c r="J51" s="16" t="n">
        <f aca="false">J46*0.7*INDEX(Assumptions!$C$73:$E$73,$B$3)</f>
        <v>1.7136</v>
      </c>
      <c r="K51" s="16" t="n">
        <f aca="false">K46*0.7*INDEX(Assumptions!$C$73:$E$73,$B$3)</f>
        <v>1.7136</v>
      </c>
      <c r="L51" s="16" t="n">
        <f aca="false">L46*0.7*INDEX(Assumptions!$C$73:$E$73,$B$3)</f>
        <v>1.7136</v>
      </c>
      <c r="M51" s="16" t="n">
        <f aca="false">M46*0.7*INDEX(Assumptions!$C$73:$E$73,$B$3)</f>
        <v>1.7136</v>
      </c>
      <c r="N51" s="16" t="n">
        <f aca="false">N46*0.7*INDEX(Assumptions!$C$73:$E$73,$B$3)</f>
        <v>1.7136</v>
      </c>
      <c r="O51" s="38" t="n">
        <f aca="false">SUM(C51:N51)</f>
        <v>12.852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73220.3389830509</v>
      </c>
      <c r="D56" s="10" t="n">
        <f aca="false">D34*D53/(1+INDEX(Assumptions!$C$15:$E$15,$B$3)*$H$4)</f>
        <v>89800.1694915254</v>
      </c>
      <c r="E56" s="10" t="n">
        <f aca="false">E34*E53/(1+INDEX(Assumptions!$C$15:$E$15,$B$3)*$H$4)</f>
        <v>119593.220338983</v>
      </c>
      <c r="F56" s="10" t="n">
        <f aca="false">F34*F53/(1+INDEX(Assumptions!$C$15:$E$15,$B$3)*$H$4)</f>
        <v>168406.779661017</v>
      </c>
      <c r="G56" s="10" t="n">
        <f aca="false">G34*G53/(1+INDEX(Assumptions!$C$15:$E$15,$B$3)*$H$4)</f>
        <v>225152.542372881</v>
      </c>
      <c r="H56" s="10" t="n">
        <f aca="false">H34*H53/(1+INDEX(Assumptions!$C$15:$E$15,$B$3)*$H$4)</f>
        <v>253048.785394558</v>
      </c>
      <c r="I56" s="10" t="n">
        <f aca="false">I34*I53/(1+INDEX(Assumptions!$C$15:$E$15,$B$3)*$H$4)</f>
        <v>199838.121720374</v>
      </c>
      <c r="J56" s="10" t="n">
        <f aca="false">J34*J53/(1+INDEX(Assumptions!$C$15:$E$15,$B$3)*$H$4)</f>
        <v>221118.791717037</v>
      </c>
      <c r="K56" s="10" t="n">
        <f aca="false">K34*K53/(1+INDEX(Assumptions!$C$15:$E$15,$B$3)*$H$4)</f>
        <v>246852.007580383</v>
      </c>
      <c r="L56" s="10" t="n">
        <f aca="false">L34*L53/(1+INDEX(Assumptions!$C$15:$E$15,$B$3)*$H$4)</f>
        <v>295322.033898305</v>
      </c>
      <c r="M56" s="10" t="n">
        <f aca="false">M34*M53/(1+INDEX(Assumptions!$C$15:$E$15,$B$3)*$H$4)</f>
        <v>225835.795635986</v>
      </c>
      <c r="N56" s="10" t="n">
        <f aca="false">N34*N53/(1+INDEX(Assumptions!$C$15:$E$15,$B$3)*$H$4)</f>
        <v>274576.271186441</v>
      </c>
      <c r="O56" s="40" t="n">
        <f aca="false">SUM(C56:N56)</f>
        <v>2392764.85798054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132766.487734266</v>
      </c>
      <c r="N57" s="10" t="n">
        <f aca="false">N35*N53/(1+INDEX(Assumptions!$C$15:$E$15,$B$3)*$H$4)</f>
        <v>91525.4237288136</v>
      </c>
      <c r="O57" s="40" t="n">
        <f aca="false">SUM(C57:N57)</f>
        <v>393783.436886808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4905.76271186441</v>
      </c>
      <c r="E58" s="10" t="n">
        <f aca="false">E37*MAX(0,E53-INDEX(Assumptions!$C$18:$E$18,$B$3)*$H$3)/(1+INDEX(Assumptions!$C$15:$E$15,$B$3)*$H$4)</f>
        <v>6016.6113559322</v>
      </c>
      <c r="F58" s="10" t="n">
        <f aca="false">F37*MAX(0,F53-INDEX(Assumptions!$C$18:$E$18,$B$3)*$H$3)/(1+INDEX(Assumptions!$C$15:$E$15,$B$3)*$H$4)</f>
        <v>8012.74576271186</v>
      </c>
      <c r="G58" s="10" t="n">
        <f aca="false">G37*MAX(0,G53-INDEX(Assumptions!$C$18:$E$18,$B$3)*$H$3)/(1+INDEX(Assumptions!$C$15:$E$15,$B$3)*$H$4)</f>
        <v>11283.2542372881</v>
      </c>
      <c r="H58" s="10" t="n">
        <f aca="false">H37*MAX(0,H53-INDEX(Assumptions!$C$18:$E$18,$B$3)*$H$3)/(1+INDEX(Assumptions!$C$15:$E$15,$B$3)*$H$4)</f>
        <v>14186.2247648745</v>
      </c>
      <c r="I58" s="10" t="n">
        <f aca="false">I37*MAX(0,I53-INDEX(Assumptions!$C$18:$E$18,$B$3)*$H$3)/(1+INDEX(Assumptions!$C$15:$E$15,$B$3)*$H$4)</f>
        <v>9366.96106006189</v>
      </c>
      <c r="J58" s="10" t="n">
        <f aca="false">J37*MAX(0,J53-INDEX(Assumptions!$C$18:$E$18,$B$3)*$H$3)/(1+INDEX(Assumptions!$C$15:$E$15,$B$3)*$H$4)</f>
        <v>7881.87774107446</v>
      </c>
      <c r="K58" s="10" t="n">
        <f aca="false">K37*MAX(0,K53-INDEX(Assumptions!$C$18:$E$18,$B$3)*$H$3)/(1+INDEX(Assumptions!$C$15:$E$15,$B$3)*$H$4)</f>
        <v>10515.0604564761</v>
      </c>
      <c r="L58" s="10" t="n">
        <f aca="false">L37*MAX(0,L53-INDEX(Assumptions!$C$18:$E$18,$B$3)*$H$3)/(1+INDEX(Assumptions!$C$15:$E$15,$B$3)*$H$4)</f>
        <v>22024.6846763386</v>
      </c>
      <c r="M58" s="10" t="n">
        <f aca="false">M37*MAX(0,M53-INDEX(Assumptions!$C$18:$E$18,$B$3)*$H$3)/(1+INDEX(Assumptions!$C$15:$E$15,$B$3)*$H$4)</f>
        <v>24767.9812756309</v>
      </c>
      <c r="N58" s="10" t="n">
        <f aca="false">N37*MAX(0,N53-INDEX(Assumptions!$C$18:$E$18,$B$3)*$H$3)/(1+INDEX(Assumptions!$C$15:$E$15,$B$3)*$H$4)</f>
        <v>24179.4858527596</v>
      </c>
      <c r="O58" s="40" t="n">
        <f aca="false">SUM(C58:N58)</f>
        <v>143140.649895013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32461.0169491526</v>
      </c>
      <c r="D59" s="10" t="n">
        <f aca="false">D36*INDEX(Assumptions!$C$18:$E$18,$B$3)*$H$3/(1+INDEX(Assumptions!$C$15:$E$15,$B$3)*$H$4)</f>
        <v>39811.4084745763</v>
      </c>
      <c r="E59" s="10" t="n">
        <f aca="false">E36*INDEX(Assumptions!$C$18:$E$18,$B$3)*$H$3/(1+INDEX(Assumptions!$C$15:$E$15,$B$3)*$H$4)</f>
        <v>53019.6610169492</v>
      </c>
      <c r="F59" s="10" t="n">
        <f aca="false">F36*INDEX(Assumptions!$C$18:$E$18,$B$3)*$H$3/(1+INDEX(Assumptions!$C$15:$E$15,$B$3)*$H$4)</f>
        <v>74660.3389830509</v>
      </c>
      <c r="G59" s="10" t="n">
        <f aca="false">G36*INDEX(Assumptions!$C$18:$E$18,$B$3)*$H$3/(1+INDEX(Assumptions!$C$15:$E$15,$B$3)*$H$4)</f>
        <v>99817.6271186441</v>
      </c>
      <c r="H59" s="10" t="n">
        <f aca="false">H36*INDEX(Assumptions!$C$18:$E$18,$B$3)*$H$3/(1+INDEX(Assumptions!$C$15:$E$15,$B$3)*$H$4)</f>
        <v>112184.961524921</v>
      </c>
      <c r="I59" s="10" t="n">
        <f aca="false">I36*INDEX(Assumptions!$C$18:$E$18,$B$3)*$H$3/(1+INDEX(Assumptions!$C$15:$E$15,$B$3)*$H$4)</f>
        <v>88594.9006293657</v>
      </c>
      <c r="J59" s="10" t="n">
        <f aca="false">J36*INDEX(Assumptions!$C$18:$E$18,$B$3)*$H$3/(1+INDEX(Assumptions!$C$15:$E$15,$B$3)*$H$4)</f>
        <v>98029.3309945531</v>
      </c>
      <c r="K59" s="10" t="n">
        <f aca="false">K36*INDEX(Assumptions!$C$18:$E$18,$B$3)*$H$3/(1+INDEX(Assumptions!$C$15:$E$15,$B$3)*$H$4)</f>
        <v>109437.723360636</v>
      </c>
      <c r="L59" s="10" t="n">
        <f aca="false">L36*INDEX(Assumptions!$C$18:$E$18,$B$3)*$H$3/(1+INDEX(Assumptions!$C$15:$E$15,$B$3)*$H$4)</f>
        <v>157111.322033898</v>
      </c>
      <c r="M59" s="10" t="n">
        <f aca="false">M36*INDEX(Assumptions!$C$18:$E$18,$B$3)*$H$3/(1+INDEX(Assumptions!$C$15:$E$15,$B$3)*$H$4)</f>
        <v>120144.643278345</v>
      </c>
      <c r="N59" s="10" t="n">
        <f aca="false">N36*INDEX(Assumptions!$C$18:$E$18,$B$3)*$H$3/(1+INDEX(Assumptions!$C$15:$E$15,$B$3)*$H$4)</f>
        <v>146074.576271186</v>
      </c>
      <c r="O59" s="40" t="n">
        <f aca="false">SUM(C59:N59)</f>
        <v>1131347.51063528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1702.87773078513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2088.47310694979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2781.36696028238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3916.6187808058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5236.34902216428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6258.07566063535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8412.21599007854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8735.76275892772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8088.66922122937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8241.92821700003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8046.09727795974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7662.94978853309</v>
      </c>
      <c r="O60" s="40" t="n">
        <f aca="false">SUM(C60:N60)</f>
        <v>71171.3845153512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34576.2711864407</v>
      </c>
      <c r="F61" s="10" t="n">
        <f aca="false">F46*INDEX(Assumptions!$C$21:$E$21,$B$3)*$H$3/(1+INDEX(Assumptions!$C$15:$E$15,$B$3)*$H$4)</f>
        <v>69152.5423728814</v>
      </c>
      <c r="G61" s="10" t="n">
        <f aca="false">G46*INDEX(Assumptions!$C$21:$E$21,$B$3)*$H$3/(1+INDEX(Assumptions!$C$15:$E$15,$B$3)*$H$4)</f>
        <v>103728.813559322</v>
      </c>
      <c r="H61" s="10" t="n">
        <f aca="false">H46*INDEX(Assumptions!$C$21:$E$21,$B$3)*$H$3/(1+INDEX(Assumptions!$C$15:$E$15,$B$3)*$H$4)</f>
        <v>138305.084745763</v>
      </c>
      <c r="I61" s="10" t="n">
        <f aca="false">I46*INDEX(Assumptions!$C$21:$E$21,$B$3)*$H$3/(1+INDEX(Assumptions!$C$15:$E$15,$B$3)*$H$4)</f>
        <v>172881.355932203</v>
      </c>
      <c r="J61" s="10" t="n">
        <f aca="false">J46*INDEX(Assumptions!$C$21:$E$21,$B$3)*$H$3/(1+INDEX(Assumptions!$C$15:$E$15,$B$3)*$H$4)</f>
        <v>207457.627118644</v>
      </c>
      <c r="K61" s="10" t="n">
        <f aca="false">K46*INDEX(Assumptions!$C$21:$E$21,$B$3)*$H$3/(1+INDEX(Assumptions!$C$15:$E$15,$B$3)*$H$4)</f>
        <v>207457.627118644</v>
      </c>
      <c r="L61" s="10" t="n">
        <f aca="false">L46*INDEX(Assumptions!$C$21:$E$21,$B$3)*$H$3/(1+INDEX(Assumptions!$C$15:$E$15,$B$3)*$H$4)</f>
        <v>207457.627118644</v>
      </c>
      <c r="M61" s="10" t="n">
        <f aca="false">M46*INDEX(Assumptions!$C$21:$E$21,$B$3)*$H$3/(1+INDEX(Assumptions!$C$15:$E$15,$B$3)*$H$4)</f>
        <v>207457.627118644</v>
      </c>
      <c r="N61" s="10" t="n">
        <f aca="false">N46*INDEX(Assumptions!$C$21:$E$21,$B$3)*$H$3/(1+INDEX(Assumptions!$C$15:$E$15,$B$3)*$H$4)</f>
        <v>207457.627118644</v>
      </c>
      <c r="O61" s="40" t="n">
        <f aca="false">SUM(C61:N61)</f>
        <v>1555932.20338983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35586.1016949153</v>
      </c>
      <c r="D62" s="10" t="n">
        <f aca="false">D47*INDEX(Assumptions!$C$22:$E$22,$B$3)*$H$3/(1+INDEX(Assumptions!$C$15:$E$15,$B$3)*$H$4)</f>
        <v>61004.7457627119</v>
      </c>
      <c r="E62" s="10" t="n">
        <f aca="false">E47*INDEX(Assumptions!$C$22:$E$22,$B$3)*$H$3/(1+INDEX(Assumptions!$C$15:$E$15,$B$3)*$H$4)</f>
        <v>91507.1186440678</v>
      </c>
      <c r="F62" s="10" t="n">
        <f aca="false">F47*INDEX(Assumptions!$C$22:$E$22,$B$3)*$H$3/(1+INDEX(Assumptions!$C$15:$E$15,$B$3)*$H$4)</f>
        <v>99132.7118644068</v>
      </c>
      <c r="G62" s="10" t="n">
        <f aca="false">G47*INDEX(Assumptions!$C$22:$E$22,$B$3)*$H$3/(1+INDEX(Assumptions!$C$15:$E$15,$B$3)*$H$4)</f>
        <v>68630.3389830509</v>
      </c>
      <c r="H62" s="10" t="n">
        <f aca="false">H47*INDEX(Assumptions!$C$22:$E$22,$B$3)*$H$3/(1+INDEX(Assumptions!$C$15:$E$15,$B$3)*$H$4)</f>
        <v>61004.7457627119</v>
      </c>
      <c r="I62" s="10" t="n">
        <f aca="false">I47*INDEX(Assumptions!$C$22:$E$22,$B$3)*$H$3/(1+INDEX(Assumptions!$C$15:$E$15,$B$3)*$H$4)</f>
        <v>53379.1525423729</v>
      </c>
      <c r="J62" s="10" t="n">
        <f aca="false">J47*INDEX(Assumptions!$C$22:$E$22,$B$3)*$H$3/(1+INDEX(Assumptions!$C$15:$E$15,$B$3)*$H$4)</f>
        <v>45753.5593220339</v>
      </c>
      <c r="K62" s="10" t="n">
        <f aca="false">K47*INDEX(Assumptions!$C$22:$E$22,$B$3)*$H$3/(1+INDEX(Assumptions!$C$15:$E$15,$B$3)*$H$4)</f>
        <v>45753.5593220339</v>
      </c>
      <c r="L62" s="10" t="n">
        <f aca="false">L47*INDEX(Assumptions!$C$22:$E$22,$B$3)*$H$3/(1+INDEX(Assumptions!$C$15:$E$15,$B$3)*$H$4)</f>
        <v>61004.7457627119</v>
      </c>
      <c r="M62" s="10" t="n">
        <f aca="false">M47*INDEX(Assumptions!$C$22:$E$22,$B$3)*$H$3/(1+INDEX(Assumptions!$C$15:$E$15,$B$3)*$H$4)</f>
        <v>83881.5254237288</v>
      </c>
      <c r="N62" s="10" t="n">
        <f aca="false">N47*INDEX(Assumptions!$C$22:$E$22,$B$3)*$H$3/(1+INDEX(Assumptions!$C$15:$E$15,$B$3)*$H$4)</f>
        <v>106758.305084746</v>
      </c>
      <c r="O62" s="40" t="n">
        <f aca="false">SUM(C62:N62)</f>
        <v>813396.610169492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24390.5084745763</v>
      </c>
      <c r="M63" s="10" t="n">
        <f aca="false">M50*INDEX(Assumptions!$C$83:$E$83,$B$3)/(1+INDEX(Assumptions!$C$15:$E$15,$B$3)*$H$4)</f>
        <v>24390.5084745763</v>
      </c>
      <c r="N63" s="10" t="n">
        <f aca="false">N50*INDEX(Assumptions!$C$83:$E$83,$B$3)/(1+INDEX(Assumptions!$C$15:$E$15,$B$3)*$H$4)</f>
        <v>24390.5084745763</v>
      </c>
      <c r="O63" s="40" t="n">
        <f aca="false">SUM(C63:N63)</f>
        <v>73171.5254237288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2420.09694915254</v>
      </c>
      <c r="F64" s="10" t="n">
        <f aca="false">F51*INDEX(Assumptions!$C$23:$E$23,$B$3)/(1+INDEX(Assumptions!$C$15:$E$15,$B$3)*$H$4)</f>
        <v>4840.19389830509</v>
      </c>
      <c r="G64" s="10" t="n">
        <f aca="false">G51*INDEX(Assumptions!$C$23:$E$23,$B$3)/(1+INDEX(Assumptions!$C$15:$E$15,$B$3)*$H$4)</f>
        <v>7260.29084745763</v>
      </c>
      <c r="H64" s="10" t="n">
        <f aca="false">H51*INDEX(Assumptions!$C$23:$E$23,$B$3)/(1+INDEX(Assumptions!$C$15:$E$15,$B$3)*$H$4)</f>
        <v>9680.38779661017</v>
      </c>
      <c r="I64" s="10" t="n">
        <f aca="false">I51*INDEX(Assumptions!$C$23:$E$23,$B$3)/(1+INDEX(Assumptions!$C$15:$E$15,$B$3)*$H$4)</f>
        <v>12100.4847457627</v>
      </c>
      <c r="J64" s="10" t="n">
        <f aca="false">J51*INDEX(Assumptions!$C$23:$E$23,$B$3)/(1+INDEX(Assumptions!$C$15:$E$15,$B$3)*$H$4)</f>
        <v>14520.5816949153</v>
      </c>
      <c r="K64" s="10" t="n">
        <f aca="false">K51*INDEX(Assumptions!$C$23:$E$23,$B$3)/(1+INDEX(Assumptions!$C$15:$E$15,$B$3)*$H$4)</f>
        <v>14520.5816949153</v>
      </c>
      <c r="L64" s="10" t="n">
        <f aca="false">L51*INDEX(Assumptions!$C$23:$E$23,$B$3)/(1+INDEX(Assumptions!$C$15:$E$15,$B$3)*$H$4)</f>
        <v>14520.5816949153</v>
      </c>
      <c r="M64" s="10" t="n">
        <f aca="false">M51*INDEX(Assumptions!$C$23:$E$23,$B$3)/(1+INDEX(Assumptions!$C$15:$E$15,$B$3)*$H$4)</f>
        <v>14520.5816949153</v>
      </c>
      <c r="N64" s="10" t="n">
        <f aca="false">N51*INDEX(Assumptions!$C$23:$E$23,$B$3)/(1+INDEX(Assumptions!$C$15:$E$15,$B$3)*$H$4)</f>
        <v>14520.5816949153</v>
      </c>
      <c r="O64" s="40" t="n">
        <f aca="false">SUM(C64:N64)</f>
        <v>108904.362711864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7898.112</v>
      </c>
      <c r="M65" s="10" t="n">
        <f aca="false">(M34+M35)*(1-M54)*INDEX(Assumptions!$C$90:$E$90,$B$3)</f>
        <v>6093.36999902732</v>
      </c>
      <c r="N65" s="10" t="n">
        <f aca="false">(N34+N35)*(1-N54)*INDEX(Assumptions!$C$90:$E$90,$B$3)</f>
        <v>6220.8</v>
      </c>
      <c r="O65" s="40" t="n">
        <f aca="false">SUM(C65:N65)</f>
        <v>20212.2819990273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142970.335357904</v>
      </c>
      <c r="D66" s="40" t="n">
        <f aca="false">SUM(D56:D65)</f>
        <v>197610.559547628</v>
      </c>
      <c r="E66" s="40" t="n">
        <f aca="false">SUM(E56:E65)</f>
        <v>309914.346451808</v>
      </c>
      <c r="F66" s="40" t="n">
        <f aca="false">SUM(F56:F65)</f>
        <v>428121.931323179</v>
      </c>
      <c r="G66" s="40" t="n">
        <f aca="false">SUM(G56:G65)</f>
        <v>521109.216140808</v>
      </c>
      <c r="H66" s="40" t="n">
        <f aca="false">SUM(H56:H65)</f>
        <v>594668.265650074</v>
      </c>
      <c r="I66" s="40" t="n">
        <f aca="false">SUM(I56:I65)</f>
        <v>544573.192620219</v>
      </c>
      <c r="J66" s="40" t="n">
        <f aca="false">SUM(J56:J65)</f>
        <v>603497.531347186</v>
      </c>
      <c r="K66" s="40" t="n">
        <f aca="false">SUM(K56:K65)</f>
        <v>642625.228754318</v>
      </c>
      <c r="L66" s="40" t="n">
        <f aca="false">SUM(L56:L65)</f>
        <v>967463.069300118</v>
      </c>
      <c r="M66" s="40" t="n">
        <f aca="false">SUM(M56:M65)</f>
        <v>847904.617913079</v>
      </c>
      <c r="N66" s="40" t="n">
        <f aca="false">SUM(N56:N65)</f>
        <v>903366.529200615</v>
      </c>
      <c r="O66" s="11" t="n">
        <f aca="false">SUM(C66:N66)</f>
        <v>6703824.82360693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105681.355932203</v>
      </c>
      <c r="D67" s="10" t="n">
        <f aca="false">D56+D57+D58+D59</f>
        <v>134517.340677966</v>
      </c>
      <c r="E67" s="10" t="n">
        <f aca="false">E56+E57+E58+E59</f>
        <v>178629.492711864</v>
      </c>
      <c r="F67" s="10" t="n">
        <f aca="false">F56+F57+F58+F59</f>
        <v>251079.86440678</v>
      </c>
      <c r="G67" s="10" t="n">
        <f aca="false">G56+G57+G58+G59</f>
        <v>336253.423728814</v>
      </c>
      <c r="H67" s="10" t="n">
        <f aca="false">H56+H57+H58+H59</f>
        <v>379419.971684354</v>
      </c>
      <c r="I67" s="10" t="n">
        <f aca="false">I56+I57+I58+I59</f>
        <v>297799.983409801</v>
      </c>
      <c r="J67" s="10" t="n">
        <f aca="false">J56+J57+J58+J59</f>
        <v>327030.000452665</v>
      </c>
      <c r="K67" s="10" t="n">
        <f aca="false">K56+K57+K58+K59</f>
        <v>366804.791397495</v>
      </c>
      <c r="L67" s="10" t="n">
        <f aca="false">L56+L57+L58+L59</f>
        <v>643949.566032271</v>
      </c>
      <c r="M67" s="10" t="n">
        <f aca="false">M56+M57+M58+M59</f>
        <v>503514.907924227</v>
      </c>
      <c r="N67" s="10" t="n">
        <f aca="false">N56+N57+N58+N59</f>
        <v>536355.7570392</v>
      </c>
      <c r="O67" s="40" t="n">
        <f aca="false">SUM(C67:N67)</f>
        <v>4061036.45539764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8640</v>
      </c>
      <c r="D69" s="10" t="n">
        <f aca="false">((D34+D37)*INDEX(Assumptions!$C$91:$E$91,$B$3)+D35*(INDEX(Assumptions!$C$93:$E$93,$B$3)+IF($Q$3=1,INDEX(Assumptions!$C$282:$E$282,$B$3),0)))*$N$3</f>
        <v>12324.42</v>
      </c>
      <c r="E69" s="10" t="n">
        <f aca="false">((E34+E37)*INDEX(Assumptions!$C$91:$E$91,$B$3)+E35*(INDEX(Assumptions!$C$93:$E$93,$B$3)+IF($Q$3=1,INDEX(Assumptions!$C$282:$E$282,$B$3),0)))*$N$3</f>
        <v>16231.284</v>
      </c>
      <c r="F69" s="10" t="n">
        <f aca="false">((F34+F37)*INDEX(Assumptions!$C$91:$E$91,$B$3)+F35*(INDEX(Assumptions!$C$93:$E$93,$B$3)+IF($Q$3=1,INDEX(Assumptions!$C$282:$E$282,$B$3),0)))*$N$3</f>
        <v>22694.4</v>
      </c>
      <c r="G69" s="10" t="n">
        <f aca="false">((G34+G37)*INDEX(Assumptions!$C$91:$E$91,$B$3)+G35*(INDEX(Assumptions!$C$93:$E$93,$B$3)+IF($Q$3=1,INDEX(Assumptions!$C$282:$E$282,$B$3),0)))*$N$3</f>
        <v>30542.4</v>
      </c>
      <c r="H69" s="10" t="n">
        <f aca="false">((H34+H37)*INDEX(Assumptions!$C$91:$E$91,$B$3)+H35*(INDEX(Assumptions!$C$93:$E$93,$B$3)+IF($Q$3=1,INDEX(Assumptions!$C$282:$E$282,$B$3),0)))*$N$3</f>
        <v>34856.6955489614</v>
      </c>
      <c r="I69" s="10" t="n">
        <f aca="false">((I34+I37)*INDEX(Assumptions!$C$91:$E$91,$B$3)+I35*(INDEX(Assumptions!$C$93:$E$93,$B$3)+IF($Q$3=1,INDEX(Assumptions!$C$282:$E$282,$B$3),0)))*$N$3</f>
        <v>26880.3055423692</v>
      </c>
      <c r="J69" s="10" t="n">
        <f aca="false">((J34+J37)*INDEX(Assumptions!$C$91:$E$91,$B$3)+J35*(INDEX(Assumptions!$C$93:$E$93,$B$3)+IF($Q$3=1,INDEX(Assumptions!$C$282:$E$282,$B$3),0)))*$N$3</f>
        <v>28868.3206269291</v>
      </c>
      <c r="K69" s="10" t="n">
        <f aca="false">((K34+K37)*INDEX(Assumptions!$C$91:$E$91,$B$3)+K35*(INDEX(Assumptions!$C$93:$E$93,$B$3)+IF($Q$3=1,INDEX(Assumptions!$C$282:$E$282,$B$3),0)))*$N$3</f>
        <v>32832.3492343782</v>
      </c>
      <c r="L69" s="10" t="n">
        <f aca="false">((L34+L37)*INDEX(Assumptions!$C$91:$E$91,$B$3)+L35*(INDEX(Assumptions!$C$93:$E$93,$B$3)+IF($Q$3=1,INDEX(Assumptions!$C$282:$E$282,$B$3),0)))*$N$3</f>
        <v>65688.907378897</v>
      </c>
      <c r="M69" s="10" t="n">
        <f aca="false">((M34+M37)*INDEX(Assumptions!$C$91:$E$91,$B$3)+M35*(INDEX(Assumptions!$C$93:$E$93,$B$3)+IF($Q$3=1,INDEX(Assumptions!$C$282:$E$282,$B$3),0)))*$N$3</f>
        <v>52859.7779444807</v>
      </c>
      <c r="N69" s="10" t="n">
        <f aca="false">((N34+N37)*INDEX(Assumptions!$C$91:$E$91,$B$3)+N35*(INDEX(Assumptions!$C$93:$E$93,$B$3)+IF($Q$3=1,INDEX(Assumptions!$C$282:$E$282,$B$3),0)))*$N$3</f>
        <v>50945.6697324111</v>
      </c>
      <c r="O69" s="40" t="n">
        <f aca="false">SUM(C69:N69)</f>
        <v>383364.530008427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17280</v>
      </c>
      <c r="D70" s="10" t="n">
        <f aca="false">(D34+D35)*D54*INDEX(Assumptions!$C$14:$E$14,$B$3)*$N$3</f>
        <v>21192.84</v>
      </c>
      <c r="E70" s="10" t="n">
        <f aca="false">(E34+E35)*E54*INDEX(Assumptions!$C$14:$E$14,$B$3)*$N$3</f>
        <v>28224</v>
      </c>
      <c r="F70" s="10" t="n">
        <f aca="false">(F34+F35)*F54*INDEX(Assumptions!$C$14:$E$14,$B$3)*$N$3</f>
        <v>39744</v>
      </c>
      <c r="G70" s="10" t="n">
        <f aca="false">(G34+G35)*G54*INDEX(Assumptions!$C$14:$E$14,$B$3)*$N$3</f>
        <v>53136</v>
      </c>
      <c r="H70" s="10" t="n">
        <f aca="false">(H34+H35)*H54*INDEX(Assumptions!$C$14:$E$14,$B$3)*$N$3</f>
        <v>59719.5133531157</v>
      </c>
      <c r="I70" s="10" t="n">
        <f aca="false">(I34+I35)*I54*INDEX(Assumptions!$C$14:$E$14,$B$3)*$N$3</f>
        <v>47161.7967260082</v>
      </c>
      <c r="J70" s="10" t="n">
        <f aca="false">(J34+J35)*J54*INDEX(Assumptions!$C$14:$E$14,$B$3)*$N$3</f>
        <v>52184.0348452208</v>
      </c>
      <c r="K70" s="10" t="n">
        <f aca="false">(K34+K35)*K54*INDEX(Assumptions!$C$14:$E$14,$B$3)*$N$3</f>
        <v>58257.0737889703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376899.258713315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1920</v>
      </c>
      <c r="D71" s="10" t="n">
        <f aca="false">D36*INDEX(Assumptions!$C$92:$E$92,$B$3)*$N$3</f>
        <v>2354.76</v>
      </c>
      <c r="E71" s="10" t="n">
        <f aca="false">E36*INDEX(Assumptions!$C$92:$E$92,$B$3)*$N$3</f>
        <v>3136</v>
      </c>
      <c r="F71" s="10" t="n">
        <f aca="false">F36*INDEX(Assumptions!$C$92:$E$92,$B$3)*$N$3</f>
        <v>4416</v>
      </c>
      <c r="G71" s="10" t="n">
        <f aca="false">G36*INDEX(Assumptions!$C$92:$E$92,$B$3)*$N$3</f>
        <v>5904</v>
      </c>
      <c r="H71" s="10" t="n">
        <f aca="false">H36*INDEX(Assumptions!$C$92:$E$92,$B$3)*$N$3</f>
        <v>6635.50148367953</v>
      </c>
      <c r="I71" s="10" t="n">
        <f aca="false">I36*INDEX(Assumptions!$C$92:$E$92,$B$3)*$N$3</f>
        <v>5240.19963622313</v>
      </c>
      <c r="J71" s="10" t="n">
        <f aca="false">J36*INDEX(Assumptions!$C$92:$E$92,$B$3)*$N$3</f>
        <v>5798.22609391342</v>
      </c>
      <c r="K71" s="10" t="n">
        <f aca="false">K36*INDEX(Assumptions!$C$92:$E$92,$B$3)*$N$3</f>
        <v>6473.00819877448</v>
      </c>
      <c r="L71" s="10" t="n">
        <f aca="false">L36*INDEX(Assumptions!$C$92:$E$92,$B$3)*$N$3</f>
        <v>9292.8</v>
      </c>
      <c r="M71" s="10" t="n">
        <f aca="false">M36*INDEX(Assumptions!$C$92:$E$92,$B$3)*$N$3</f>
        <v>7106.29970267902</v>
      </c>
      <c r="N71" s="10" t="n">
        <f aca="false">N36*INDEX(Assumptions!$C$92:$E$92,$B$3)*$N$3</f>
        <v>8640</v>
      </c>
      <c r="O71" s="40" t="n">
        <f aca="false">SUM(C71:N71)</f>
        <v>66916.7951152696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3922.85178236398</v>
      </c>
      <c r="D72" s="10" t="n">
        <f aca="false">(D46*INDEX(Assumptions!$C$94:$E$94,$B$3)+D47*INDEX(Assumptions!$C$95:$E$95,$B$3)+D48*INDEX(Assumptions!$C$96:$E$96,$B$3))*$N$3</f>
        <v>6450.30253283302</v>
      </c>
      <c r="E72" s="10" t="n">
        <f aca="false">(E46*INDEX(Assumptions!$C$94:$E$94,$B$3)+E47*INDEX(Assumptions!$C$95:$E$95,$B$3)+E48*INDEX(Assumptions!$C$96:$E$96,$B$3))*$N$3</f>
        <v>13639.3245778612</v>
      </c>
      <c r="F72" s="10" t="n">
        <f aca="false">(F46*INDEX(Assumptions!$C$94:$E$94,$B$3)+F47*INDEX(Assumptions!$C$95:$E$95,$B$3)+F48*INDEX(Assumptions!$C$96:$E$96,$B$3))*$N$3</f>
        <v>18814.5590994372</v>
      </c>
      <c r="G72" s="10" t="n">
        <f aca="false">(G46*INDEX(Assumptions!$C$94:$E$94,$B$3)+G47*INDEX(Assumptions!$C$95:$E$95,$B$3)+G48*INDEX(Assumptions!$C$96:$E$96,$B$3))*$N$3</f>
        <v>20450.7692307692</v>
      </c>
      <c r="H72" s="10" t="n">
        <f aca="false">(H46*INDEX(Assumptions!$C$94:$E$94,$B$3)+H47*INDEX(Assumptions!$C$95:$E$95,$B$3)+H48*INDEX(Assumptions!$C$96:$E$96,$B$3))*$N$3</f>
        <v>24148.4803001876</v>
      </c>
      <c r="I72" s="10" t="n">
        <f aca="false">(I46*INDEX(Assumptions!$C$94:$E$94,$B$3)+I47*INDEX(Assumptions!$C$95:$E$95,$B$3)+I48*INDEX(Assumptions!$C$96:$E$96,$B$3))*$N$3</f>
        <v>28220.4878048781</v>
      </c>
      <c r="J72" s="10" t="n">
        <f aca="false">(J46*INDEX(Assumptions!$C$94:$E$94,$B$3)+J47*INDEX(Assumptions!$C$95:$E$95,$B$3)+J48*INDEX(Assumptions!$C$96:$E$96,$B$3))*$N$3</f>
        <v>31687.4296435272</v>
      </c>
      <c r="K72" s="10" t="n">
        <f aca="false">(K46*INDEX(Assumptions!$C$94:$E$94,$B$3)+K47*INDEX(Assumptions!$C$95:$E$95,$B$3)+K48*INDEX(Assumptions!$C$96:$E$96,$B$3))*$N$3</f>
        <v>31473.5459662289</v>
      </c>
      <c r="L72" s="10" t="n">
        <f aca="false">(L46*INDEX(Assumptions!$C$94:$E$94,$B$3)+L47*INDEX(Assumptions!$C$95:$E$95,$B$3)+L48*INDEX(Assumptions!$C$96:$E$96,$B$3))*$N$3</f>
        <v>32964.2026266417</v>
      </c>
      <c r="M72" s="10" t="n">
        <f aca="false">(M46*INDEX(Assumptions!$C$94:$E$94,$B$3)+M47*INDEX(Assumptions!$C$95:$E$95,$B$3)+M48*INDEX(Assumptions!$C$96:$E$96,$B$3))*$N$3</f>
        <v>35059.4746716698</v>
      </c>
      <c r="N72" s="10" t="n">
        <f aca="false">(N46*INDEX(Assumptions!$C$94:$E$94,$B$3)+N47*INDEX(Assumptions!$C$95:$E$95,$B$3)+N48*INDEX(Assumptions!$C$96:$E$96,$B$3))*$N$3</f>
        <v>37092.8330206379</v>
      </c>
      <c r="O72" s="40" t="n">
        <f aca="false">SUM(C72:N72)</f>
        <v>283924.261257036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571.2</v>
      </c>
      <c r="F74" s="10" t="n">
        <f aca="false">F51*INDEX(Assumptions!$C$97:$E$97,$B$3)</f>
        <v>1142.4</v>
      </c>
      <c r="G74" s="10" t="n">
        <f aca="false">G51*INDEX(Assumptions!$C$97:$E$97,$B$3)</f>
        <v>1713.6</v>
      </c>
      <c r="H74" s="10" t="n">
        <f aca="false">H51*INDEX(Assumptions!$C$97:$E$97,$B$3)</f>
        <v>2284.8</v>
      </c>
      <c r="I74" s="10" t="n">
        <f aca="false">I51*INDEX(Assumptions!$C$97:$E$97,$B$3)</f>
        <v>2856</v>
      </c>
      <c r="J74" s="10" t="n">
        <f aca="false">J51*INDEX(Assumptions!$C$97:$E$97,$B$3)</f>
        <v>3427.2</v>
      </c>
      <c r="K74" s="10" t="n">
        <f aca="false">K51*INDEX(Assumptions!$C$97:$E$97,$B$3)</f>
        <v>3427.2</v>
      </c>
      <c r="L74" s="10" t="n">
        <f aca="false">L51*INDEX(Assumptions!$C$97:$E$97,$B$3)</f>
        <v>3427.2</v>
      </c>
      <c r="M74" s="10" t="n">
        <f aca="false">M51*INDEX(Assumptions!$C$97:$E$97,$B$3)</f>
        <v>3427.2</v>
      </c>
      <c r="N74" s="10" t="n">
        <f aca="false">N51*INDEX(Assumptions!$C$97:$E$97,$B$3)</f>
        <v>3427.2</v>
      </c>
      <c r="O74" s="40" t="n">
        <f aca="false">SUM(C74:N74)</f>
        <v>25704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4886.09991444653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6619.28670532401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9907.82160076266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13746.740779227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17180.5767009231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19552.574029134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17172.0123052532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18971.4055641036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20480.585353563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32885.3381740492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27927.1449476861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29378.756471994</v>
      </c>
      <c r="O75" s="40" t="n">
        <f aca="false">SUM(C75:N75)</f>
        <v>218708.342546466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1440</v>
      </c>
      <c r="D76" s="10" t="n">
        <f aca="false">D38*INDEX(Assumptions!$C$240:$E$240,$B$3)*INDEX(Assumptions!$C$69:$E$69,$B$3)</f>
        <v>1766.07</v>
      </c>
      <c r="E76" s="10" t="n">
        <f aca="false">E38*INDEX(Assumptions!$C$240:$E$240,$B$3)*INDEX(Assumptions!$C$69:$E$69,$B$3)</f>
        <v>2352</v>
      </c>
      <c r="F76" s="10" t="n">
        <f aca="false">F38*INDEX(Assumptions!$C$240:$E$240,$B$3)*INDEX(Assumptions!$C$69:$E$69,$B$3)</f>
        <v>3312</v>
      </c>
      <c r="G76" s="10" t="n">
        <f aca="false">G38*INDEX(Assumptions!$C$240:$E$240,$B$3)*INDEX(Assumptions!$C$69:$E$69,$B$3)</f>
        <v>4428</v>
      </c>
      <c r="H76" s="10" t="n">
        <f aca="false">H38*INDEX(Assumptions!$C$240:$E$240,$B$3)*INDEX(Assumptions!$C$69:$E$69,$B$3)</f>
        <v>4976.62611275964</v>
      </c>
      <c r="I76" s="10" t="n">
        <f aca="false">I38*INDEX(Assumptions!$C$240:$E$240,$B$3)*INDEX(Assumptions!$C$69:$E$69,$B$3)</f>
        <v>3930.14972716735</v>
      </c>
      <c r="J76" s="10" t="n">
        <f aca="false">J38*INDEX(Assumptions!$C$240:$E$240,$B$3)*INDEX(Assumptions!$C$69:$E$69,$B$3)</f>
        <v>4348.66957043506</v>
      </c>
      <c r="K76" s="10" t="n">
        <f aca="false">K38*INDEX(Assumptions!$C$240:$E$240,$B$3)*INDEX(Assumptions!$C$69:$E$69,$B$3)</f>
        <v>4854.75614908086</v>
      </c>
      <c r="L76" s="10" t="n">
        <f aca="false">L38*INDEX(Assumptions!$C$240:$E$240,$B$3)*INDEX(Assumptions!$C$69:$E$69,$B$3)</f>
        <v>7724.16</v>
      </c>
      <c r="M76" s="10" t="n">
        <f aca="false">M38*INDEX(Assumptions!$C$240:$E$240,$B$3)*INDEX(Assumptions!$C$69:$E$69,$B$3)</f>
        <v>5940.24616019578</v>
      </c>
      <c r="N76" s="10" t="n">
        <f aca="false">N38*INDEX(Assumptions!$C$240:$E$240,$B$3)*INDEX(Assumptions!$C$69:$E$69,$B$3)</f>
        <v>6480</v>
      </c>
      <c r="O76" s="40" t="n">
        <f aca="false">SUM(C76:N76)</f>
        <v>51552.6777196387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38088.9516968105</v>
      </c>
      <c r="D77" s="40" t="n">
        <f aca="false">SUM(D69:D76)</f>
        <v>50707.679238157</v>
      </c>
      <c r="E77" s="40" t="n">
        <f aca="false">SUM(E69:E76)</f>
        <v>74061.6301786238</v>
      </c>
      <c r="F77" s="40" t="n">
        <f aca="false">SUM(F69:F76)</f>
        <v>103870.099878664</v>
      </c>
      <c r="G77" s="40" t="n">
        <f aca="false">SUM(G69:G76)</f>
        <v>133355.345931692</v>
      </c>
      <c r="H77" s="40" t="n">
        <f aca="false">SUM(H69:H76)</f>
        <v>152174.190827838</v>
      </c>
      <c r="I77" s="40" t="n">
        <f aca="false">SUM(I69:I76)</f>
        <v>131460.951741899</v>
      </c>
      <c r="J77" s="40" t="n">
        <f aca="false">SUM(J69:J76)</f>
        <v>145285.286344129</v>
      </c>
      <c r="K77" s="40" t="n">
        <f aca="false">SUM(K69:K76)</f>
        <v>157798.518690996</v>
      </c>
      <c r="L77" s="40" t="n">
        <f aca="false">SUM(L69:L76)</f>
        <v>177982.608179588</v>
      </c>
      <c r="M77" s="40" t="n">
        <f aca="false">SUM(M69:M76)</f>
        <v>158320.143426711</v>
      </c>
      <c r="N77" s="40" t="n">
        <f aca="false">SUM(N69:N76)</f>
        <v>161964.459225043</v>
      </c>
      <c r="O77" s="11" t="n">
        <f aca="false">SUM(C77:N77)</f>
        <v>1485069.86536015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104881.383661093</v>
      </c>
      <c r="D78" s="40" t="n">
        <f aca="false">D66-D77</f>
        <v>146902.880309471</v>
      </c>
      <c r="E78" s="40" t="n">
        <f aca="false">E66-E77</f>
        <v>235852.716273184</v>
      </c>
      <c r="F78" s="40" t="n">
        <f aca="false">F66-F77</f>
        <v>324251.831444515</v>
      </c>
      <c r="G78" s="40" t="n">
        <f aca="false">G66-G77</f>
        <v>387753.870209116</v>
      </c>
      <c r="H78" s="40" t="n">
        <f aca="false">H66-H77</f>
        <v>442494.074822236</v>
      </c>
      <c r="I78" s="40" t="n">
        <f aca="false">I66-I77</f>
        <v>413112.24087832</v>
      </c>
      <c r="J78" s="40" t="n">
        <f aca="false">J66-J77</f>
        <v>458212.245003057</v>
      </c>
      <c r="K78" s="40" t="n">
        <f aca="false">K66-K77</f>
        <v>484826.710063322</v>
      </c>
      <c r="L78" s="40" t="n">
        <f aca="false">L66-L77</f>
        <v>789480.46112053</v>
      </c>
      <c r="M78" s="40" t="n">
        <f aca="false">M66-M77</f>
        <v>689584.474486367</v>
      </c>
      <c r="N78" s="40" t="n">
        <f aca="false">N66-N77</f>
        <v>741402.069975572</v>
      </c>
      <c r="O78" s="11" t="n">
        <f aca="false">SUM(C78:N78)</f>
        <v>5218754.95824678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0.761025486472145</v>
      </c>
      <c r="F79" s="8" t="n">
        <f aca="false">IFERROR(F78/F66,0)</f>
        <v>0.75738196929637</v>
      </c>
      <c r="G79" s="8" t="n">
        <f aca="false">IFERROR(G78/G66,0)</f>
        <v>0.744093288314328</v>
      </c>
      <c r="H79" s="8" t="n">
        <f aca="false">IFERROR(H78/H66,0)</f>
        <v>0.74410238511469</v>
      </c>
      <c r="I79" s="8" t="n">
        <f aca="false">IFERROR(I78/I66,0)</f>
        <v>0.758598194837</v>
      </c>
      <c r="J79" s="8" t="n">
        <f aca="false">IFERROR(J78/J66,0)</f>
        <v>0.75926117540231</v>
      </c>
      <c r="K79" s="8" t="n">
        <f aca="false">IFERROR(K78/K66,0)</f>
        <v>0.754447053071855</v>
      </c>
      <c r="L79" s="8" t="n">
        <f aca="false">IFERROR(L78/L66,0)</f>
        <v>0.816031625570634</v>
      </c>
      <c r="M79" s="8" t="n">
        <f aca="false">IFERROR(M78/M66,0)</f>
        <v>0.813280715681936</v>
      </c>
      <c r="N79" s="8" t="n">
        <f aca="false">IFERROR(N78/N66,0)</f>
        <v>0.820710139251711</v>
      </c>
      <c r="O79" s="13" t="n">
        <f aca="false">IFERROR(O78/O66,0)</f>
        <v>0.778474243519818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2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0.666666666666667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-181951.616338907</v>
      </c>
      <c r="D103" s="40" t="n">
        <f aca="false">D78-D102</f>
        <v>-154930.119690529</v>
      </c>
      <c r="E103" s="40" t="n">
        <f aca="false">E78-E102</f>
        <v>-255980.283726816</v>
      </c>
      <c r="F103" s="40" t="n">
        <f aca="false">F78-F102</f>
        <v>-27581.1685554855</v>
      </c>
      <c r="G103" s="40" t="n">
        <f aca="false">G78-G102</f>
        <v>17920.870209116</v>
      </c>
      <c r="H103" s="40" t="n">
        <f aca="false">H78-H102</f>
        <v>72661.0748222356</v>
      </c>
      <c r="I103" s="40" t="n">
        <f aca="false">I78-I102</f>
        <v>43279.2408783198</v>
      </c>
      <c r="J103" s="40" t="n">
        <f aca="false">J78-J102</f>
        <v>88379.2450030565</v>
      </c>
      <c r="K103" s="40" t="n">
        <f aca="false">K78-K102</f>
        <v>109993.710063322</v>
      </c>
      <c r="L103" s="40" t="n">
        <f aca="false">L78-L102</f>
        <v>241547.46112053</v>
      </c>
      <c r="M103" s="40" t="n">
        <f aca="false">M78-M102</f>
        <v>121651.474486367</v>
      </c>
      <c r="N103" s="40" t="n">
        <f aca="false">N78-N102</f>
        <v>173469.069975572</v>
      </c>
      <c r="O103" s="11" t="n">
        <f aca="false">SUM(C103:N103)</f>
        <v>248458.958246781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-1.27265293099733</v>
      </c>
      <c r="D104" s="8" t="n">
        <f aca="false">IFERROR(D103/D66,0)</f>
        <v>-0.784017413063335</v>
      </c>
      <c r="E104" s="8" t="n">
        <f aca="false">IFERROR(E103/E66,0)</f>
        <v>-0.825971067998369</v>
      </c>
      <c r="F104" s="8" t="n">
        <f aca="false">IFERROR(F103/F66,0)</f>
        <v>-0.0644236291989096</v>
      </c>
      <c r="G104" s="8" t="n">
        <f aca="false">IFERROR(G103/G66,0)</f>
        <v>0.0343898546677663</v>
      </c>
      <c r="H104" s="8" t="n">
        <f aca="false">IFERROR(H103/H66,0)</f>
        <v>0.122187577544271</v>
      </c>
      <c r="I104" s="8" t="n">
        <f aca="false">IFERROR(I103/I66,0)</f>
        <v>0.0794736896064996</v>
      </c>
      <c r="J104" s="8" t="n">
        <f aca="false">IFERROR(J103/J66,0)</f>
        <v>0.146445081234662</v>
      </c>
      <c r="K104" s="8" t="n">
        <f aca="false">IFERROR(K103/K66,0)</f>
        <v>0.171163074746593</v>
      </c>
      <c r="L104" s="8" t="n">
        <f aca="false">IFERROR(L103/L66,0)</f>
        <v>0.249670988780244</v>
      </c>
      <c r="M104" s="8" t="n">
        <f aca="false">IFERROR(M103/M66,0)</f>
        <v>0.143473065149455</v>
      </c>
      <c r="N104" s="8" t="n">
        <f aca="false">IFERROR(N103/N66,0)</f>
        <v>0.192025124208524</v>
      </c>
      <c r="O104" s="8" t="n">
        <f aca="false">IFERROR(O103/O66,0)</f>
        <v>0.0370622688963851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-256951.616338907</v>
      </c>
      <c r="D105" s="10" t="n">
        <f aca="false">D103-INDEX(Assumptions!$C$204:$E$204,$B$3)</f>
        <v>-229930.119690529</v>
      </c>
      <c r="E105" s="10" t="n">
        <f aca="false">E103-INDEX(Assumptions!$C$204:$E$204,$B$3)</f>
        <v>-330980.283726816</v>
      </c>
      <c r="F105" s="10" t="n">
        <f aca="false">F103-INDEX(Assumptions!$C$204:$E$204,$B$3)</f>
        <v>-102581.168555485</v>
      </c>
      <c r="G105" s="10" t="n">
        <f aca="false">G103-INDEX(Assumptions!$C$204:$E$204,$B$3)</f>
        <v>-57079.129790884</v>
      </c>
      <c r="H105" s="10" t="n">
        <f aca="false">H103-INDEX(Assumptions!$C$204:$E$204,$B$3)</f>
        <v>-2338.92517776438</v>
      </c>
      <c r="I105" s="10" t="n">
        <f aca="false">I103-INDEX(Assumptions!$C$204:$E$204,$B$3)</f>
        <v>-31720.7591216802</v>
      </c>
      <c r="J105" s="10" t="n">
        <f aca="false">J103-INDEX(Assumptions!$C$204:$E$204,$B$3)</f>
        <v>13379.2450030565</v>
      </c>
      <c r="K105" s="10" t="n">
        <f aca="false">K103-INDEX(Assumptions!$C$204:$E$204,$B$3)</f>
        <v>34993.710063322</v>
      </c>
      <c r="L105" s="10" t="n">
        <f aca="false">L103-INDEX(Assumptions!$C$204:$E$204,$B$3)</f>
        <v>166547.46112053</v>
      </c>
      <c r="M105" s="10" t="n">
        <f aca="false">M103-INDEX(Assumptions!$C$204:$E$204,$B$3)</f>
        <v>46651.4744863671</v>
      </c>
      <c r="N105" s="10" t="n">
        <f aca="false">N103-INDEX(Assumptions!$C$204:$E$204,$B$3)</f>
        <v>98469.0699755717</v>
      </c>
      <c r="O105" s="40" t="n">
        <f aca="false">SUM(C105:N105)</f>
        <v>-651541.041753219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-52840.6779661017</v>
      </c>
      <c r="D113" s="10" t="n">
        <f aca="false">((D67+IF(INDEX(Assumptions!$C$87:$E$87,$B$3)&gt;=2,C67,0)+IF(INDEX(Assumptions!$C$87:$E$87,$B$3)&gt;=3,0,0))/INDEX(Assumptions!$C$87:$E$87,$B$3))-D67</f>
        <v>-14417.9923728813</v>
      </c>
      <c r="E113" s="10" t="n">
        <f aca="false">((E67+IF(INDEX(Assumptions!$C$87:$E$87,$B$3)&gt;=2,D67,0)+IF(INDEX(Assumptions!$C$87:$E$87,$B$3)&gt;=3,C67,0))/INDEX(Assumptions!$C$87:$E$87,$B$3))-E67</f>
        <v>-22056.0760169491</v>
      </c>
      <c r="F113" s="10" t="n">
        <f aca="false">((F67+IF(INDEX(Assumptions!$C$87:$E$87,$B$3)&gt;=2,E67,0)+IF(INDEX(Assumptions!$C$87:$E$87,$B$3)&gt;=3,D67,0))/INDEX(Assumptions!$C$87:$E$87,$B$3))-F67</f>
        <v>-36225.1858474576</v>
      </c>
      <c r="G113" s="10" t="n">
        <f aca="false">((G67+IF(INDEX(Assumptions!$C$87:$E$87,$B$3)&gt;=2,F67,0)+IF(INDEX(Assumptions!$C$87:$E$87,$B$3)&gt;=3,E67,0))/INDEX(Assumptions!$C$87:$E$87,$B$3))-G67</f>
        <v>-42586.7796610169</v>
      </c>
      <c r="H113" s="10" t="n">
        <f aca="false">((H67+IF(INDEX(Assumptions!$C$87:$E$87,$B$3)&gt;=2,G67,0)+IF(INDEX(Assumptions!$C$87:$E$87,$B$3)&gt;=3,F67,0))/INDEX(Assumptions!$C$87:$E$87,$B$3))-H67</f>
        <v>-21583.27397777</v>
      </c>
      <c r="I113" s="10" t="n">
        <f aca="false">((I67+IF(INDEX(Assumptions!$C$87:$E$87,$B$3)&gt;=2,H67,0)+IF(INDEX(Assumptions!$C$87:$E$87,$B$3)&gt;=3,G67,0))/INDEX(Assumptions!$C$87:$E$87,$B$3))-I67</f>
        <v>40809.9941372761</v>
      </c>
      <c r="J113" s="10" t="n">
        <f aca="false">((J67+IF(INDEX(Assumptions!$C$87:$E$87,$B$3)&gt;=2,I67,0)+IF(INDEX(Assumptions!$C$87:$E$87,$B$3)&gt;=3,H67,0))/INDEX(Assumptions!$C$87:$E$87,$B$3))-J67</f>
        <v>-14615.0085214317</v>
      </c>
      <c r="K113" s="10" t="n">
        <f aca="false">((K67+IF(INDEX(Assumptions!$C$87:$E$87,$B$3)&gt;=2,J67,0)+IF(INDEX(Assumptions!$C$87:$E$87,$B$3)&gt;=3,I67,0))/INDEX(Assumptions!$C$87:$E$87,$B$3))-K67</f>
        <v>-19887.3954724153</v>
      </c>
      <c r="L113" s="10" t="n">
        <f aca="false">((L67+IF(INDEX(Assumptions!$C$87:$E$87,$B$3)&gt;=2,K67,0)+IF(INDEX(Assumptions!$C$87:$E$87,$B$3)&gt;=3,J67,0))/INDEX(Assumptions!$C$87:$E$87,$B$3))-L67</f>
        <v>-138572.387317388</v>
      </c>
      <c r="M113" s="10" t="n">
        <f aca="false">((M67+IF(INDEX(Assumptions!$C$87:$E$87,$B$3)&gt;=2,L67,0)+IF(INDEX(Assumptions!$C$87:$E$87,$B$3)&gt;=3,K67,0))/INDEX(Assumptions!$C$87:$E$87,$B$3))-M67</f>
        <v>70217.3290540219</v>
      </c>
      <c r="N113" s="10" t="n">
        <f aca="false">((N67+IF(INDEX(Assumptions!$C$87:$E$87,$B$3)&gt;=2,M67,0)+IF(INDEX(Assumptions!$C$87:$E$87,$B$3)&gt;=3,L67,0))/INDEX(Assumptions!$C$87:$E$87,$B$3))-N67</f>
        <v>-16420.4245574867</v>
      </c>
      <c r="O113" s="40" t="n">
        <f aca="false">SUM(C113:N113)</f>
        <v>-268177.8785196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-384792.294305008</v>
      </c>
      <c r="D114" s="40" t="n">
        <f aca="false">D103+D113-D112</f>
        <v>-169348.112063411</v>
      </c>
      <c r="E114" s="40" t="n">
        <f aca="false">E103+E113-E112</f>
        <v>-378036.359743765</v>
      </c>
      <c r="F114" s="40" t="n">
        <f aca="false">F103+F113-F112</f>
        <v>-63806.3544029431</v>
      </c>
      <c r="G114" s="40" t="n">
        <f aca="false">G103+G113-G112</f>
        <v>-24665.9094519009</v>
      </c>
      <c r="H114" s="40" t="n">
        <f aca="false">H103+H113-H112</f>
        <v>51077.8008444656</v>
      </c>
      <c r="I114" s="40" t="n">
        <f aca="false">I103+I113-I112</f>
        <v>84089.2350155959</v>
      </c>
      <c r="J114" s="40" t="n">
        <f aca="false">J103+J113-J112</f>
        <v>73764.2364816248</v>
      </c>
      <c r="K114" s="40" t="n">
        <f aca="false">K103+K113-K112</f>
        <v>-1381893.68540909</v>
      </c>
      <c r="L114" s="40" t="n">
        <f aca="false">L103+L113-L112</f>
        <v>102975.073803143</v>
      </c>
      <c r="M114" s="40" t="n">
        <f aca="false">M103+M113-M112</f>
        <v>191868.803540389</v>
      </c>
      <c r="N114" s="40" t="n">
        <f aca="false">N103+N113-N112</f>
        <v>157048.645418085</v>
      </c>
      <c r="O114" s="11" t="n">
        <f aca="false">SUM(C114:N114)</f>
        <v>-1741718.92027282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-384792.294305008</v>
      </c>
      <c r="D115" s="40" t="n">
        <f aca="false">C115+D114</f>
        <v>-554140.406368419</v>
      </c>
      <c r="E115" s="40" t="n">
        <f aca="false">D115+E114</f>
        <v>-932176.766112184</v>
      </c>
      <c r="F115" s="40" t="n">
        <f aca="false">E115+F114</f>
        <v>-995983.120515127</v>
      </c>
      <c r="G115" s="40" t="n">
        <f aca="false">F115+G114</f>
        <v>-1020649.02996703</v>
      </c>
      <c r="H115" s="40" t="n">
        <f aca="false">G115+H114</f>
        <v>-969571.229122563</v>
      </c>
      <c r="I115" s="40" t="n">
        <f aca="false">H115+I114</f>
        <v>-885481.994106967</v>
      </c>
      <c r="J115" s="40" t="n">
        <f aca="false">I115+J114</f>
        <v>-811717.757625342</v>
      </c>
      <c r="K115" s="40" t="n">
        <f aca="false">J115+K114</f>
        <v>-2193611.44303444</v>
      </c>
      <c r="L115" s="40" t="n">
        <f aca="false">K115+L114</f>
        <v>-2090636.36923129</v>
      </c>
      <c r="M115" s="40" t="n">
        <f aca="false">L115+M114</f>
        <v>-1898767.5656909</v>
      </c>
      <c r="N115" s="40" t="n">
        <f aca="false">M115+N114</f>
        <v>-1741718.92027282</v>
      </c>
      <c r="O115" s="11" t="n">
        <f aca="false">N115</f>
        <v>-1741718.92027282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384792.294305008</v>
      </c>
      <c r="D116" s="40" t="n">
        <f aca="false">-MIN(0,MIN($C$115:D115))</f>
        <v>554140.406368419</v>
      </c>
      <c r="E116" s="40" t="n">
        <f aca="false">-MIN(0,MIN($C$115:E115))</f>
        <v>932176.766112184</v>
      </c>
      <c r="F116" s="40" t="n">
        <f aca="false">-MIN(0,MIN($C$115:F115))</f>
        <v>995983.120515127</v>
      </c>
      <c r="G116" s="40" t="n">
        <f aca="false">-MIN(0,MIN($C$115:G115))</f>
        <v>1020649.02996703</v>
      </c>
      <c r="H116" s="40" t="n">
        <f aca="false">-MIN(0,MIN($C$115:H115))</f>
        <v>1020649.02996703</v>
      </c>
      <c r="I116" s="40" t="n">
        <f aca="false">-MIN(0,MIN($C$115:I115))</f>
        <v>1020649.02996703</v>
      </c>
      <c r="J116" s="40" t="n">
        <f aca="false">-MIN(0,MIN($C$115:J115))</f>
        <v>1020649.02996703</v>
      </c>
      <c r="K116" s="40" t="n">
        <f aca="false">-MIN(0,MIN($C$115:K115))</f>
        <v>2193611.44303444</v>
      </c>
      <c r="L116" s="40" t="n">
        <f aca="false">-MIN(0,MIN($C$115:L115))</f>
        <v>2193611.44303444</v>
      </c>
      <c r="M116" s="40" t="n">
        <f aca="false">-MIN(0,MIN($C$115:M115))</f>
        <v>2193611.44303444</v>
      </c>
      <c r="N116" s="40" t="n">
        <f aca="false">-MIN(0,MIN($C$115:N115))</f>
        <v>2193611.44303444</v>
      </c>
      <c r="O116" s="11" t="n">
        <f aca="false">MAX(C116:N116)</f>
        <v>2193611.44303444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3.7645914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6.2170926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7.23989622551929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6.97519071619982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6.68756757806905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7.7358032292966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7.65062712913917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3.7645914</v>
      </c>
      <c r="D129" s="8" t="n">
        <f aca="false">C129/INDEX(Assumptions!$C$179:$E$179,$B$3)</f>
        <v>0.31371595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6.2170926</v>
      </c>
      <c r="D130" s="8" t="n">
        <f aca="false">C130/INDEX(Assumptions!$C$179:$E$179,$B$3)</f>
        <v>0.51809105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1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7.23989622551929</v>
      </c>
      <c r="D131" s="8" t="n">
        <f aca="false">C131/INDEX(Assumptions!$C$179:$E$179,$B$3)</f>
        <v>0.603324685459941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1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6.97519071619982</v>
      </c>
      <c r="D132" s="8" t="n">
        <f aca="false">C132/INDEX(Assumptions!$C$179:$E$179,$B$3)</f>
        <v>0.581265893016651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6.68756757806905</v>
      </c>
      <c r="D133" s="8" t="n">
        <f aca="false">C133/INDEX(Assumptions!$C$179:$E$179,$B$3)</f>
        <v>0.557297298172421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7.7358032292966</v>
      </c>
      <c r="D134" s="8" t="n">
        <f aca="false">C134/INDEX(Assumptions!$C$179:$E$179,$B$3)</f>
        <v>0.64465026910805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7.65062712913917</v>
      </c>
      <c r="D135" s="8" t="n">
        <f aca="false">C135/INDEX(Assumptions!$C$179:$E$179,$B$3)</f>
        <v>0.637552260761597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3.7645914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6.2170926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9.912242884273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8.69128643428919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10.0349284305226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10.267782646781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3.7645914</v>
      </c>
      <c r="D143" s="8" t="n">
        <f aca="false">C143/INDEX(Assumptions!$C$179:$E$179,$B$3)</f>
        <v>0.31371595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6.2170926</v>
      </c>
      <c r="D144" s="8" t="n">
        <f aca="false">C144/INDEX(Assumptions!$C$179:$E$179,$B$3)</f>
        <v>0.51809105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1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9.912242884273</v>
      </c>
      <c r="D145" s="8" t="n">
        <f aca="false">C145/INDEX(Assumptions!$C$179:$E$179,$B$3)</f>
        <v>0.826020240356083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1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8.69128643428919</v>
      </c>
      <c r="D146" s="8" t="n">
        <f aca="false">C146/INDEX(Assumptions!$C$179:$E$179,$B$3)</f>
        <v>0.724273869524099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10.0349284305226</v>
      </c>
      <c r="D147" s="8" t="n">
        <f aca="false">C147/INDEX(Assumptions!$C$179:$E$179,$B$3)</f>
        <v>0.836244035876881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10.267782646781</v>
      </c>
      <c r="D148" s="8" t="n">
        <f aca="false">C148/INDEX(Assumptions!$C$179:$E$179,$B$3)</f>
        <v>0.855648553898417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6703824.82360693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248458.958246781</v>
      </c>
    </row>
    <row r="154" customFormat="false" ht="15" hidden="false" customHeight="false" outlineLevel="0" collapsed="false">
      <c r="A154" s="3" t="s">
        <v>45</v>
      </c>
      <c r="B154" s="9" t="n">
        <f aca="false">O104</f>
        <v>0.0370622688963851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-651541.041753219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2193611.44303444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806388.556965564</v>
      </c>
    </row>
    <row r="160" customFormat="false" ht="15" hidden="false" customHeight="false" outlineLevel="0" collapsed="false">
      <c r="A160" s="3" t="s">
        <v>51</v>
      </c>
      <c r="B160" s="7" t="n">
        <f aca="false">O38</f>
        <v>85.9211295327312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9.24388377968863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183.6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0.883191229944421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41627.1097275745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291829.284917767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6.63278610715884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79.5934332859061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11649.9757363694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0.206204570533739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0.518465744979507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20.6980830433943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536668.005582469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5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-1741718.92027282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5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1020649.02996703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2668048.67771964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178889.335194156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0.31371595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0.51809105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0.550842486645523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7.65062712913917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6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6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4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5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12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0.795512715252355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27.6395425438326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9722.22222222222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6.9699668328965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2220467.00558247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1581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0.8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53333.3333333333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53333.3333333333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53333.3333333333</v>
      </c>
      <c r="O53" s="40" t="n">
        <f aca="false">AVERAGE(C53:N53)</f>
        <v>49333.3333333333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48813.5593220339</v>
      </c>
      <c r="D56" s="10" t="n">
        <f aca="false">D34*D53/(1+INDEX(Assumptions!$C$15:$E$15,$B$3)*$H$4)</f>
        <v>59866.779661017</v>
      </c>
      <c r="E56" s="10" t="n">
        <f aca="false">E34*E53/(1+INDEX(Assumptions!$C$15:$E$15,$B$3)*$H$4)</f>
        <v>85423.7288135593</v>
      </c>
      <c r="F56" s="10" t="n">
        <f aca="false">F34*F53/(1+INDEX(Assumptions!$C$15:$E$15,$B$3)*$H$4)</f>
        <v>122033.898305085</v>
      </c>
      <c r="G56" s="10" t="n">
        <f aca="false">G34*G53/(1+INDEX(Assumptions!$C$15:$E$15,$B$3)*$H$4)</f>
        <v>155959.322033898</v>
      </c>
      <c r="H56" s="10" t="n">
        <f aca="false">H34*H53/(1+INDEX(Assumptions!$C$15:$E$15,$B$3)*$H$4)</f>
        <v>179389.830508475</v>
      </c>
      <c r="I56" s="10" t="n">
        <f aca="false">I34*I53/(1+INDEX(Assumptions!$C$15:$E$15,$B$3)*$H$4)</f>
        <v>187972.78912936</v>
      </c>
      <c r="J56" s="10" t="n">
        <f aca="false">J34*J53/(1+INDEX(Assumptions!$C$15:$E$15,$B$3)*$H$4)</f>
        <v>168252.903642158</v>
      </c>
      <c r="K56" s="10" t="n">
        <f aca="false">K34*K53/(1+INDEX(Assumptions!$C$15:$E$15,$B$3)*$H$4)</f>
        <v>178138.213263544</v>
      </c>
      <c r="L56" s="10" t="n">
        <f aca="false">L34*L53/(1+INDEX(Assumptions!$C$15:$E$15,$B$3)*$H$4)</f>
        <v>196881.355932203</v>
      </c>
      <c r="M56" s="10" t="n">
        <f aca="false">M34*M53/(1+INDEX(Assumptions!$C$15:$E$15,$B$3)*$H$4)</f>
        <v>200698.82716502</v>
      </c>
      <c r="N56" s="10" t="n">
        <f aca="false">N34*N53/(1+INDEX(Assumptions!$C$15:$E$15,$B$3)*$H$4)</f>
        <v>203389.830508475</v>
      </c>
      <c r="O56" s="40" t="n">
        <f aca="false">SUM(C56:N56)</f>
        <v>1786821.03828483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135593.220338983</v>
      </c>
      <c r="M57" s="10" t="n">
        <f aca="false">M35*M53/(1+INDEX(Assumptions!$C$15:$E$15,$B$3)*$H$4)</f>
        <v>127427.826771441</v>
      </c>
      <c r="N57" s="10" t="n">
        <f aca="false">N35*N53/(1+INDEX(Assumptions!$C$15:$E$15,$B$3)*$H$4)</f>
        <v>67796.6101694915</v>
      </c>
      <c r="O57" s="40" t="n">
        <f aca="false">SUM(C57:N57)</f>
        <v>330817.657279916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3270.50847457627</v>
      </c>
      <c r="E58" s="10" t="n">
        <f aca="false">E37*MAX(0,E53-INDEX(Assumptions!$C$18:$E$18,$B$3)*$H$3)/(1+INDEX(Assumptions!$C$15:$E$15,$B$3)*$H$4)</f>
        <v>4011.07423728814</v>
      </c>
      <c r="F58" s="10" t="n">
        <f aca="false">F37*MAX(0,F53-INDEX(Assumptions!$C$18:$E$18,$B$3)*$H$3)/(1+INDEX(Assumptions!$C$15:$E$15,$B$3)*$H$4)</f>
        <v>5723.38983050848</v>
      </c>
      <c r="G58" s="10" t="n">
        <f aca="false">G37*MAX(0,G53-INDEX(Assumptions!$C$18:$E$18,$B$3)*$H$3)/(1+INDEX(Assumptions!$C$15:$E$15,$B$3)*$H$4)</f>
        <v>8176.27118644068</v>
      </c>
      <c r="H58" s="10" t="n">
        <f aca="false">H37*MAX(0,H53-INDEX(Assumptions!$C$18:$E$18,$B$3)*$H$3)/(1+INDEX(Assumptions!$C$15:$E$15,$B$3)*$H$4)</f>
        <v>10449.2745762712</v>
      </c>
      <c r="I58" s="10" t="n">
        <f aca="false">I37*MAX(0,I53-INDEX(Assumptions!$C$18:$E$18,$B$3)*$H$3)/(1+INDEX(Assumptions!$C$15:$E$15,$B$3)*$H$4)</f>
        <v>9369.14979825438</v>
      </c>
      <c r="J58" s="10" t="n">
        <f aca="false">J37*MAX(0,J53-INDEX(Assumptions!$C$18:$E$18,$B$3)*$H$3)/(1+INDEX(Assumptions!$C$15:$E$15,$B$3)*$H$4)</f>
        <v>8462.02910648235</v>
      </c>
      <c r="K58" s="10" t="n">
        <f aca="false">K37*MAX(0,K53-INDEX(Assumptions!$C$18:$E$18,$B$3)*$H$3)/(1+INDEX(Assumptions!$C$15:$E$15,$B$3)*$H$4)</f>
        <v>8660.84720454687</v>
      </c>
      <c r="L58" s="10" t="n">
        <f aca="false">L37*MAX(0,L53-INDEX(Assumptions!$C$18:$E$18,$B$3)*$H$3)/(1+INDEX(Assumptions!$C$15:$E$15,$B$3)*$H$4)</f>
        <v>15893.8872500695</v>
      </c>
      <c r="M58" s="10" t="n">
        <f aca="false">M37*MAX(0,M53-INDEX(Assumptions!$C$18:$E$18,$B$3)*$H$3)/(1+INDEX(Assumptions!$C$15:$E$15,$B$3)*$H$4)</f>
        <v>19810.0318921497</v>
      </c>
      <c r="N58" s="10" t="n">
        <f aca="false">N37*MAX(0,N53-INDEX(Assumptions!$C$18:$E$18,$B$3)*$H$3)/(1+INDEX(Assumptions!$C$15:$E$15,$B$3)*$H$4)</f>
        <v>21488.1544284682</v>
      </c>
      <c r="O58" s="40" t="n">
        <f aca="false">SUM(C58:N58)</f>
        <v>115314.617985056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21640.6779661017</v>
      </c>
      <c r="D59" s="10" t="n">
        <f aca="false">D36*INDEX(Assumptions!$C$18:$E$18,$B$3)*$H$3/(1+INDEX(Assumptions!$C$15:$E$15,$B$3)*$H$4)</f>
        <v>26540.9389830509</v>
      </c>
      <c r="E59" s="10" t="n">
        <f aca="false">E36*INDEX(Assumptions!$C$18:$E$18,$B$3)*$H$3/(1+INDEX(Assumptions!$C$15:$E$15,$B$3)*$H$4)</f>
        <v>37871.186440678</v>
      </c>
      <c r="F59" s="10" t="n">
        <f aca="false">F36*INDEX(Assumptions!$C$18:$E$18,$B$3)*$H$3/(1+INDEX(Assumptions!$C$15:$E$15,$B$3)*$H$4)</f>
        <v>54101.6949152542</v>
      </c>
      <c r="G59" s="10" t="n">
        <f aca="false">G36*INDEX(Assumptions!$C$18:$E$18,$B$3)*$H$3/(1+INDEX(Assumptions!$C$15:$E$15,$B$3)*$H$4)</f>
        <v>69141.9661016949</v>
      </c>
      <c r="H59" s="10" t="n">
        <f aca="false">H36*INDEX(Assumptions!$C$18:$E$18,$B$3)*$H$3/(1+INDEX(Assumptions!$C$15:$E$15,$B$3)*$H$4)</f>
        <v>79529.4915254237</v>
      </c>
      <c r="I59" s="10" t="n">
        <f aca="false">I36*INDEX(Assumptions!$C$18:$E$18,$B$3)*$H$3/(1+INDEX(Assumptions!$C$15:$E$15,$B$3)*$H$4)</f>
        <v>83334.6031806828</v>
      </c>
      <c r="J59" s="10" t="n">
        <f aca="false">J36*INDEX(Assumptions!$C$18:$E$18,$B$3)*$H$3/(1+INDEX(Assumptions!$C$15:$E$15,$B$3)*$H$4)</f>
        <v>74592.1206146899</v>
      </c>
      <c r="K59" s="10" t="n">
        <f aca="false">K36*INDEX(Assumptions!$C$18:$E$18,$B$3)*$H$3/(1+INDEX(Assumptions!$C$15:$E$15,$B$3)*$H$4)</f>
        <v>78974.607880171</v>
      </c>
      <c r="L59" s="10" t="n">
        <f aca="false">L36*INDEX(Assumptions!$C$18:$E$18,$B$3)*$H$3/(1+INDEX(Assumptions!$C$15:$E$15,$B$3)*$H$4)</f>
        <v>104740.881355932</v>
      </c>
      <c r="M59" s="10" t="n">
        <f aca="false">M36*INDEX(Assumptions!$C$18:$E$18,$B$3)*$H$3/(1+INDEX(Assumptions!$C$15:$E$15,$B$3)*$H$4)</f>
        <v>106771.776051791</v>
      </c>
      <c r="N59" s="10" t="n">
        <f aca="false">N36*INDEX(Assumptions!$C$18:$E$18,$B$3)*$H$3/(1+INDEX(Assumptions!$C$15:$E$15,$B$3)*$H$4)</f>
        <v>108203.389830508</v>
      </c>
      <c r="O59" s="40" t="n">
        <f aca="false">SUM(C59:N59)</f>
        <v>845443.334845979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23050.8474576271</v>
      </c>
      <c r="F61" s="10" t="n">
        <f aca="false">F46*INDEX(Assumptions!$C$21:$E$21,$B$3)*$H$3/(1+INDEX(Assumptions!$C$15:$E$15,$B$3)*$H$4)</f>
        <v>46101.6949152542</v>
      </c>
      <c r="G61" s="10" t="n">
        <f aca="false">G46*INDEX(Assumptions!$C$21:$E$21,$B$3)*$H$3/(1+INDEX(Assumptions!$C$15:$E$15,$B$3)*$H$4)</f>
        <v>69152.5423728814</v>
      </c>
      <c r="H61" s="10" t="n">
        <f aca="false">H46*INDEX(Assumptions!$C$21:$E$21,$B$3)*$H$3/(1+INDEX(Assumptions!$C$15:$E$15,$B$3)*$H$4)</f>
        <v>92203.3898305085</v>
      </c>
      <c r="I61" s="10" t="n">
        <f aca="false">I46*INDEX(Assumptions!$C$21:$E$21,$B$3)*$H$3/(1+INDEX(Assumptions!$C$15:$E$15,$B$3)*$H$4)</f>
        <v>115254.237288136</v>
      </c>
      <c r="J61" s="10" t="n">
        <f aca="false">J46*INDEX(Assumptions!$C$21:$E$21,$B$3)*$H$3/(1+INDEX(Assumptions!$C$15:$E$15,$B$3)*$H$4)</f>
        <v>138305.084745763</v>
      </c>
      <c r="K61" s="10" t="n">
        <f aca="false">K46*INDEX(Assumptions!$C$21:$E$21,$B$3)*$H$3/(1+INDEX(Assumptions!$C$15:$E$15,$B$3)*$H$4)</f>
        <v>138305.084745763</v>
      </c>
      <c r="L61" s="10" t="n">
        <f aca="false">L46*INDEX(Assumptions!$C$21:$E$21,$B$3)*$H$3/(1+INDEX(Assumptions!$C$15:$E$15,$B$3)*$H$4)</f>
        <v>138305.084745763</v>
      </c>
      <c r="M61" s="10" t="n">
        <f aca="false">M46*INDEX(Assumptions!$C$21:$E$21,$B$3)*$H$3/(1+INDEX(Assumptions!$C$15:$E$15,$B$3)*$H$4)</f>
        <v>138305.084745763</v>
      </c>
      <c r="N61" s="10" t="n">
        <f aca="false">N46*INDEX(Assumptions!$C$21:$E$21,$B$3)*$H$3/(1+INDEX(Assumptions!$C$15:$E$15,$B$3)*$H$4)</f>
        <v>138305.084745763</v>
      </c>
      <c r="O61" s="40" t="n">
        <f aca="false">SUM(C61:N61)</f>
        <v>1037288.13559322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23724.0677966102</v>
      </c>
      <c r="D62" s="10" t="n">
        <f aca="false">D47*INDEX(Assumptions!$C$22:$E$22,$B$3)*$H$3/(1+INDEX(Assumptions!$C$15:$E$15,$B$3)*$H$4)</f>
        <v>40669.8305084746</v>
      </c>
      <c r="E62" s="10" t="n">
        <f aca="false">E47*INDEX(Assumptions!$C$22:$E$22,$B$3)*$H$3/(1+INDEX(Assumptions!$C$15:$E$15,$B$3)*$H$4)</f>
        <v>61004.7457627119</v>
      </c>
      <c r="F62" s="10" t="n">
        <f aca="false">F47*INDEX(Assumptions!$C$22:$E$22,$B$3)*$H$3/(1+INDEX(Assumptions!$C$15:$E$15,$B$3)*$H$4)</f>
        <v>66088.4745762712</v>
      </c>
      <c r="G62" s="10" t="n">
        <f aca="false">G47*INDEX(Assumptions!$C$22:$E$22,$B$3)*$H$3/(1+INDEX(Assumptions!$C$15:$E$15,$B$3)*$H$4)</f>
        <v>45753.5593220339</v>
      </c>
      <c r="H62" s="10" t="n">
        <f aca="false">H47*INDEX(Assumptions!$C$22:$E$22,$B$3)*$H$3/(1+INDEX(Assumptions!$C$15:$E$15,$B$3)*$H$4)</f>
        <v>40669.8305084746</v>
      </c>
      <c r="I62" s="10" t="n">
        <f aca="false">I47*INDEX(Assumptions!$C$22:$E$22,$B$3)*$H$3/(1+INDEX(Assumptions!$C$15:$E$15,$B$3)*$H$4)</f>
        <v>35586.1016949153</v>
      </c>
      <c r="J62" s="10" t="n">
        <f aca="false">J47*INDEX(Assumptions!$C$22:$E$22,$B$3)*$H$3/(1+INDEX(Assumptions!$C$15:$E$15,$B$3)*$H$4)</f>
        <v>30502.3728813559</v>
      </c>
      <c r="K62" s="10" t="n">
        <f aca="false">K47*INDEX(Assumptions!$C$22:$E$22,$B$3)*$H$3/(1+INDEX(Assumptions!$C$15:$E$15,$B$3)*$H$4)</f>
        <v>30502.3728813559</v>
      </c>
      <c r="L62" s="10" t="n">
        <f aca="false">L47*INDEX(Assumptions!$C$22:$E$22,$B$3)*$H$3/(1+INDEX(Assumptions!$C$15:$E$15,$B$3)*$H$4)</f>
        <v>40669.8305084746</v>
      </c>
      <c r="M62" s="10" t="n">
        <f aca="false">M47*INDEX(Assumptions!$C$22:$E$22,$B$3)*$H$3/(1+INDEX(Assumptions!$C$15:$E$15,$B$3)*$H$4)</f>
        <v>55921.0169491525</v>
      </c>
      <c r="N62" s="10" t="n">
        <f aca="false">N47*INDEX(Assumptions!$C$22:$E$22,$B$3)*$H$3/(1+INDEX(Assumptions!$C$15:$E$15,$B$3)*$H$4)</f>
        <v>71172.2033898305</v>
      </c>
      <c r="O62" s="40" t="n">
        <f aca="false">SUM(C62:N62)</f>
        <v>542264.406779661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95597.3698604</v>
      </c>
      <c r="D66" s="40" t="n">
        <f aca="false">SUM(D56:D65)</f>
        <v>132088.45188291</v>
      </c>
      <c r="E66" s="40" t="n">
        <f aca="false">SUM(E56:E65)</f>
        <v>215861.693526887</v>
      </c>
      <c r="F66" s="40" t="n">
        <f aca="false">SUM(F56:F65)</f>
        <v>301630.309396763</v>
      </c>
      <c r="G66" s="40" t="n">
        <f aca="false">SUM(G56:G65)</f>
        <v>358767.815348046</v>
      </c>
      <c r="H66" s="40" t="n">
        <f aca="false">SUM(H56:H65)</f>
        <v>415523.869830191</v>
      </c>
      <c r="I66" s="40" t="n">
        <f aca="false">SUM(I56:I65)</f>
        <v>448610.798371216</v>
      </c>
      <c r="J66" s="40" t="n">
        <f aca="false">SUM(J56:J65)</f>
        <v>439494.798035318</v>
      </c>
      <c r="K66" s="40" t="n">
        <f aca="false">SUM(K56:K65)</f>
        <v>453422.168405501</v>
      </c>
      <c r="L66" s="40" t="n">
        <f aca="false">SUM(L56:L65)</f>
        <v>678440.202120169</v>
      </c>
      <c r="M66" s="40" t="n">
        <f aca="false">SUM(M56:M65)</f>
        <v>695779.972251689</v>
      </c>
      <c r="N66" s="40" t="n">
        <f aca="false">SUM(N56:N65)</f>
        <v>655636.505425384</v>
      </c>
      <c r="O66" s="11" t="n">
        <f aca="false">SUM(C66:N66)</f>
        <v>4890853.95445447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70454.2372881356</v>
      </c>
      <c r="D67" s="10" t="n">
        <f aca="false">D56+D57+D58+D59</f>
        <v>89678.2271186441</v>
      </c>
      <c r="E67" s="10" t="n">
        <f aca="false">E56+E57+E58+E59</f>
        <v>127305.989491525</v>
      </c>
      <c r="F67" s="10" t="n">
        <f aca="false">F56+F57+F58+F59</f>
        <v>181858.983050847</v>
      </c>
      <c r="G67" s="10" t="n">
        <f aca="false">G56+G57+G58+G59</f>
        <v>233277.559322034</v>
      </c>
      <c r="H67" s="10" t="n">
        <f aca="false">H56+H57+H58+H59</f>
        <v>269368.59661017</v>
      </c>
      <c r="I67" s="10" t="n">
        <f aca="false">I56+I57+I58+I59</f>
        <v>280676.542108297</v>
      </c>
      <c r="J67" s="10" t="n">
        <f aca="false">J56+J57+J58+J59</f>
        <v>251307.05336333</v>
      </c>
      <c r="K67" s="10" t="n">
        <f aca="false">K56+K57+K58+K59</f>
        <v>265773.668348261</v>
      </c>
      <c r="L67" s="10" t="n">
        <f aca="false">L56+L57+L58+L59</f>
        <v>453109.344877188</v>
      </c>
      <c r="M67" s="10" t="n">
        <f aca="false">M56+M57+M58+M59</f>
        <v>454708.461880402</v>
      </c>
      <c r="N67" s="10" t="n">
        <f aca="false">N56+N57+N58+N59</f>
        <v>400877.984936943</v>
      </c>
      <c r="O67" s="40" t="n">
        <f aca="false">SUM(C67:N67)</f>
        <v>3078396.64839578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3264.09792870544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4421.07246443668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6941.16465023452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9756.6633017636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11856.3204422139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13726.5408479925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14662.3258804159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14021.2405948929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14558.1637730359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23204.9975417499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23605.2999075007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21516.7519169869</v>
      </c>
      <c r="O75" s="40" t="n">
        <f aca="false">SUM(C75:N75)</f>
        <v>161534.639249929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30933.1410806754</v>
      </c>
      <c r="D77" s="40" t="n">
        <f aca="false">SUM(D69:D76)</f>
        <v>41161.3995751309</v>
      </c>
      <c r="E77" s="40" t="n">
        <f aca="false">SUM(E69:E76)</f>
        <v>63304.060166182</v>
      </c>
      <c r="F77" s="40" t="n">
        <f aca="false">SUM(F69:F76)</f>
        <v>90001.2711816886</v>
      </c>
      <c r="G77" s="40" t="n">
        <f aca="false">SUM(G69:G76)</f>
        <v>111940.913312758</v>
      </c>
      <c r="H77" s="40" t="n">
        <f aca="false">SUM(H69:H76)</f>
        <v>130025.074431482</v>
      </c>
      <c r="I77" s="40" t="n">
        <f aca="false">SUM(I69:I76)</f>
        <v>138644.90895637</v>
      </c>
      <c r="J77" s="40" t="n">
        <f aca="false">SUM(J69:J76)</f>
        <v>131112.334112428</v>
      </c>
      <c r="K77" s="40" t="n">
        <f aca="false">SUM(K69:K76)</f>
        <v>136499.842055681</v>
      </c>
      <c r="L77" s="40" t="n">
        <f aca="false">SUM(L69:L76)</f>
        <v>153903.043688559</v>
      </c>
      <c r="M77" s="40" t="n">
        <f aca="false">SUM(M69:M76)</f>
        <v>156518.45569938</v>
      </c>
      <c r="N77" s="40" t="n">
        <f aca="false">SUM(N69:N76)</f>
        <v>143872.706158479</v>
      </c>
      <c r="O77" s="11" t="n">
        <f aca="false">SUM(C77:N77)</f>
        <v>1327917.15041881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64664.2287797246</v>
      </c>
      <c r="D78" s="40" t="n">
        <f aca="false">D66-D77</f>
        <v>90927.0523077793</v>
      </c>
      <c r="E78" s="40" t="n">
        <f aca="false">E66-E77</f>
        <v>152557.633360705</v>
      </c>
      <c r="F78" s="40" t="n">
        <f aca="false">F66-F77</f>
        <v>211629.038215074</v>
      </c>
      <c r="G78" s="40" t="n">
        <f aca="false">G66-G77</f>
        <v>246826.902035288</v>
      </c>
      <c r="H78" s="40" t="n">
        <f aca="false">H66-H77</f>
        <v>285498.795398708</v>
      </c>
      <c r="I78" s="40" t="n">
        <f aca="false">I66-I77</f>
        <v>309965.889414846</v>
      </c>
      <c r="J78" s="40" t="n">
        <f aca="false">J66-J77</f>
        <v>308382.463922889</v>
      </c>
      <c r="K78" s="40" t="n">
        <f aca="false">K66-K77</f>
        <v>316922.32634982</v>
      </c>
      <c r="L78" s="40" t="n">
        <f aca="false">L66-L77</f>
        <v>524537.158431609</v>
      </c>
      <c r="M78" s="40" t="n">
        <f aca="false">M66-M77</f>
        <v>539261.516552309</v>
      </c>
      <c r="N78" s="40" t="n">
        <f aca="false">N66-N77</f>
        <v>511763.799266905</v>
      </c>
      <c r="O78" s="11" t="n">
        <f aca="false">SUM(C78:N78)</f>
        <v>3562936.80403566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0.67642267642042</v>
      </c>
      <c r="D79" s="8" t="n">
        <f aca="false">IFERROR(D78/D66,0)</f>
        <v>0.688380028773307</v>
      </c>
      <c r="E79" s="8" t="n">
        <f aca="false">IFERROR(E78/E66,0)</f>
        <v>0.706737869364964</v>
      </c>
      <c r="F79" s="8" t="n">
        <f aca="false">IFERROR(F78/F66,0)</f>
        <v>0.701617283217711</v>
      </c>
      <c r="G79" s="8" t="n">
        <f aca="false">IFERROR(G78/G66,0)</f>
        <v>0.687985074123323</v>
      </c>
      <c r="H79" s="8" t="n">
        <f aca="false">IFERROR(H78/H66,0)</f>
        <v>0.68708157612072</v>
      </c>
      <c r="I79" s="8" t="n">
        <f aca="false">IFERROR(I78/I66,0)</f>
        <v>0.690946117526034</v>
      </c>
      <c r="J79" s="8" t="n">
        <f aca="false">IFERROR(J78/J66,0)</f>
        <v>0.70167488967209</v>
      </c>
      <c r="K79" s="8" t="n">
        <f aca="false">IFERROR(K78/K66,0)</f>
        <v>0.698956399649152</v>
      </c>
      <c r="L79" s="8" t="n">
        <f aca="false">IFERROR(L78/L66,0)</f>
        <v>0.773151645189064</v>
      </c>
      <c r="M79" s="8" t="n">
        <f aca="false">IFERROR(M78/M66,0)</f>
        <v>0.775046046248136</v>
      </c>
      <c r="N79" s="8" t="n">
        <f aca="false">IFERROR(N78/N66,0)</f>
        <v>0.780560257142588</v>
      </c>
      <c r="O79" s="13" t="n">
        <f aca="false">IFERROR(O78/O66,0)</f>
        <v>0.728489715132594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-222168.771220275</v>
      </c>
      <c r="D103" s="40" t="n">
        <f aca="false">D78-D102</f>
        <v>-210905.947692221</v>
      </c>
      <c r="E103" s="40" t="n">
        <f aca="false">E78-E102</f>
        <v>-339275.366639296</v>
      </c>
      <c r="F103" s="40" t="n">
        <f aca="false">F78-F102</f>
        <v>-140203.961784926</v>
      </c>
      <c r="G103" s="40" t="n">
        <f aca="false">G78-G102</f>
        <v>-123006.097964712</v>
      </c>
      <c r="H103" s="40" t="n">
        <f aca="false">H78-H102</f>
        <v>-84334.2046012917</v>
      </c>
      <c r="I103" s="40" t="n">
        <f aca="false">I78-I102</f>
        <v>-59867.1105851542</v>
      </c>
      <c r="J103" s="40" t="n">
        <f aca="false">J78-J102</f>
        <v>-61450.536077111</v>
      </c>
      <c r="K103" s="40" t="n">
        <f aca="false">K78-K102</f>
        <v>-57910.67365018</v>
      </c>
      <c r="L103" s="40" t="n">
        <f aca="false">L78-L102</f>
        <v>-23395.8415683906</v>
      </c>
      <c r="M103" s="40" t="n">
        <f aca="false">M78-M102</f>
        <v>-28671.4834476908</v>
      </c>
      <c r="N103" s="40" t="n">
        <f aca="false">N78-N102</f>
        <v>-56169.2007330949</v>
      </c>
      <c r="O103" s="11" t="n">
        <f aca="false">SUM(C103:N103)</f>
        <v>-1407359.19596434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-2.32400505939344</v>
      </c>
      <c r="D104" s="8" t="n">
        <f aca="false">IFERROR(D103/D66,0)</f>
        <v>-1.59670239665749</v>
      </c>
      <c r="E104" s="8" t="n">
        <f aca="false">IFERROR(E103/E66,0)</f>
        <v>-1.57172567812286</v>
      </c>
      <c r="F104" s="8" t="n">
        <f aca="false">IFERROR(F103/F66,0)</f>
        <v>-0.464820534996376</v>
      </c>
      <c r="G104" s="8" t="n">
        <f aca="false">IFERROR(G103/G66,0)</f>
        <v>-0.342857114552993</v>
      </c>
      <c r="H104" s="8" t="n">
        <f aca="false">IFERROR(H103/H66,0)</f>
        <v>-0.202958748520888</v>
      </c>
      <c r="I104" s="8" t="n">
        <f aca="false">IFERROR(I103/I66,0)</f>
        <v>-0.133449998980219</v>
      </c>
      <c r="J104" s="8" t="n">
        <f aca="false">IFERROR(J103/J66,0)</f>
        <v>-0.139820849647856</v>
      </c>
      <c r="K104" s="8" t="n">
        <f aca="false">IFERROR(K103/K66,0)</f>
        <v>-0.127719105252017</v>
      </c>
      <c r="L104" s="8" t="n">
        <f aca="false">IFERROR(L103/L66,0)</f>
        <v>-0.0344847511914493</v>
      </c>
      <c r="M104" s="8" t="n">
        <f aca="false">IFERROR(M103/M66,0)</f>
        <v>-0.0412076871872353</v>
      </c>
      <c r="N104" s="8" t="n">
        <f aca="false">IFERROR(N103/N66,0)</f>
        <v>-0.0856712526961137</v>
      </c>
      <c r="O104" s="8" t="n">
        <f aca="false">IFERROR(O103/O66,0)</f>
        <v>-0.287753265395004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-297168.771220275</v>
      </c>
      <c r="D105" s="10" t="n">
        <f aca="false">D103-INDEX(Assumptions!$C$204:$E$204,$B$3)</f>
        <v>-285905.947692221</v>
      </c>
      <c r="E105" s="10" t="n">
        <f aca="false">E103-INDEX(Assumptions!$C$204:$E$204,$B$3)</f>
        <v>-414275.366639296</v>
      </c>
      <c r="F105" s="10" t="n">
        <f aca="false">F103-INDEX(Assumptions!$C$204:$E$204,$B$3)</f>
        <v>-215203.961784926</v>
      </c>
      <c r="G105" s="10" t="n">
        <f aca="false">G103-INDEX(Assumptions!$C$204:$E$204,$B$3)</f>
        <v>-198006.097964712</v>
      </c>
      <c r="H105" s="10" t="n">
        <f aca="false">H103-INDEX(Assumptions!$C$204:$E$204,$B$3)</f>
        <v>-159334.204601292</v>
      </c>
      <c r="I105" s="10" t="n">
        <f aca="false">I103-INDEX(Assumptions!$C$204:$E$204,$B$3)</f>
        <v>-134867.110585154</v>
      </c>
      <c r="J105" s="10" t="n">
        <f aca="false">J103-INDEX(Assumptions!$C$204:$E$204,$B$3)</f>
        <v>-136450.536077111</v>
      </c>
      <c r="K105" s="10" t="n">
        <f aca="false">K103-INDEX(Assumptions!$C$204:$E$204,$B$3)</f>
        <v>-132910.67365018</v>
      </c>
      <c r="L105" s="10" t="n">
        <f aca="false">L103-INDEX(Assumptions!$C$204:$E$204,$B$3)</f>
        <v>-98395.8415683906</v>
      </c>
      <c r="M105" s="10" t="n">
        <f aca="false">M103-INDEX(Assumptions!$C$204:$E$204,$B$3)</f>
        <v>-103671.483447691</v>
      </c>
      <c r="N105" s="10" t="n">
        <f aca="false">N103-INDEX(Assumptions!$C$204:$E$204,$B$3)</f>
        <v>-131169.200733095</v>
      </c>
      <c r="O105" s="40" t="n">
        <f aca="false">SUM(C105:N105)</f>
        <v>-2307359.19596434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-35227.1186440678</v>
      </c>
      <c r="D113" s="10" t="n">
        <f aca="false">((D67+IF(INDEX(Assumptions!$C$87:$E$87,$B$3)&gt;=2,C67,0)+IF(INDEX(Assumptions!$C$87:$E$87,$B$3)&gt;=3,0,0))/INDEX(Assumptions!$C$87:$E$87,$B$3))-D67</f>
        <v>-9611.99491525424</v>
      </c>
      <c r="E113" s="10" t="n">
        <f aca="false">((E67+IF(INDEX(Assumptions!$C$87:$E$87,$B$3)&gt;=2,D67,0)+IF(INDEX(Assumptions!$C$87:$E$87,$B$3)&gt;=3,C67,0))/INDEX(Assumptions!$C$87:$E$87,$B$3))-E67</f>
        <v>-18813.8811864407</v>
      </c>
      <c r="F113" s="10" t="n">
        <f aca="false">((F67+IF(INDEX(Assumptions!$C$87:$E$87,$B$3)&gt;=2,E67,0)+IF(INDEX(Assumptions!$C$87:$E$87,$B$3)&gt;=3,D67,0))/INDEX(Assumptions!$C$87:$E$87,$B$3))-F67</f>
        <v>-27276.496779661</v>
      </c>
      <c r="G113" s="10" t="n">
        <f aca="false">((G67+IF(INDEX(Assumptions!$C$87:$E$87,$B$3)&gt;=2,F67,0)+IF(INDEX(Assumptions!$C$87:$E$87,$B$3)&gt;=3,E67,0))/INDEX(Assumptions!$C$87:$E$87,$B$3))-G67</f>
        <v>-25709.2881355932</v>
      </c>
      <c r="H113" s="10" t="n">
        <f aca="false">((H67+IF(INDEX(Assumptions!$C$87:$E$87,$B$3)&gt;=2,G67,0)+IF(INDEX(Assumptions!$C$87:$E$87,$B$3)&gt;=3,F67,0))/INDEX(Assumptions!$C$87:$E$87,$B$3))-H67</f>
        <v>-18045.5186440678</v>
      </c>
      <c r="I113" s="10" t="n">
        <f aca="false">((I67+IF(INDEX(Assumptions!$C$87:$E$87,$B$3)&gt;=2,H67,0)+IF(INDEX(Assumptions!$C$87:$E$87,$B$3)&gt;=3,G67,0))/INDEX(Assumptions!$C$87:$E$87,$B$3))-I67</f>
        <v>-5653.97274906369</v>
      </c>
      <c r="J113" s="10" t="n">
        <f aca="false">((J67+IF(INDEX(Assumptions!$C$87:$E$87,$B$3)&gt;=2,I67,0)+IF(INDEX(Assumptions!$C$87:$E$87,$B$3)&gt;=3,H67,0))/INDEX(Assumptions!$C$87:$E$87,$B$3))-J67</f>
        <v>14684.7443724836</v>
      </c>
      <c r="K113" s="10" t="n">
        <f aca="false">((K67+IF(INDEX(Assumptions!$C$87:$E$87,$B$3)&gt;=2,J67,0)+IF(INDEX(Assumptions!$C$87:$E$87,$B$3)&gt;=3,I67,0))/INDEX(Assumptions!$C$87:$E$87,$B$3))-K67</f>
        <v>-7233.30749246583</v>
      </c>
      <c r="L113" s="10" t="n">
        <f aca="false">((L67+IF(INDEX(Assumptions!$C$87:$E$87,$B$3)&gt;=2,K67,0)+IF(INDEX(Assumptions!$C$87:$E$87,$B$3)&gt;=3,J67,0))/INDEX(Assumptions!$C$87:$E$87,$B$3))-L67</f>
        <v>-93667.8382644634</v>
      </c>
      <c r="M113" s="10" t="n">
        <f aca="false">((M67+IF(INDEX(Assumptions!$C$87:$E$87,$B$3)&gt;=2,L67,0)+IF(INDEX(Assumptions!$C$87:$E$87,$B$3)&gt;=3,K67,0))/INDEX(Assumptions!$C$87:$E$87,$B$3))-M67</f>
        <v>-799.55850160704</v>
      </c>
      <c r="N113" s="10" t="n">
        <f aca="false">((N67+IF(INDEX(Assumptions!$C$87:$E$87,$B$3)&gt;=2,M67,0)+IF(INDEX(Assumptions!$C$87:$E$87,$B$3)&gt;=3,L67,0))/INDEX(Assumptions!$C$87:$E$87,$B$3))-N67</f>
        <v>26915.2384717298</v>
      </c>
      <c r="O113" s="40" t="n">
        <f aca="false">SUM(C113:N113)</f>
        <v>-200438.992468471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-407395.889864343</v>
      </c>
      <c r="D114" s="40" t="n">
        <f aca="false">D103+D113-D112</f>
        <v>-220517.942607475</v>
      </c>
      <c r="E114" s="40" t="n">
        <f aca="false">E103+E113-E112</f>
        <v>-458089.247825736</v>
      </c>
      <c r="F114" s="40" t="n">
        <f aca="false">F103+F113-F112</f>
        <v>-167480.458564587</v>
      </c>
      <c r="G114" s="40" t="n">
        <f aca="false">G103+G113-G112</f>
        <v>-148715.386100305</v>
      </c>
      <c r="H114" s="40" t="n">
        <f aca="false">H103+H113-H112</f>
        <v>-102379.723245359</v>
      </c>
      <c r="I114" s="40" t="n">
        <f aca="false">I103+I113-I112</f>
        <v>-65521.0833342178</v>
      </c>
      <c r="J114" s="40" t="n">
        <f aca="false">J103+J113-J112</f>
        <v>-46765.7917046274</v>
      </c>
      <c r="K114" s="40" t="n">
        <f aca="false">K103+K113-K112</f>
        <v>-1537143.98114265</v>
      </c>
      <c r="L114" s="40" t="n">
        <f aca="false">L103+L113-L112</f>
        <v>-117063.679832854</v>
      </c>
      <c r="M114" s="40" t="n">
        <f aca="false">M103+M113-M112</f>
        <v>-29471.0419492979</v>
      </c>
      <c r="N114" s="40" t="n">
        <f aca="false">N103+N113-N112</f>
        <v>-29253.9622613651</v>
      </c>
      <c r="O114" s="11" t="n">
        <f aca="false">SUM(C114:N114)</f>
        <v>-3329798.18843281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-407395.889864343</v>
      </c>
      <c r="D115" s="40" t="n">
        <f aca="false">C115+D114</f>
        <v>-627913.832471818</v>
      </c>
      <c r="E115" s="40" t="n">
        <f aca="false">D115+E114</f>
        <v>-1086003.08029755</v>
      </c>
      <c r="F115" s="40" t="n">
        <f aca="false">E115+F114</f>
        <v>-1253483.53886214</v>
      </c>
      <c r="G115" s="40" t="n">
        <f aca="false">F115+G114</f>
        <v>-1402198.92496245</v>
      </c>
      <c r="H115" s="40" t="n">
        <f aca="false">G115+H114</f>
        <v>-1504578.64820781</v>
      </c>
      <c r="I115" s="40" t="n">
        <f aca="false">H115+I114</f>
        <v>-1570099.73154202</v>
      </c>
      <c r="J115" s="40" t="n">
        <f aca="false">I115+J114</f>
        <v>-1616865.52324665</v>
      </c>
      <c r="K115" s="40" t="n">
        <f aca="false">J115+K114</f>
        <v>-3154009.5043893</v>
      </c>
      <c r="L115" s="40" t="n">
        <f aca="false">K115+L114</f>
        <v>-3271073.18422215</v>
      </c>
      <c r="M115" s="40" t="n">
        <f aca="false">L115+M114</f>
        <v>-3300544.22617145</v>
      </c>
      <c r="N115" s="40" t="n">
        <f aca="false">M115+N114</f>
        <v>-3329798.18843281</v>
      </c>
      <c r="O115" s="11" t="n">
        <f aca="false">N115</f>
        <v>-3329798.18843281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407395.889864343</v>
      </c>
      <c r="D116" s="40" t="n">
        <f aca="false">-MIN(0,MIN($C$115:D115))</f>
        <v>627913.832471818</v>
      </c>
      <c r="E116" s="40" t="n">
        <f aca="false">-MIN(0,MIN($C$115:E115))</f>
        <v>1086003.08029755</v>
      </c>
      <c r="F116" s="40" t="n">
        <f aca="false">-MIN(0,MIN($C$115:F115))</f>
        <v>1253483.53886214</v>
      </c>
      <c r="G116" s="40" t="n">
        <f aca="false">-MIN(0,MIN($C$115:G115))</f>
        <v>1402198.92496245</v>
      </c>
      <c r="H116" s="40" t="n">
        <f aca="false">-MIN(0,MIN($C$115:H115))</f>
        <v>1504578.64820781</v>
      </c>
      <c r="I116" s="40" t="n">
        <f aca="false">-MIN(0,MIN($C$115:I115))</f>
        <v>1570099.73154202</v>
      </c>
      <c r="J116" s="40" t="n">
        <f aca="false">-MIN(0,MIN($C$115:J115))</f>
        <v>1616865.52324665</v>
      </c>
      <c r="K116" s="40" t="n">
        <f aca="false">-MIN(0,MIN($C$115:K115))</f>
        <v>3154009.5043893</v>
      </c>
      <c r="L116" s="40" t="n">
        <f aca="false">-MIN(0,MIN($C$115:L115))</f>
        <v>3271073.18422215</v>
      </c>
      <c r="M116" s="40" t="n">
        <f aca="false">-MIN(0,MIN($C$115:M115))</f>
        <v>3300544.22617145</v>
      </c>
      <c r="N116" s="40" t="n">
        <f aca="false">-MIN(0,MIN($C$115:N115))</f>
        <v>3329798.18843281</v>
      </c>
      <c r="O116" s="11" t="n">
        <f aca="false">MAX(C116:N116)</f>
        <v>3329798.18843281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4890853.95445447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-1407359.19596434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-0.287753265395004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-2307359.19596434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3329798.18843281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-329798.188432814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32301.8795621841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188745.003645064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11.738883355842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140.866600270104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0.258391875359361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0.6543575229317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25.5938225233643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-108236.525749176</v>
      </c>
    </row>
    <row r="177" customFormat="false" ht="15" hidden="false" customHeight="false" outlineLevel="0" collapsed="false">
      <c r="A177" s="3" t="s">
        <v>68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-3329798.18843281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1616865.52324665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53333.3333333333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-36078.8419163921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1575562.47425082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1582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1.15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76666.6666666666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76666.6666666666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76666.6666666666</v>
      </c>
      <c r="O53" s="40" t="n">
        <f aca="false">AVERAGE(C53:N53)</f>
        <v>70916.6666666667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70169.4915254237</v>
      </c>
      <c r="D56" s="10" t="n">
        <f aca="false">D34*D53/(1+INDEX(Assumptions!$C$15:$E$15,$B$3)*$H$4)</f>
        <v>86058.4957627119</v>
      </c>
      <c r="E56" s="10" t="n">
        <f aca="false">E34*E53/(1+INDEX(Assumptions!$C$15:$E$15,$B$3)*$H$4)</f>
        <v>122796.610169492</v>
      </c>
      <c r="F56" s="10" t="n">
        <f aca="false">F34*F53/(1+INDEX(Assumptions!$C$15:$E$15,$B$3)*$H$4)</f>
        <v>175423.728813559</v>
      </c>
      <c r="G56" s="10" t="n">
        <f aca="false">G34*G53/(1+INDEX(Assumptions!$C$15:$E$15,$B$3)*$H$4)</f>
        <v>224191.525423729</v>
      </c>
      <c r="H56" s="10" t="n">
        <f aca="false">H34*H53/(1+INDEX(Assumptions!$C$15:$E$15,$B$3)*$H$4)</f>
        <v>257872.881355932</v>
      </c>
      <c r="I56" s="10" t="n">
        <f aca="false">I34*I53/(1+INDEX(Assumptions!$C$15:$E$15,$B$3)*$H$4)</f>
        <v>270210.884373455</v>
      </c>
      <c r="J56" s="10" t="n">
        <f aca="false">J34*J53/(1+INDEX(Assumptions!$C$15:$E$15,$B$3)*$H$4)</f>
        <v>241863.548985601</v>
      </c>
      <c r="K56" s="10" t="n">
        <f aca="false">K34*K53/(1+INDEX(Assumptions!$C$15:$E$15,$B$3)*$H$4)</f>
        <v>256073.681566344</v>
      </c>
      <c r="L56" s="10" t="n">
        <f aca="false">L34*L53/(1+INDEX(Assumptions!$C$15:$E$15,$B$3)*$H$4)</f>
        <v>283016.949152542</v>
      </c>
      <c r="M56" s="10" t="n">
        <f aca="false">M34*M53/(1+INDEX(Assumptions!$C$15:$E$15,$B$3)*$H$4)</f>
        <v>288504.564049717</v>
      </c>
      <c r="N56" s="10" t="n">
        <f aca="false">N34*N53/(1+INDEX(Assumptions!$C$15:$E$15,$B$3)*$H$4)</f>
        <v>292372.881355932</v>
      </c>
      <c r="O56" s="40" t="n">
        <f aca="false">SUM(C56:N56)</f>
        <v>2568555.24253444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194915.254237288</v>
      </c>
      <c r="M57" s="10" t="n">
        <f aca="false">M35*M53/(1+INDEX(Assumptions!$C$15:$E$15,$B$3)*$H$4)</f>
        <v>183177.500983947</v>
      </c>
      <c r="N57" s="10" t="n">
        <f aca="false">N35*N53/(1+INDEX(Assumptions!$C$15:$E$15,$B$3)*$H$4)</f>
        <v>97457.627118644</v>
      </c>
      <c r="O57" s="40" t="n">
        <f aca="false">SUM(C57:N57)</f>
        <v>475550.382339879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4701.35593220339</v>
      </c>
      <c r="E58" s="10" t="n">
        <f aca="false">E37*MAX(0,E53-INDEX(Assumptions!$C$18:$E$18,$B$3)*$H$3)/(1+INDEX(Assumptions!$C$15:$E$15,$B$3)*$H$4)</f>
        <v>5765.9192161017</v>
      </c>
      <c r="F58" s="10" t="n">
        <f aca="false">F37*MAX(0,F53-INDEX(Assumptions!$C$18:$E$18,$B$3)*$H$3)/(1+INDEX(Assumptions!$C$15:$E$15,$B$3)*$H$4)</f>
        <v>8227.37288135593</v>
      </c>
      <c r="G58" s="10" t="n">
        <f aca="false">G37*MAX(0,G53-INDEX(Assumptions!$C$18:$E$18,$B$3)*$H$3)/(1+INDEX(Assumptions!$C$15:$E$15,$B$3)*$H$4)</f>
        <v>11753.3898305085</v>
      </c>
      <c r="H58" s="10" t="n">
        <f aca="false">H37*MAX(0,H53-INDEX(Assumptions!$C$18:$E$18,$B$3)*$H$3)/(1+INDEX(Assumptions!$C$15:$E$15,$B$3)*$H$4)</f>
        <v>15020.8322033898</v>
      </c>
      <c r="I58" s="10" t="n">
        <f aca="false">I37*MAX(0,I53-INDEX(Assumptions!$C$18:$E$18,$B$3)*$H$3)/(1+INDEX(Assumptions!$C$15:$E$15,$B$3)*$H$4)</f>
        <v>13468.1528349907</v>
      </c>
      <c r="J58" s="10" t="n">
        <f aca="false">J37*MAX(0,J53-INDEX(Assumptions!$C$18:$E$18,$B$3)*$H$3)/(1+INDEX(Assumptions!$C$15:$E$15,$B$3)*$H$4)</f>
        <v>12164.1668405684</v>
      </c>
      <c r="K58" s="10" t="n">
        <f aca="false">K37*MAX(0,K53-INDEX(Assumptions!$C$18:$E$18,$B$3)*$H$3)/(1+INDEX(Assumptions!$C$15:$E$15,$B$3)*$H$4)</f>
        <v>12449.9678565361</v>
      </c>
      <c r="L58" s="10" t="n">
        <f aca="false">L37*MAX(0,L53-INDEX(Assumptions!$C$18:$E$18,$B$3)*$H$3)/(1+INDEX(Assumptions!$C$15:$E$15,$B$3)*$H$4)</f>
        <v>22847.4629219749</v>
      </c>
      <c r="M58" s="10" t="n">
        <f aca="false">M37*MAX(0,M53-INDEX(Assumptions!$C$18:$E$18,$B$3)*$H$3)/(1+INDEX(Assumptions!$C$15:$E$15,$B$3)*$H$4)</f>
        <v>28476.9208449652</v>
      </c>
      <c r="N58" s="10" t="n">
        <f aca="false">N37*MAX(0,N53-INDEX(Assumptions!$C$18:$E$18,$B$3)*$H$3)/(1+INDEX(Assumptions!$C$15:$E$15,$B$3)*$H$4)</f>
        <v>30889.221990923</v>
      </c>
      <c r="O58" s="40" t="n">
        <f aca="false">SUM(C58:N58)</f>
        <v>165764.763353518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31108.4745762712</v>
      </c>
      <c r="D59" s="10" t="n">
        <f aca="false">D36*INDEX(Assumptions!$C$18:$E$18,$B$3)*$H$3/(1+INDEX(Assumptions!$C$15:$E$15,$B$3)*$H$4)</f>
        <v>38152.5997881356</v>
      </c>
      <c r="E59" s="10" t="n">
        <f aca="false">E36*INDEX(Assumptions!$C$18:$E$18,$B$3)*$H$3/(1+INDEX(Assumptions!$C$15:$E$15,$B$3)*$H$4)</f>
        <v>54439.8305084746</v>
      </c>
      <c r="F59" s="10" t="n">
        <f aca="false">F36*INDEX(Assumptions!$C$18:$E$18,$B$3)*$H$3/(1+INDEX(Assumptions!$C$15:$E$15,$B$3)*$H$4)</f>
        <v>77771.186440678</v>
      </c>
      <c r="G59" s="10" t="n">
        <f aca="false">G36*INDEX(Assumptions!$C$18:$E$18,$B$3)*$H$3/(1+INDEX(Assumptions!$C$15:$E$15,$B$3)*$H$4)</f>
        <v>99391.5762711864</v>
      </c>
      <c r="H59" s="10" t="n">
        <f aca="false">H36*INDEX(Assumptions!$C$18:$E$18,$B$3)*$H$3/(1+INDEX(Assumptions!$C$15:$E$15,$B$3)*$H$4)</f>
        <v>114323.644067797</v>
      </c>
      <c r="I59" s="10" t="n">
        <f aca="false">I36*INDEX(Assumptions!$C$18:$E$18,$B$3)*$H$3/(1+INDEX(Assumptions!$C$15:$E$15,$B$3)*$H$4)</f>
        <v>119793.492072232</v>
      </c>
      <c r="J59" s="10" t="n">
        <f aca="false">J36*INDEX(Assumptions!$C$18:$E$18,$B$3)*$H$3/(1+INDEX(Assumptions!$C$15:$E$15,$B$3)*$H$4)</f>
        <v>107226.173383617</v>
      </c>
      <c r="K59" s="10" t="n">
        <f aca="false">K36*INDEX(Assumptions!$C$18:$E$18,$B$3)*$H$3/(1+INDEX(Assumptions!$C$15:$E$15,$B$3)*$H$4)</f>
        <v>113525.998827746</v>
      </c>
      <c r="L59" s="10" t="n">
        <f aca="false">L36*INDEX(Assumptions!$C$18:$E$18,$B$3)*$H$3/(1+INDEX(Assumptions!$C$15:$E$15,$B$3)*$H$4)</f>
        <v>150565.016949153</v>
      </c>
      <c r="M59" s="10" t="n">
        <f aca="false">M36*INDEX(Assumptions!$C$18:$E$18,$B$3)*$H$3/(1+INDEX(Assumptions!$C$15:$E$15,$B$3)*$H$4)</f>
        <v>153484.428074449</v>
      </c>
      <c r="N59" s="10" t="n">
        <f aca="false">N36*INDEX(Assumptions!$C$18:$E$18,$B$3)*$H$3/(1+INDEX(Assumptions!$C$15:$E$15,$B$3)*$H$4)</f>
        <v>155542.372881356</v>
      </c>
      <c r="O59" s="40" t="n">
        <f aca="false">SUM(C59:N59)</f>
        <v>1215324.79384109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33135.593220339</v>
      </c>
      <c r="F61" s="10" t="n">
        <f aca="false">F46*INDEX(Assumptions!$C$21:$E$21,$B$3)*$H$3/(1+INDEX(Assumptions!$C$15:$E$15,$B$3)*$H$4)</f>
        <v>66271.186440678</v>
      </c>
      <c r="G61" s="10" t="n">
        <f aca="false">G46*INDEX(Assumptions!$C$21:$E$21,$B$3)*$H$3/(1+INDEX(Assumptions!$C$15:$E$15,$B$3)*$H$4)</f>
        <v>99406.779661017</v>
      </c>
      <c r="H61" s="10" t="n">
        <f aca="false">H46*INDEX(Assumptions!$C$21:$E$21,$B$3)*$H$3/(1+INDEX(Assumptions!$C$15:$E$15,$B$3)*$H$4)</f>
        <v>132542.372881356</v>
      </c>
      <c r="I61" s="10" t="n">
        <f aca="false">I46*INDEX(Assumptions!$C$21:$E$21,$B$3)*$H$3/(1+INDEX(Assumptions!$C$15:$E$15,$B$3)*$H$4)</f>
        <v>165677.966101695</v>
      </c>
      <c r="J61" s="10" t="n">
        <f aca="false">J46*INDEX(Assumptions!$C$21:$E$21,$B$3)*$H$3/(1+INDEX(Assumptions!$C$15:$E$15,$B$3)*$H$4)</f>
        <v>198813.559322034</v>
      </c>
      <c r="K61" s="10" t="n">
        <f aca="false">K46*INDEX(Assumptions!$C$21:$E$21,$B$3)*$H$3/(1+INDEX(Assumptions!$C$15:$E$15,$B$3)*$H$4)</f>
        <v>198813.559322034</v>
      </c>
      <c r="L61" s="10" t="n">
        <f aca="false">L46*INDEX(Assumptions!$C$21:$E$21,$B$3)*$H$3/(1+INDEX(Assumptions!$C$15:$E$15,$B$3)*$H$4)</f>
        <v>198813.559322034</v>
      </c>
      <c r="M61" s="10" t="n">
        <f aca="false">M46*INDEX(Assumptions!$C$21:$E$21,$B$3)*$H$3/(1+INDEX(Assumptions!$C$15:$E$15,$B$3)*$H$4)</f>
        <v>198813.559322034</v>
      </c>
      <c r="N61" s="10" t="n">
        <f aca="false">N46*INDEX(Assumptions!$C$21:$E$21,$B$3)*$H$3/(1+INDEX(Assumptions!$C$15:$E$15,$B$3)*$H$4)</f>
        <v>198813.559322034</v>
      </c>
      <c r="O61" s="40" t="n">
        <f aca="false">SUM(C61:N61)</f>
        <v>1491101.69491525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34103.3474576271</v>
      </c>
      <c r="D62" s="10" t="n">
        <f aca="false">D47*INDEX(Assumptions!$C$22:$E$22,$B$3)*$H$3/(1+INDEX(Assumptions!$C$15:$E$15,$B$3)*$H$4)</f>
        <v>58462.8813559322</v>
      </c>
      <c r="E62" s="10" t="n">
        <f aca="false">E47*INDEX(Assumptions!$C$22:$E$22,$B$3)*$H$3/(1+INDEX(Assumptions!$C$15:$E$15,$B$3)*$H$4)</f>
        <v>87694.3220338983</v>
      </c>
      <c r="F62" s="10" t="n">
        <f aca="false">F47*INDEX(Assumptions!$C$22:$E$22,$B$3)*$H$3/(1+INDEX(Assumptions!$C$15:$E$15,$B$3)*$H$4)</f>
        <v>95002.1822033898</v>
      </c>
      <c r="G62" s="10" t="n">
        <f aca="false">G47*INDEX(Assumptions!$C$22:$E$22,$B$3)*$H$3/(1+INDEX(Assumptions!$C$15:$E$15,$B$3)*$H$4)</f>
        <v>65770.7415254237</v>
      </c>
      <c r="H62" s="10" t="n">
        <f aca="false">H47*INDEX(Assumptions!$C$22:$E$22,$B$3)*$H$3/(1+INDEX(Assumptions!$C$15:$E$15,$B$3)*$H$4)</f>
        <v>58462.8813559322</v>
      </c>
      <c r="I62" s="10" t="n">
        <f aca="false">I47*INDEX(Assumptions!$C$22:$E$22,$B$3)*$H$3/(1+INDEX(Assumptions!$C$15:$E$15,$B$3)*$H$4)</f>
        <v>51155.0211864407</v>
      </c>
      <c r="J62" s="10" t="n">
        <f aca="false">J47*INDEX(Assumptions!$C$22:$E$22,$B$3)*$H$3/(1+INDEX(Assumptions!$C$15:$E$15,$B$3)*$H$4)</f>
        <v>43847.1610169492</v>
      </c>
      <c r="K62" s="10" t="n">
        <f aca="false">K47*INDEX(Assumptions!$C$22:$E$22,$B$3)*$H$3/(1+INDEX(Assumptions!$C$15:$E$15,$B$3)*$H$4)</f>
        <v>43847.1610169492</v>
      </c>
      <c r="L62" s="10" t="n">
        <f aca="false">L47*INDEX(Assumptions!$C$22:$E$22,$B$3)*$H$3/(1+INDEX(Assumptions!$C$15:$E$15,$B$3)*$H$4)</f>
        <v>58462.8813559322</v>
      </c>
      <c r="M62" s="10" t="n">
        <f aca="false">M47*INDEX(Assumptions!$C$22:$E$22,$B$3)*$H$3/(1+INDEX(Assumptions!$C$15:$E$15,$B$3)*$H$4)</f>
        <v>80386.4618644068</v>
      </c>
      <c r="N62" s="10" t="n">
        <f aca="false">N47*INDEX(Assumptions!$C$22:$E$22,$B$3)*$H$3/(1+INDEX(Assumptions!$C$15:$E$15,$B$3)*$H$4)</f>
        <v>102310.042372881</v>
      </c>
      <c r="O62" s="40" t="n">
        <f aca="false">SUM(C62:N62)</f>
        <v>779505.084745763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136800.378334976</v>
      </c>
      <c r="D66" s="40" t="n">
        <f aca="false">SUM(D56:D65)</f>
        <v>189115.727094775</v>
      </c>
      <c r="E66" s="40" t="n">
        <f aca="false">SUM(E56:E65)</f>
        <v>308332.385963327</v>
      </c>
      <c r="F66" s="40" t="n">
        <f aca="false">SUM(F56:F65)</f>
        <v>430276.813634051</v>
      </c>
      <c r="G66" s="40" t="n">
        <f aca="false">SUM(G56:G65)</f>
        <v>511098.167042961</v>
      </c>
      <c r="H66" s="40" t="n">
        <f aca="false">SUM(H56:H65)</f>
        <v>591504.664745445</v>
      </c>
      <c r="I66" s="40" t="n">
        <f aca="false">SUM(I56:I65)</f>
        <v>637399.43384868</v>
      </c>
      <c r="J66" s="40" t="n">
        <f aca="false">SUM(J56:J65)</f>
        <v>623294.896593639</v>
      </c>
      <c r="K66" s="40" t="n">
        <f aca="false">SUM(K56:K65)</f>
        <v>643551.411019729</v>
      </c>
      <c r="L66" s="40" t="n">
        <f aca="false">SUM(L56:L65)</f>
        <v>954977.065927667</v>
      </c>
      <c r="M66" s="40" t="n">
        <f aca="false">SUM(M56:M65)</f>
        <v>979688.84381589</v>
      </c>
      <c r="N66" s="40" t="n">
        <f aca="false">SUM(N56:N65)</f>
        <v>922666.937394618</v>
      </c>
      <c r="O66" s="11" t="n">
        <f aca="false">SUM(C66:N66)</f>
        <v>6928706.72541576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101277.966101695</v>
      </c>
      <c r="D67" s="10" t="n">
        <f aca="false">D56+D57+D58+D59</f>
        <v>128912.451483051</v>
      </c>
      <c r="E67" s="10" t="n">
        <f aca="false">E56+E57+E58+E59</f>
        <v>183002.359894068</v>
      </c>
      <c r="F67" s="10" t="n">
        <f aca="false">F56+F57+F58+F59</f>
        <v>261422.288135593</v>
      </c>
      <c r="G67" s="10" t="n">
        <f aca="false">G56+G57+G58+G59</f>
        <v>335336.491525424</v>
      </c>
      <c r="H67" s="10" t="n">
        <f aca="false">H56+H57+H58+H59</f>
        <v>387217.357627119</v>
      </c>
      <c r="I67" s="10" t="n">
        <f aca="false">I56+I57+I58+I59</f>
        <v>403472.529280677</v>
      </c>
      <c r="J67" s="10" t="n">
        <f aca="false">J56+J57+J58+J59</f>
        <v>361253.889209786</v>
      </c>
      <c r="K67" s="10" t="n">
        <f aca="false">K56+K57+K58+K59</f>
        <v>382049.648250626</v>
      </c>
      <c r="L67" s="10" t="n">
        <f aca="false">L56+L57+L58+L59</f>
        <v>651344.683260958</v>
      </c>
      <c r="M67" s="10" t="n">
        <f aca="false">M56+M57+M58+M59</f>
        <v>653643.413953078</v>
      </c>
      <c r="N67" s="10" t="n">
        <f aca="false">N56+N57+N58+N59</f>
        <v>576262.103346855</v>
      </c>
      <c r="O67" s="40" t="n">
        <f aca="false">SUM(C67:N67)</f>
        <v>4425195.18206893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4677.48892870544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6337.32209693668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9931.46054054702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13946.9280517636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16934.1792422139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19594.7652729925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20900.5987571832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19955.4318914203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20732.8266606481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32878.5588652317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33448.9397724487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30462.8021566255</v>
      </c>
      <c r="O75" s="40" t="n">
        <f aca="false">SUM(C75:N75)</f>
        <v>229801.302236717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32346.5320806754</v>
      </c>
      <c r="D77" s="40" t="n">
        <f aca="false">SUM(D69:D76)</f>
        <v>43077.6492076309</v>
      </c>
      <c r="E77" s="40" t="n">
        <f aca="false">SUM(E69:E76)</f>
        <v>66294.3560564945</v>
      </c>
      <c r="F77" s="40" t="n">
        <f aca="false">SUM(F69:F76)</f>
        <v>94191.5359316886</v>
      </c>
      <c r="G77" s="40" t="n">
        <f aca="false">SUM(G69:G76)</f>
        <v>117018.772112758</v>
      </c>
      <c r="H77" s="40" t="n">
        <f aca="false">SUM(H69:H76)</f>
        <v>135893.298856482</v>
      </c>
      <c r="I77" s="40" t="n">
        <f aca="false">SUM(I69:I76)</f>
        <v>144883.181833137</v>
      </c>
      <c r="J77" s="40" t="n">
        <f aca="false">SUM(J69:J76)</f>
        <v>137046.525408956</v>
      </c>
      <c r="K77" s="40" t="n">
        <f aca="false">SUM(K69:K76)</f>
        <v>142674.504943293</v>
      </c>
      <c r="L77" s="40" t="n">
        <f aca="false">SUM(L69:L76)</f>
        <v>163576.605012041</v>
      </c>
      <c r="M77" s="40" t="n">
        <f aca="false">SUM(M69:M76)</f>
        <v>166362.095564328</v>
      </c>
      <c r="N77" s="40" t="n">
        <f aca="false">SUM(N69:N76)</f>
        <v>152818.756398117</v>
      </c>
      <c r="O77" s="11" t="n">
        <f aca="false">SUM(C77:N77)</f>
        <v>1396183.8134056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104453.846254301</v>
      </c>
      <c r="D78" s="40" t="n">
        <f aca="false">D66-D77</f>
        <v>146038.077887144</v>
      </c>
      <c r="E78" s="40" t="n">
        <f aca="false">E66-E77</f>
        <v>242038.029906833</v>
      </c>
      <c r="F78" s="40" t="n">
        <f aca="false">F66-F77</f>
        <v>336085.277702362</v>
      </c>
      <c r="G78" s="40" t="n">
        <f aca="false">G66-G77</f>
        <v>394079.394930203</v>
      </c>
      <c r="H78" s="40" t="n">
        <f aca="false">H66-H77</f>
        <v>455611.365888963</v>
      </c>
      <c r="I78" s="40" t="n">
        <f aca="false">I66-I77</f>
        <v>492516.252015543</v>
      </c>
      <c r="J78" s="40" t="n">
        <f aca="false">J66-J77</f>
        <v>486248.371184683</v>
      </c>
      <c r="K78" s="40" t="n">
        <f aca="false">K66-K77</f>
        <v>500876.906076436</v>
      </c>
      <c r="L78" s="40" t="n">
        <f aca="false">L66-L77</f>
        <v>791400.460915626</v>
      </c>
      <c r="M78" s="40" t="n">
        <f aca="false">M66-M77</f>
        <v>813326.748251562</v>
      </c>
      <c r="N78" s="40" t="n">
        <f aca="false">N66-N77</f>
        <v>769848.180996501</v>
      </c>
      <c r="O78" s="11" t="n">
        <f aca="false">SUM(C78:N78)</f>
        <v>5532522.91201016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0.763549396029665</v>
      </c>
      <c r="D79" s="8" t="n">
        <f aca="false">IFERROR(D78/D66,0)</f>
        <v>0.772215405511765</v>
      </c>
      <c r="E79" s="8" t="n">
        <f aca="false">IFERROR(E78/E66,0)</f>
        <v>0.784990617027238</v>
      </c>
      <c r="F79" s="8" t="n">
        <f aca="false">IFERROR(F78/F66,0)</f>
        <v>0.781090839787156</v>
      </c>
      <c r="G79" s="8" t="n">
        <f aca="false">IFERROR(G78/G66,0)</f>
        <v>0.77104443009493</v>
      </c>
      <c r="H79" s="8" t="n">
        <f aca="false">IFERROR(H78/H66,0)</f>
        <v>0.770258280355297</v>
      </c>
      <c r="I79" s="8" t="n">
        <f aca="false">IFERROR(I78/I66,0)</f>
        <v>0.772696406461615</v>
      </c>
      <c r="J79" s="8" t="n">
        <f aca="false">IFERROR(J78/J66,0)</f>
        <v>0.780125705893106</v>
      </c>
      <c r="K79" s="8" t="n">
        <f aca="false">IFERROR(K78/K66,0)</f>
        <v>0.778301309731852</v>
      </c>
      <c r="L79" s="8" t="n">
        <f aca="false">IFERROR(L78/L66,0)</f>
        <v>0.828711483397623</v>
      </c>
      <c r="M79" s="8" t="n">
        <f aca="false">IFERROR(M78/M66,0)</f>
        <v>0.830188843514491</v>
      </c>
      <c r="N79" s="8" t="n">
        <f aca="false">IFERROR(N78/N66,0)</f>
        <v>0.834372783715824</v>
      </c>
      <c r="O79" s="13" t="n">
        <f aca="false">IFERROR(O78/O66,0)</f>
        <v>0.798492869053882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-182379.153745699</v>
      </c>
      <c r="D103" s="40" t="n">
        <f aca="false">D78-D102</f>
        <v>-155794.922112856</v>
      </c>
      <c r="E103" s="40" t="n">
        <f aca="false">E78-E102</f>
        <v>-249794.970093167</v>
      </c>
      <c r="F103" s="40" t="n">
        <f aca="false">F78-F102</f>
        <v>-15747.7222976376</v>
      </c>
      <c r="G103" s="40" t="n">
        <f aca="false">G78-G102</f>
        <v>24246.3949302032</v>
      </c>
      <c r="H103" s="40" t="n">
        <f aca="false">H78-H102</f>
        <v>85778.3658889625</v>
      </c>
      <c r="I103" s="40" t="n">
        <f aca="false">I78-I102</f>
        <v>122683.252015543</v>
      </c>
      <c r="J103" s="40" t="n">
        <f aca="false">J78-J102</f>
        <v>116415.371184683</v>
      </c>
      <c r="K103" s="40" t="n">
        <f aca="false">K78-K102</f>
        <v>126043.906076436</v>
      </c>
      <c r="L103" s="40" t="n">
        <f aca="false">L78-L102</f>
        <v>243467.460915626</v>
      </c>
      <c r="M103" s="40" t="n">
        <f aca="false">M78-M102</f>
        <v>245393.748251562</v>
      </c>
      <c r="N103" s="40" t="n">
        <f aca="false">N78-N102</f>
        <v>201915.180996501</v>
      </c>
      <c r="O103" s="11" t="n">
        <f aca="false">SUM(C103:N103)</f>
        <v>562226.912010157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-1.3331772613897</v>
      </c>
      <c r="D104" s="8" t="n">
        <f aca="false">IFERROR(D103/D66,0)</f>
        <v>-0.823807329544731</v>
      </c>
      <c r="E104" s="8" t="n">
        <f aca="false">IFERROR(E103/E66,0)</f>
        <v>-0.810148338173201</v>
      </c>
      <c r="F104" s="8" t="n">
        <f aca="false">IFERROR(F103/F66,0)</f>
        <v>-0.0365990492600212</v>
      </c>
      <c r="G104" s="8" t="n">
        <f aca="false">IFERROR(G103/G66,0)</f>
        <v>0.0474398002060632</v>
      </c>
      <c r="H104" s="8" t="n">
        <f aca="false">IFERROR(H103/H66,0)</f>
        <v>0.145017226408311</v>
      </c>
      <c r="I104" s="8" t="n">
        <f aca="false">IFERROR(I103/I66,0)</f>
        <v>0.192474679926792</v>
      </c>
      <c r="J104" s="8" t="n">
        <f aca="false">IFERROR(J103/J66,0)</f>
        <v>0.186774144663951</v>
      </c>
      <c r="K104" s="8" t="n">
        <f aca="false">IFERROR(K103/K66,0)</f>
        <v>0.195856778367894</v>
      </c>
      <c r="L104" s="8" t="n">
        <f aca="false">IFERROR(L103/L66,0)</f>
        <v>0.254945872107537</v>
      </c>
      <c r="M104" s="8" t="n">
        <f aca="false">IFERROR(M103/M66,0)</f>
        <v>0.250481313327763</v>
      </c>
      <c r="N104" s="8" t="n">
        <f aca="false">IFERROR(N103/N66,0)</f>
        <v>0.218838643516001</v>
      </c>
      <c r="O104" s="8" t="n">
        <f aca="false">IFERROR(O103/O66,0)</f>
        <v>0.081144567708113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-257379.153745699</v>
      </c>
      <c r="D105" s="10" t="n">
        <f aca="false">D103-INDEX(Assumptions!$C$204:$E$204,$B$3)</f>
        <v>-230794.922112856</v>
      </c>
      <c r="E105" s="10" t="n">
        <f aca="false">E103-INDEX(Assumptions!$C$204:$E$204,$B$3)</f>
        <v>-324794.970093167</v>
      </c>
      <c r="F105" s="10" t="n">
        <f aca="false">F103-INDEX(Assumptions!$C$204:$E$204,$B$3)</f>
        <v>-90747.7222976376</v>
      </c>
      <c r="G105" s="10" t="n">
        <f aca="false">G103-INDEX(Assumptions!$C$204:$E$204,$B$3)</f>
        <v>-50753.6050697968</v>
      </c>
      <c r="H105" s="10" t="n">
        <f aca="false">H103-INDEX(Assumptions!$C$204:$E$204,$B$3)</f>
        <v>10778.3658889625</v>
      </c>
      <c r="I105" s="10" t="n">
        <f aca="false">I103-INDEX(Assumptions!$C$204:$E$204,$B$3)</f>
        <v>47683.2520155431</v>
      </c>
      <c r="J105" s="10" t="n">
        <f aca="false">J103-INDEX(Assumptions!$C$204:$E$204,$B$3)</f>
        <v>41415.3711846828</v>
      </c>
      <c r="K105" s="10" t="n">
        <f aca="false">K103-INDEX(Assumptions!$C$204:$E$204,$B$3)</f>
        <v>51043.9060764364</v>
      </c>
      <c r="L105" s="10" t="n">
        <f aca="false">L103-INDEX(Assumptions!$C$204:$E$204,$B$3)</f>
        <v>168467.460915626</v>
      </c>
      <c r="M105" s="10" t="n">
        <f aca="false">M103-INDEX(Assumptions!$C$204:$E$204,$B$3)</f>
        <v>170393.748251562</v>
      </c>
      <c r="N105" s="10" t="n">
        <f aca="false">N103-INDEX(Assumptions!$C$204:$E$204,$B$3)</f>
        <v>126915.180996501</v>
      </c>
      <c r="O105" s="40" t="n">
        <f aca="false">SUM(C105:N105)</f>
        <v>-337773.087989843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-50638.9830508475</v>
      </c>
      <c r="D113" s="10" t="n">
        <f aca="false">((D67+IF(INDEX(Assumptions!$C$87:$E$87,$B$3)&gt;=2,C67,0)+IF(INDEX(Assumptions!$C$87:$E$87,$B$3)&gt;=3,0,0))/INDEX(Assumptions!$C$87:$E$87,$B$3))-D67</f>
        <v>-13817.242690678</v>
      </c>
      <c r="E113" s="10" t="n">
        <f aca="false">((E67+IF(INDEX(Assumptions!$C$87:$E$87,$B$3)&gt;=2,D67,0)+IF(INDEX(Assumptions!$C$87:$E$87,$B$3)&gt;=3,C67,0))/INDEX(Assumptions!$C$87:$E$87,$B$3))-E67</f>
        <v>-27044.9542055085</v>
      </c>
      <c r="F113" s="10" t="n">
        <f aca="false">((F67+IF(INDEX(Assumptions!$C$87:$E$87,$B$3)&gt;=2,E67,0)+IF(INDEX(Assumptions!$C$87:$E$87,$B$3)&gt;=3,D67,0))/INDEX(Assumptions!$C$87:$E$87,$B$3))-F67</f>
        <v>-39209.9641207627</v>
      </c>
      <c r="G113" s="10" t="n">
        <f aca="false">((G67+IF(INDEX(Assumptions!$C$87:$E$87,$B$3)&gt;=2,F67,0)+IF(INDEX(Assumptions!$C$87:$E$87,$B$3)&gt;=3,E67,0))/INDEX(Assumptions!$C$87:$E$87,$B$3))-G67</f>
        <v>-36957.1016949152</v>
      </c>
      <c r="H113" s="10" t="n">
        <f aca="false">((H67+IF(INDEX(Assumptions!$C$87:$E$87,$B$3)&gt;=2,G67,0)+IF(INDEX(Assumptions!$C$87:$E$87,$B$3)&gt;=3,F67,0))/INDEX(Assumptions!$C$87:$E$87,$B$3))-H67</f>
        <v>-25940.4330508474</v>
      </c>
      <c r="I113" s="10" t="n">
        <f aca="false">((I67+IF(INDEX(Assumptions!$C$87:$E$87,$B$3)&gt;=2,H67,0)+IF(INDEX(Assumptions!$C$87:$E$87,$B$3)&gt;=3,G67,0))/INDEX(Assumptions!$C$87:$E$87,$B$3))-I67</f>
        <v>-8127.58582677908</v>
      </c>
      <c r="J113" s="10" t="n">
        <f aca="false">((J67+IF(INDEX(Assumptions!$C$87:$E$87,$B$3)&gt;=2,I67,0)+IF(INDEX(Assumptions!$C$87:$E$87,$B$3)&gt;=3,H67,0))/INDEX(Assumptions!$C$87:$E$87,$B$3))-J67</f>
        <v>21109.3200354452</v>
      </c>
      <c r="K113" s="10" t="n">
        <f aca="false">((K67+IF(INDEX(Assumptions!$C$87:$E$87,$B$3)&gt;=2,J67,0)+IF(INDEX(Assumptions!$C$87:$E$87,$B$3)&gt;=3,I67,0))/INDEX(Assumptions!$C$87:$E$87,$B$3))-K67</f>
        <v>-10397.8795204197</v>
      </c>
      <c r="L113" s="10" t="n">
        <f aca="false">((L67+IF(INDEX(Assumptions!$C$87:$E$87,$B$3)&gt;=2,K67,0)+IF(INDEX(Assumptions!$C$87:$E$87,$B$3)&gt;=3,J67,0))/INDEX(Assumptions!$C$87:$E$87,$B$3))-L67</f>
        <v>-134647.517505166</v>
      </c>
      <c r="M113" s="10" t="n">
        <f aca="false">((M67+IF(INDEX(Assumptions!$C$87:$E$87,$B$3)&gt;=2,L67,0)+IF(INDEX(Assumptions!$C$87:$E$87,$B$3)&gt;=3,K67,0))/INDEX(Assumptions!$C$87:$E$87,$B$3))-M67</f>
        <v>-1149.36534606013</v>
      </c>
      <c r="N113" s="10" t="n">
        <f aca="false">((N67+IF(INDEX(Assumptions!$C$87:$E$87,$B$3)&gt;=2,M67,0)+IF(INDEX(Assumptions!$C$87:$E$87,$B$3)&gt;=3,L67,0))/INDEX(Assumptions!$C$87:$E$87,$B$3))-N67</f>
        <v>38690.6553031115</v>
      </c>
      <c r="O113" s="40" t="n">
        <f aca="false">SUM(C113:N113)</f>
        <v>-288131.051673427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-383018.136796547</v>
      </c>
      <c r="D114" s="40" t="n">
        <f aca="false">D103+D113-D112</f>
        <v>-169612.164803534</v>
      </c>
      <c r="E114" s="40" t="n">
        <f aca="false">E103+E113-E112</f>
        <v>-376839.924298676</v>
      </c>
      <c r="F114" s="40" t="n">
        <f aca="false">F103+F113-F112</f>
        <v>-54957.6864184003</v>
      </c>
      <c r="G114" s="40" t="n">
        <f aca="false">G103+G113-G112</f>
        <v>-12710.706764712</v>
      </c>
      <c r="H114" s="40" t="n">
        <f aca="false">H103+H113-H112</f>
        <v>59837.9328381151</v>
      </c>
      <c r="I114" s="40" t="n">
        <f aca="false">I103+I113-I112</f>
        <v>114555.666188764</v>
      </c>
      <c r="J114" s="40" t="n">
        <f aca="false">J103+J113-J112</f>
        <v>137524.691220128</v>
      </c>
      <c r="K114" s="40" t="n">
        <f aca="false">K103+K113-K112</f>
        <v>-1356353.97344398</v>
      </c>
      <c r="L114" s="40" t="n">
        <f aca="false">L103+L113-L112</f>
        <v>108819.94341046</v>
      </c>
      <c r="M114" s="40" t="n">
        <f aca="false">M103+M113-M112</f>
        <v>244244.382905502</v>
      </c>
      <c r="N114" s="40" t="n">
        <f aca="false">N103+N113-N112</f>
        <v>240605.836299612</v>
      </c>
      <c r="O114" s="11" t="n">
        <f aca="false">SUM(C114:N114)</f>
        <v>-1447904.13966327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-383018.136796547</v>
      </c>
      <c r="D115" s="40" t="n">
        <f aca="false">C115+D114</f>
        <v>-552630.301600081</v>
      </c>
      <c r="E115" s="40" t="n">
        <f aca="false">D115+E114</f>
        <v>-929470.225898757</v>
      </c>
      <c r="F115" s="40" t="n">
        <f aca="false">E115+F114</f>
        <v>-984427.912317157</v>
      </c>
      <c r="G115" s="40" t="n">
        <f aca="false">F115+G114</f>
        <v>-997138.619081869</v>
      </c>
      <c r="H115" s="40" t="n">
        <f aca="false">G115+H114</f>
        <v>-937300.686243754</v>
      </c>
      <c r="I115" s="40" t="n">
        <f aca="false">H115+I114</f>
        <v>-822745.02005499</v>
      </c>
      <c r="J115" s="40" t="n">
        <f aca="false">I115+J114</f>
        <v>-685220.328834862</v>
      </c>
      <c r="K115" s="40" t="n">
        <f aca="false">J115+K114</f>
        <v>-2041574.30227885</v>
      </c>
      <c r="L115" s="40" t="n">
        <f aca="false">K115+L114</f>
        <v>-1932754.35886839</v>
      </c>
      <c r="M115" s="40" t="n">
        <f aca="false">L115+M114</f>
        <v>-1688509.97596288</v>
      </c>
      <c r="N115" s="40" t="n">
        <f aca="false">M115+N114</f>
        <v>-1447904.13966327</v>
      </c>
      <c r="O115" s="11" t="n">
        <f aca="false">N115</f>
        <v>-1447904.13966327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383018.136796547</v>
      </c>
      <c r="D116" s="40" t="n">
        <f aca="false">-MIN(0,MIN($C$115:D115))</f>
        <v>552630.301600081</v>
      </c>
      <c r="E116" s="40" t="n">
        <f aca="false">-MIN(0,MIN($C$115:E115))</f>
        <v>929470.225898757</v>
      </c>
      <c r="F116" s="40" t="n">
        <f aca="false">-MIN(0,MIN($C$115:F115))</f>
        <v>984427.912317157</v>
      </c>
      <c r="G116" s="40" t="n">
        <f aca="false">-MIN(0,MIN($C$115:G115))</f>
        <v>997138.619081869</v>
      </c>
      <c r="H116" s="40" t="n">
        <f aca="false">-MIN(0,MIN($C$115:H115))</f>
        <v>997138.619081869</v>
      </c>
      <c r="I116" s="40" t="n">
        <f aca="false">-MIN(0,MIN($C$115:I115))</f>
        <v>997138.619081869</v>
      </c>
      <c r="J116" s="40" t="n">
        <f aca="false">-MIN(0,MIN($C$115:J115))</f>
        <v>997138.619081869</v>
      </c>
      <c r="K116" s="40" t="n">
        <f aca="false">-MIN(0,MIN($C$115:K115))</f>
        <v>2041574.30227885</v>
      </c>
      <c r="L116" s="40" t="n">
        <f aca="false">-MIN(0,MIN($C$115:L115))</f>
        <v>2041574.30227885</v>
      </c>
      <c r="M116" s="40" t="n">
        <f aca="false">-MIN(0,MIN($C$115:M115))</f>
        <v>2041574.30227885</v>
      </c>
      <c r="N116" s="40" t="n">
        <f aca="false">-MIN(0,MIN($C$115:N115))</f>
        <v>2041574.30227885</v>
      </c>
      <c r="O116" s="11" t="n">
        <f aca="false">MAX(C116:N116)</f>
        <v>2041574.30227885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0</v>
      </c>
      <c r="J119" s="10" t="n">
        <f aca="false">IF(J116&gt;=1000000,1,0)</f>
        <v>0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6928706.72541576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562226.912010157</v>
      </c>
    </row>
    <row r="154" customFormat="false" ht="15" hidden="false" customHeight="false" outlineLevel="0" collapsed="false">
      <c r="A154" s="3" t="s">
        <v>45</v>
      </c>
      <c r="B154" s="9" t="n">
        <f aca="false">O104</f>
        <v>0.081144567708113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-337773.087989843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2041574.30227885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958425.697721155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49161.9716792115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278228.464204386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5.89285835983096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70.7143003179715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0.179750869815207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0.459579621801308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17.804398277123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690776.390163689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5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-1447904.13966327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9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997138.619081869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76666.6666666666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230258.79672123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2374575.39016369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1583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0.8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2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4</v>
      </c>
      <c r="N81" s="10" t="n">
        <f aca="false">ROUNDUP(N42/(INDEX(Assumptions!$C$102:$E$102,$B$3)*$J$3),0)</f>
        <v>4</v>
      </c>
      <c r="O81" s="40" t="n">
        <f aca="false">MAX(C81:N81)</f>
        <v>4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0.666666666666667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1.55</v>
      </c>
      <c r="J82" s="6" t="n">
        <f aca="false">J81*(1-J12)</f>
        <v>1.6</v>
      </c>
      <c r="K82" s="6" t="n">
        <f aca="false">K81*(1-K12)</f>
        <v>1.65</v>
      </c>
      <c r="L82" s="6" t="n">
        <f aca="false">L81*(1-L12)</f>
        <v>1.7</v>
      </c>
      <c r="M82" s="6" t="n">
        <f aca="false">M81*(1-M12)</f>
        <v>2.33333333333333</v>
      </c>
      <c r="N82" s="6" t="n">
        <f aca="false">N81*(1-N12)</f>
        <v>2.4</v>
      </c>
      <c r="O82" s="41" t="n">
        <f aca="false">MAX(C82:N82)</f>
        <v>2.4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1098000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226000</v>
      </c>
      <c r="J92" s="40" t="n">
        <f aca="false">SUM(J86:J91)</f>
        <v>226000</v>
      </c>
      <c r="K92" s="40" t="n">
        <f aca="false">SUM(K86:K91)</f>
        <v>226000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2644500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387833</v>
      </c>
      <c r="J102" s="40" t="n">
        <f aca="false">J92+SUM(J94:J101)</f>
        <v>387833</v>
      </c>
      <c r="K102" s="40" t="n">
        <f aca="false">K92+SUM(K94:K101)</f>
        <v>392833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5024296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26447.38232953</v>
      </c>
      <c r="J103" s="40" t="n">
        <f aca="false">J78-J102</f>
        <v>22187.1252153426</v>
      </c>
      <c r="K103" s="40" t="n">
        <f aca="false">K78-K102</f>
        <v>29206.2290507437</v>
      </c>
      <c r="L103" s="40" t="n">
        <f aca="false">L78-L102</f>
        <v>129097.474136762</v>
      </c>
      <c r="M103" s="40" t="n">
        <f aca="false">M78-M102</f>
        <v>127937.220380454</v>
      </c>
      <c r="N103" s="40" t="n">
        <f aca="false">N78-N102</f>
        <v>91307.5888266742</v>
      </c>
      <c r="O103" s="11" t="n">
        <f aca="false">SUM(C103:N103)</f>
        <v>-335881.419978914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0.0475253489612839</v>
      </c>
      <c r="J104" s="8" t="n">
        <f aca="false">IFERROR(J103/J66,0)</f>
        <v>0.0407459517162946</v>
      </c>
      <c r="K104" s="8" t="n">
        <f aca="false">IFERROR(K103/K66,0)</f>
        <v>0.0519621427214366</v>
      </c>
      <c r="L104" s="8" t="n">
        <f aca="false">IFERROR(L103/L66,0)</f>
        <v>0.154337659382792</v>
      </c>
      <c r="M104" s="8" t="n">
        <f aca="false">IFERROR(M103/M66,0)</f>
        <v>0.149108613686711</v>
      </c>
      <c r="N104" s="8" t="n">
        <f aca="false">IFERROR(N103/N66,0)</f>
        <v>0.112972937310856</v>
      </c>
      <c r="O104" s="8" t="n">
        <f aca="false">IFERROR(O103/O66,0)</f>
        <v>-0.0554686195199723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-48552.61767047</v>
      </c>
      <c r="J105" s="10" t="n">
        <f aca="false">J103-INDEX(Assumptions!$C$204:$E$204,$B$3)</f>
        <v>-52812.8747846574</v>
      </c>
      <c r="K105" s="10" t="n">
        <f aca="false">K103-INDEX(Assumptions!$C$204:$E$204,$B$3)</f>
        <v>-45793.7709492563</v>
      </c>
      <c r="L105" s="10" t="n">
        <f aca="false">L103-INDEX(Assumptions!$C$204:$E$204,$B$3)</f>
        <v>54097.4741367617</v>
      </c>
      <c r="M105" s="10" t="n">
        <f aca="false">M103-INDEX(Assumptions!$C$204:$E$204,$B$3)</f>
        <v>52937.2203804541</v>
      </c>
      <c r="N105" s="10" t="n">
        <f aca="false">N103-INDEX(Assumptions!$C$204:$E$204,$B$3)</f>
        <v>16307.5888266742</v>
      </c>
      <c r="O105" s="40" t="n">
        <f aca="false">SUM(C105:N105)</f>
        <v>-1235881.41997891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19379.9163932003</v>
      </c>
      <c r="J114" s="40" t="n">
        <f aca="false">J103+J113-J112</f>
        <v>40543.0556809471</v>
      </c>
      <c r="K114" s="40" t="n">
        <f aca="false">K103+K113-K112</f>
        <v>-1451835.40531484</v>
      </c>
      <c r="L114" s="40" t="n">
        <f aca="false">L103+L113-L112</f>
        <v>12012.6763061825</v>
      </c>
      <c r="M114" s="40" t="n">
        <f aca="false">M103+M113-M112</f>
        <v>126937.772253445</v>
      </c>
      <c r="N114" s="40" t="n">
        <f aca="false">N103+N113-N112</f>
        <v>124951.636916336</v>
      </c>
      <c r="O114" s="11" t="n">
        <f aca="false">SUM(C114:N114)</f>
        <v>-2308430.1605645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-1161039.89640658</v>
      </c>
      <c r="J115" s="40" t="n">
        <f aca="false">I115+J114</f>
        <v>-1120496.84072563</v>
      </c>
      <c r="K115" s="40" t="n">
        <f aca="false">J115+K114</f>
        <v>-2572332.24604047</v>
      </c>
      <c r="L115" s="40" t="n">
        <f aca="false">K115+L114</f>
        <v>-2560319.56973428</v>
      </c>
      <c r="M115" s="40" t="n">
        <f aca="false">L115+M114</f>
        <v>-2433381.79748084</v>
      </c>
      <c r="N115" s="40" t="n">
        <f aca="false">M115+N114</f>
        <v>-2308430.1605645</v>
      </c>
      <c r="O115" s="11" t="n">
        <f aca="false">N115</f>
        <v>-2308430.1605645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2572332.24604047</v>
      </c>
      <c r="L116" s="40" t="n">
        <f aca="false">-MIN(0,MIN($C$115:L115))</f>
        <v>2572332.24604047</v>
      </c>
      <c r="M116" s="40" t="n">
        <f aca="false">-MIN(0,MIN($C$115:M115))</f>
        <v>2572332.24604047</v>
      </c>
      <c r="N116" s="40" t="n">
        <f aca="false">-MIN(0,MIN($C$115:N115))</f>
        <v>2572332.24604047</v>
      </c>
      <c r="O116" s="11" t="n">
        <f aca="false">MAX(C116:N116)</f>
        <v>2572332.24604047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-335881.419978914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-0.0554686195199723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-1235881.41997891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2572332.24604047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427667.753959533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7.82270330118366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93.8724396142039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348342.28334389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-2308430.1605645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1098000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116114.094447963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1584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1.2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1.13333333333333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116000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1026000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276500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2572500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529933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4952296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147097.474136762</v>
      </c>
      <c r="M103" s="40" t="n">
        <f aca="false">M78-M102</f>
        <v>127937.220380454</v>
      </c>
      <c r="N103" s="40" t="n">
        <f aca="false">N78-N102</f>
        <v>91307.5888266742</v>
      </c>
      <c r="O103" s="11" t="n">
        <f aca="false">SUM(C103:N103)</f>
        <v>-263881.419978914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0.175856886520785</v>
      </c>
      <c r="M104" s="8" t="n">
        <f aca="false">IFERROR(M103/M66,0)</f>
        <v>0.149108613686711</v>
      </c>
      <c r="N104" s="8" t="n">
        <f aca="false">IFERROR(N103/N66,0)</f>
        <v>0.112972937310856</v>
      </c>
      <c r="O104" s="8" t="n">
        <f aca="false">IFERROR(O103/O66,0)</f>
        <v>-0.0435782904696523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72097.4741367617</v>
      </c>
      <c r="M105" s="10" t="n">
        <f aca="false">M103-INDEX(Assumptions!$C$204:$E$204,$B$3)</f>
        <v>52937.2203804541</v>
      </c>
      <c r="N105" s="10" t="n">
        <f aca="false">N103-INDEX(Assumptions!$C$204:$E$204,$B$3)</f>
        <v>16307.5888266742</v>
      </c>
      <c r="O105" s="40" t="n">
        <f aca="false">SUM(C105:N105)</f>
        <v>-1163881.41997891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30012.6763061825</v>
      </c>
      <c r="M114" s="40" t="n">
        <f aca="false">M103+M113-M112</f>
        <v>126937.772253445</v>
      </c>
      <c r="N114" s="40" t="n">
        <f aca="false">N103+N113-N112</f>
        <v>124951.636916336</v>
      </c>
      <c r="O114" s="11" t="n">
        <f aca="false">SUM(C114:N114)</f>
        <v>-2236430.1605645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-2488319.56973428</v>
      </c>
      <c r="M115" s="40" t="n">
        <f aca="false">L115+M114</f>
        <v>-2361381.79748084</v>
      </c>
      <c r="N115" s="40" t="n">
        <f aca="false">M115+N114</f>
        <v>-2236430.1605645</v>
      </c>
      <c r="O115" s="11" t="n">
        <f aca="false">N115</f>
        <v>-2236430.1605645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2518332.24604047</v>
      </c>
      <c r="M116" s="40" t="n">
        <f aca="false">-MIN(0,MIN($C$115:M115))</f>
        <v>2518332.24604047</v>
      </c>
      <c r="N116" s="40" t="n">
        <f aca="false">-MIN(0,MIN($C$115:N115))</f>
        <v>2518332.24604047</v>
      </c>
      <c r="O116" s="11" t="n">
        <f aca="false">MAX(C116:N116)</f>
        <v>2518332.24604047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-263881.419978914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-0.0435782904696523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-1163881.41997891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2518332.24604047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481667.753959533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7.82270330118366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93.8724396142039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366342.28334389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-2236430.1605645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1026000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122114.094447963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1585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1.3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15166.6666666667</v>
      </c>
      <c r="D19" s="10" t="n">
        <f aca="false">INDEX(Assumptions!$C$115:$E$115,$B$3)*INDEX(Assumptions!$C$120:$E$120,$B$3)*$L$3/$F$3</f>
        <v>15166.6666666667</v>
      </c>
      <c r="E19" s="10" t="n">
        <f aca="false">INDEX(Assumptions!$C$115:$E$115,$B$3)*INDEX(Assumptions!$C$120:$E$120,$B$3)*$L$3/$F$3</f>
        <v>15166.6666666667</v>
      </c>
      <c r="F19" s="10" t="n">
        <f aca="false">INDEX(Assumptions!$C$115:$E$115,$B$3)*INDEX(Assumptions!$C$120:$E$120,$B$3)*$L$3/$F$3</f>
        <v>15166.6666666667</v>
      </c>
      <c r="G19" s="10" t="n">
        <f aca="false">INDEX(Assumptions!$C$115:$E$115,$B$3)*INDEX(Assumptions!$C$120:$E$120,$B$3)*$L$3/$F$3</f>
        <v>15166.6666666667</v>
      </c>
      <c r="H19" s="10" t="n">
        <f aca="false">INDEX(Assumptions!$C$115:$E$115,$B$3)*INDEX(Assumptions!$C$120:$E$120,$B$3)*$L$3/$F$3</f>
        <v>15166.6666666667</v>
      </c>
      <c r="I19" s="10" t="n">
        <f aca="false">INDEX(Assumptions!$C$115:$E$115,$B$3)*INDEX(Assumptions!$C$120:$E$120,$B$3)*$L$3/$F$3</f>
        <v>15166.6666666667</v>
      </c>
      <c r="J19" s="10" t="n">
        <f aca="false">INDEX(Assumptions!$C$115:$E$115,$B$3)*INDEX(Assumptions!$C$120:$E$120,$B$3)*$L$3/$F$3</f>
        <v>15166.6666666667</v>
      </c>
      <c r="K19" s="10" t="n">
        <f aca="false">INDEX(Assumptions!$C$115:$E$115,$B$3)*INDEX(Assumptions!$C$120:$E$120,$B$3)*$L$3/$F$3</f>
        <v>15166.6666666667</v>
      </c>
      <c r="L19" s="10" t="n">
        <f aca="false">INDEX(Assumptions!$C$115:$E$115,$B$3)*INDEX(Assumptions!$C$120:$E$120,$B$3)*$L$3/$F$3</f>
        <v>15166.6666666667</v>
      </c>
      <c r="M19" s="10" t="n">
        <f aca="false">INDEX(Assumptions!$C$115:$E$115,$B$3)*INDEX(Assumptions!$C$120:$E$120,$B$3)*$L$3/$F$3</f>
        <v>15166.6666666667</v>
      </c>
      <c r="N19" s="10" t="n">
        <f aca="false">INDEX(Assumptions!$C$115:$E$115,$B$3)*INDEX(Assumptions!$C$120:$E$120,$B$3)*$L$3/$F$3</f>
        <v>15166.6666666667</v>
      </c>
      <c r="O19" s="40" t="n">
        <f aca="false">AVERAGE(C19:N19)</f>
        <v>15166.6666666667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0.692307692307692</v>
      </c>
      <c r="D21" s="16" t="n">
        <f aca="false">D18*INDEX(Assumptions!$C$119:$E$119,$B$3)/D19</f>
        <v>0.692307692307692</v>
      </c>
      <c r="E21" s="16" t="n">
        <f aca="false">E18*INDEX(Assumptions!$C$119:$E$119,$B$3)/E19</f>
        <v>1.84615384615385</v>
      </c>
      <c r="F21" s="16" t="n">
        <f aca="false">F18*INDEX(Assumptions!$C$119:$E$119,$B$3)/F19</f>
        <v>2.30769230769231</v>
      </c>
      <c r="G21" s="16" t="n">
        <f aca="false">G18*INDEX(Assumptions!$C$119:$E$119,$B$3)/G19</f>
        <v>2.76923076923077</v>
      </c>
      <c r="H21" s="16" t="n">
        <f aca="false">H18*INDEX(Assumptions!$C$119:$E$119,$B$3)/H19</f>
        <v>2.76923076923077</v>
      </c>
      <c r="I21" s="16" t="n">
        <f aca="false">I18*INDEX(Assumptions!$C$119:$E$119,$B$3)/I19</f>
        <v>2.76923076923077</v>
      </c>
      <c r="J21" s="16" t="n">
        <f aca="false">J18*INDEX(Assumptions!$C$119:$E$119,$B$3)/J19</f>
        <v>2.76923076923077</v>
      </c>
      <c r="K21" s="16" t="n">
        <f aca="false">K18*INDEX(Assumptions!$C$119:$E$119,$B$3)/K19</f>
        <v>2.76923076923077</v>
      </c>
      <c r="L21" s="16" t="n">
        <f aca="false">L18*INDEX(Assumptions!$C$119:$E$119,$B$3)/L19</f>
        <v>3.69230769230769</v>
      </c>
      <c r="M21" s="16" t="n">
        <f aca="false">M18*INDEX(Assumptions!$C$119:$E$119,$B$3)/M19</f>
        <v>4.61538461538462</v>
      </c>
      <c r="N21" s="16" t="n">
        <f aca="false">N18*INDEX(Assumptions!$C$119:$E$119,$B$3)/N19</f>
        <v>4.61538461538462</v>
      </c>
      <c r="O21" s="38" t="n">
        <f aca="false">SUM(C21:N21)</f>
        <v>32.3076923076923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2.34850961538462</v>
      </c>
      <c r="E24" s="38" t="n">
        <f aca="false">E10*(E14*$F$3+(E15-E14)*$F$3*E20+MIN(E16,E21*E20))*E22*E23</f>
        <v>3.39230769230769</v>
      </c>
      <c r="F24" s="38" t="n">
        <f aca="false">F10*(F14*$F$3+(F15-F14)*$F$3*F20+MIN(F16,F21*F20))*F22*F23</f>
        <v>4.44615384615385</v>
      </c>
      <c r="G24" s="38" t="n">
        <f aca="false">G10*(G14*$F$3+(G15-G14)*$F$3*G20+MIN(G16,G21*G20))*G22*G23</f>
        <v>5.64230769230769</v>
      </c>
      <c r="H24" s="38" t="n">
        <f aca="false">H10*(H14*$F$3+(H15-H14)*$F$3*H20+MIN(H16,H21*H20))*H22*H23</f>
        <v>6.51923076923077</v>
      </c>
      <c r="I24" s="38" t="n">
        <f aca="false">I10*(I14*$F$3+(I15-I14)*$F$3*I20+MIN(I16,I21*I20))*I22*I23</f>
        <v>8.8</v>
      </c>
      <c r="J24" s="38" t="n">
        <f aca="false">J10*(J14*$F$3+(J15-J14)*$F$3*J20+MIN(J16,J21*J20))*J22*J23</f>
        <v>9.13846153846154</v>
      </c>
      <c r="K24" s="38" t="n">
        <f aca="false">K10*(K14*$F$3+(K15-K14)*$F$3*K20+MIN(K16,K21*K20))*K22*K23</f>
        <v>8.46153846153846</v>
      </c>
      <c r="L24" s="38" t="n">
        <f aca="false">L10*(L14*$F$3+(L15-L14)*$F$3*L20+MIN(L16,L21*L20))*L22*L23</f>
        <v>8.46153846153846</v>
      </c>
      <c r="M24" s="38" t="n">
        <f aca="false">M10*(M14*$F$3+(M15-M14)*$F$3*M20+MIN(M16,M21*M20))*M22*M23</f>
        <v>9.04615384615385</v>
      </c>
      <c r="N24" s="38" t="n">
        <f aca="false">N10*(N14*$F$3+(N15-N14)*$F$3*N20+MIN(N16,N21*N20))*N22*N23</f>
        <v>8.61538461538462</v>
      </c>
      <c r="O24" s="17" t="n">
        <f aca="false">SUM(C24:N24)</f>
        <v>76.8715865384615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1.29230769230769</v>
      </c>
      <c r="O30" s="38" t="n">
        <f aca="false">SUM(C30:N30)</f>
        <v>7.29230769230769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2.84910576923077</v>
      </c>
      <c r="F31" s="6" t="n">
        <f aca="false">E34+D34+E37+D37+1.25*E35</f>
        <v>3.96631153846154</v>
      </c>
      <c r="G31" s="6" t="n">
        <f aca="false">F34+E34+F37+E37+1.25*F35</f>
        <v>5.391975</v>
      </c>
      <c r="H31" s="6" t="n">
        <f aca="false">G34+F34+G37+F37+1.25*G35</f>
        <v>6.99369230769231</v>
      </c>
      <c r="I31" s="6" t="n">
        <f aca="false">H34+G34+H37+G37+1.25*H35</f>
        <v>8.50753846153846</v>
      </c>
      <c r="J31" s="6" t="n">
        <f aca="false">I34+H34+I37+H37+1.25*I35</f>
        <v>10.5940813382652</v>
      </c>
      <c r="K31" s="6" t="n">
        <f aca="false">J34+I34+J37+I37+1.25*J35</f>
        <v>10.7532942736991</v>
      </c>
      <c r="L31" s="6" t="n">
        <f aca="false">K34+J34+K37+J37+1.25*K35</f>
        <v>9.34550035901621</v>
      </c>
      <c r="M31" s="6" t="n">
        <f aca="false">L34+K34+L37+K37+1.25*L35</f>
        <v>12.9500744528594</v>
      </c>
      <c r="N31" s="6" t="n">
        <f aca="false">M34+L34+M37+L37+1.25*M35</f>
        <v>13.4385562600464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2.58850961538462</v>
      </c>
      <c r="E32" s="6" t="n">
        <f aca="false">E24*(INDEX(Assumptions!$C$26:$E$26,$B$3)*(1-E28)+(1-INDEX(Assumptions!$C$26:$E$26,$B$3)))+1.25*E30+D36*INDEX(Assumptions!$C$89:$E$89,$B$3)</f>
        <v>3.67412884615385</v>
      </c>
      <c r="F32" s="6" t="n">
        <f aca="false">F24*(INDEX(Assumptions!$C$26:$E$26,$B$3)*(1-F28)+(1-INDEX(Assumptions!$C$26:$E$26,$B$3)))+1.25*F30+E36*INDEX(Assumptions!$C$89:$E$89,$B$3)</f>
        <v>4.85323076923077</v>
      </c>
      <c r="G32" s="6" t="n">
        <f aca="false">G24*(INDEX(Assumptions!$C$26:$E$26,$B$3)*(1-G28)+(1-INDEX(Assumptions!$C$26:$E$26,$B$3)))+1.25*G30+F36*INDEX(Assumptions!$C$89:$E$89,$B$3)</f>
        <v>6.17584615384615</v>
      </c>
      <c r="H32" s="6" t="n">
        <f aca="false">H24*(INDEX(Assumptions!$C$26:$E$26,$B$3)*(1-H28)+(1-INDEX(Assumptions!$C$26:$E$26,$B$3)))+1.25*H30+G36*INDEX(Assumptions!$C$89:$E$89,$B$3)</f>
        <v>7.19630769230769</v>
      </c>
      <c r="I32" s="6" t="n">
        <f aca="false">I24*(INDEX(Assumptions!$C$26:$E$26,$B$3)*(1-I28)+(1-INDEX(Assumptions!$C$26:$E$26,$B$3)))+1.25*I30+H36*INDEX(Assumptions!$C$89:$E$89,$B$3)</f>
        <v>9.58230769230769</v>
      </c>
      <c r="J32" s="6" t="n">
        <f aca="false">J24*(INDEX(Assumptions!$C$26:$E$26,$B$3)*(1-J28)+(1-INDEX(Assumptions!$C$26:$E$26,$B$3)))+1.25*J30+I36*INDEX(Assumptions!$C$89:$E$89,$B$3)</f>
        <v>10.1845602139051</v>
      </c>
      <c r="K32" s="6" t="n">
        <f aca="false">K24*(INDEX(Assumptions!$C$26:$E$26,$B$3)*(1-K28)+(1-INDEX(Assumptions!$C$26:$E$26,$B$3)))+1.25*K30+J36*INDEX(Assumptions!$C$89:$E$89,$B$3)</f>
        <v>9.25896556404411</v>
      </c>
      <c r="L32" s="6" t="n">
        <f aca="false">L24*(INDEX(Assumptions!$C$26:$E$26,$B$3)*(1-L28)+(1-INDEX(Assumptions!$C$26:$E$26,$B$3)))+1.25*L30+K36*INDEX(Assumptions!$C$89:$E$89,$B$3)</f>
        <v>11.7370177985079</v>
      </c>
      <c r="M32" s="6" t="n">
        <f aca="false">M24*(INDEX(Assumptions!$C$26:$E$26,$B$3)*(1-M28)+(1-INDEX(Assumptions!$C$26:$E$26,$B$3)))+1.25*M30+L36*INDEX(Assumptions!$C$89:$E$89,$B$3)</f>
        <v>12.4546153846154</v>
      </c>
      <c r="N32" s="6" t="n">
        <f aca="false">N24*(INDEX(Assumptions!$C$26:$E$26,$B$3)*(1-N28)+(1-INDEX(Assumptions!$C$26:$E$26,$B$3)))+1.25*N30+M36*INDEX(Assumptions!$C$89:$E$89,$B$3)</f>
        <v>10.024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0.990623745685157</v>
      </c>
      <c r="J33" s="8" t="n">
        <f aca="false">IF(J32&lt;=0,1,MAX(0,MIN(1,(J27-J31)/J32)))</f>
        <v>0.727171179333151</v>
      </c>
      <c r="K33" s="8" t="n">
        <f aca="false">IF(K32&lt;=0,1,MAX(0,MIN(1,(K27-K31)/K32)))</f>
        <v>0.782669043985047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0.727171179333151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1.40910576923077</v>
      </c>
      <c r="E34" s="38" t="n">
        <f aca="false">E24*INDEX(Assumptions!$C$26:$E$26,$B$3)*(1-E28)*E33</f>
        <v>2.03538461538462</v>
      </c>
      <c r="F34" s="38" t="n">
        <f aca="false">F24*INDEX(Assumptions!$C$26:$E$26,$B$3)*(1-F28)*F33</f>
        <v>2.66769230769231</v>
      </c>
      <c r="G34" s="38" t="n">
        <f aca="false">G24*INDEX(Assumptions!$C$26:$E$26,$B$3)*(1-G28)*G33</f>
        <v>3.38538461538462</v>
      </c>
      <c r="H34" s="38" t="n">
        <f aca="false">H24*INDEX(Assumptions!$C$26:$E$26,$B$3)*(1-H28)*H33</f>
        <v>3.91153846153846</v>
      </c>
      <c r="I34" s="38" t="n">
        <f aca="false">I24*INDEX(Assumptions!$C$26:$E$26,$B$3)*(1-I28)*I33</f>
        <v>5.23049337721763</v>
      </c>
      <c r="J34" s="38" t="n">
        <f aca="false">J24*INDEX(Assumptions!$C$26:$E$26,$B$3)*(1-J28)*J33</f>
        <v>3.98713551252823</v>
      </c>
      <c r="K34" s="38" t="n">
        <f aca="false">K24*INDEX(Assumptions!$C$26:$E$26,$B$3)*(1-K28)*K33</f>
        <v>3.97355053100101</v>
      </c>
      <c r="L34" s="38" t="n">
        <f aca="false">L24*INDEX(Assumptions!$C$26:$E$26,$B$3)*(1-L28)*L33</f>
        <v>3.80769230769231</v>
      </c>
      <c r="M34" s="38" t="n">
        <f aca="false">M24*INDEX(Assumptions!$C$26:$E$26,$B$3)*(1-M28)*M33</f>
        <v>4.07076923076923</v>
      </c>
      <c r="N34" s="38" t="n">
        <f aca="false">N24*INDEX(Assumptions!$C$26:$E$26,$B$3)*(1-N28)*N33</f>
        <v>3.87692307692308</v>
      </c>
      <c r="O34" s="17" t="n">
        <f aca="false">SUM(C34:N34)</f>
        <v>39.5556698053623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1.29230769230769</v>
      </c>
      <c r="O35" s="38" t="n">
        <f aca="false">SUM(C35:N35)</f>
        <v>7.29230769230769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0.939403846153846</v>
      </c>
      <c r="E36" s="16" t="n">
        <f aca="false">E24*(1-INDEX(Assumptions!$C$26:$E$26,$B$3))*E33</f>
        <v>1.35692307692308</v>
      </c>
      <c r="F36" s="16" t="n">
        <f aca="false">F24*(1-INDEX(Assumptions!$C$26:$E$26,$B$3))*F33</f>
        <v>1.77846153846154</v>
      </c>
      <c r="G36" s="16" t="n">
        <f aca="false">G24*(1-INDEX(Assumptions!$C$26:$E$26,$B$3))*G33</f>
        <v>2.25692307692308</v>
      </c>
      <c r="H36" s="16" t="n">
        <f aca="false">H24*(1-INDEX(Assumptions!$C$26:$E$26,$B$3))*H33</f>
        <v>2.60769230769231</v>
      </c>
      <c r="I36" s="16" t="n">
        <f aca="false">I24*(1-INDEX(Assumptions!$C$26:$E$26,$B$3))*I33</f>
        <v>3.48699558481175</v>
      </c>
      <c r="J36" s="16" t="n">
        <f aca="false">J24*(1-INDEX(Assumptions!$C$26:$E$26,$B$3))*J33</f>
        <v>2.65809034168549</v>
      </c>
      <c r="K36" s="16" t="n">
        <f aca="false">K24*(1-INDEX(Assumptions!$C$26:$E$26,$B$3))*K33</f>
        <v>2.649033687334</v>
      </c>
      <c r="L36" s="16" t="n">
        <f aca="false">L24*(1-INDEX(Assumptions!$C$26:$E$26,$B$3))*L33</f>
        <v>3.38461538461539</v>
      </c>
      <c r="M36" s="16" t="n">
        <f aca="false">M24*(1-INDEX(Assumptions!$C$26:$E$26,$B$3))*M33</f>
        <v>3.61846153846154</v>
      </c>
      <c r="N36" s="16" t="n">
        <f aca="false">N24*(1-INDEX(Assumptions!$C$26:$E$26,$B$3))*N33</f>
        <v>3.44615384615385</v>
      </c>
      <c r="O36" s="38" t="n">
        <f aca="false">SUM(C36:N36)</f>
        <v>28.9827542292159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0.281821153846154</v>
      </c>
      <c r="F37" s="16" t="n">
        <f aca="false">E36*INDEX(Assumptions!$C$89:$E$89,$B$3)*F33</f>
        <v>0.407076923076923</v>
      </c>
      <c r="G37" s="16" t="n">
        <f aca="false">F36*INDEX(Assumptions!$C$89:$E$89,$B$3)*G33</f>
        <v>0.533538461538462</v>
      </c>
      <c r="H37" s="16" t="n">
        <f aca="false">G36*INDEX(Assumptions!$C$89:$E$89,$B$3)*H33</f>
        <v>0.677076923076923</v>
      </c>
      <c r="I37" s="16" t="n">
        <f aca="false">H36*INDEX(Assumptions!$C$89:$E$89,$B$3)*I33</f>
        <v>0.774972576432157</v>
      </c>
      <c r="J37" s="16" t="n">
        <f aca="false">I36*INDEX(Assumptions!$C$89:$E$89,$B$3)*J33</f>
        <v>0.760692807521116</v>
      </c>
      <c r="K37" s="16" t="n">
        <f aca="false">J36*INDEX(Assumptions!$C$89:$E$89,$B$3)*K33</f>
        <v>0.62412150796586</v>
      </c>
      <c r="L37" s="16" t="n">
        <f aca="false">K36*INDEX(Assumptions!$C$89:$E$89,$B$3)*L33</f>
        <v>0.794710106200201</v>
      </c>
      <c r="M37" s="16" t="n">
        <f aca="false">L36*INDEX(Assumptions!$C$89:$E$89,$B$3)*M33</f>
        <v>1.01538461538462</v>
      </c>
      <c r="N37" s="16" t="n">
        <f aca="false">M36*INDEX(Assumptions!$C$89:$E$89,$B$3)*N33</f>
        <v>1.08553846153846</v>
      </c>
      <c r="O37" s="38" t="n">
        <f aca="false">SUM(C37:N37)</f>
        <v>7.19493353658087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2.34850961538462</v>
      </c>
      <c r="E38" s="38" t="n">
        <f aca="false">E34+E35+E36</f>
        <v>3.39230769230769</v>
      </c>
      <c r="F38" s="38" t="n">
        <f aca="false">F34+F35+F36</f>
        <v>4.44615384615385</v>
      </c>
      <c r="G38" s="38" t="n">
        <f aca="false">G34+G35+G36</f>
        <v>5.64230769230769</v>
      </c>
      <c r="H38" s="38" t="n">
        <f aca="false">H34+H35+H36</f>
        <v>6.51923076923077</v>
      </c>
      <c r="I38" s="38" t="n">
        <f aca="false">I34+I35+I36</f>
        <v>8.71748896202938</v>
      </c>
      <c r="J38" s="38" t="n">
        <f aca="false">J34+J35+J36</f>
        <v>6.64522585421372</v>
      </c>
      <c r="K38" s="38" t="n">
        <f aca="false">K34+K35+K36</f>
        <v>6.62258421833501</v>
      </c>
      <c r="L38" s="38" t="n">
        <f aca="false">L34+L35+L36</f>
        <v>10.1923076923077</v>
      </c>
      <c r="M38" s="38" t="n">
        <f aca="false">M34+M35+M36</f>
        <v>10.6892307692308</v>
      </c>
      <c r="N38" s="38" t="n">
        <f aca="false">N34+N35+N36</f>
        <v>8.61538461538462</v>
      </c>
      <c r="O38" s="17" t="n">
        <f aca="false">SUM(C38:N38)</f>
        <v>75.8307317268858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2.34850961538462</v>
      </c>
      <c r="E39" s="16" t="n">
        <f aca="false">IF(3&lt;IF($Q$3=1,$Q$4+1,INDEX(Assumptions!$C$215:$E$215,$D$3)),E24,E38)</f>
        <v>3.39230769230769</v>
      </c>
      <c r="F39" s="16" t="n">
        <f aca="false">IF(4&lt;IF($Q$3=1,$Q$4+1,INDEX(Assumptions!$C$215:$E$215,$D$3)),F24,F38)</f>
        <v>4.44615384615385</v>
      </c>
      <c r="G39" s="16" t="n">
        <f aca="false">IF(5&lt;IF($Q$3=1,$Q$4+1,INDEX(Assumptions!$C$215:$E$215,$D$3)),G24,G38)</f>
        <v>5.64230769230769</v>
      </c>
      <c r="H39" s="16" t="n">
        <f aca="false">IF(6&lt;IF($Q$3=1,$Q$4+1,INDEX(Assumptions!$C$215:$E$215,$D$3)),H24,H38)</f>
        <v>6.51923076923077</v>
      </c>
      <c r="I39" s="16" t="n">
        <f aca="false">IF(7&lt;IF($Q$3=1,$Q$4+1,INDEX(Assumptions!$C$215:$E$215,$D$3)),I24,I38)</f>
        <v>8.8</v>
      </c>
      <c r="J39" s="16" t="n">
        <f aca="false">IF(8&lt;IF($Q$3=1,$Q$4+1,INDEX(Assumptions!$C$215:$E$215,$D$3)),J24,J38)</f>
        <v>9.13846153846154</v>
      </c>
      <c r="K39" s="16" t="n">
        <f aca="false">IF(9&lt;IF($Q$3=1,$Q$4+1,INDEX(Assumptions!$C$215:$E$215,$D$3)),K24,K38)</f>
        <v>8.46153846153846</v>
      </c>
      <c r="L39" s="16" t="n">
        <f aca="false">IF(10&lt;IF($Q$3=1,$Q$4+1,INDEX(Assumptions!$C$215:$E$215,$D$3)),L24,L38)</f>
        <v>10.1923076923077</v>
      </c>
      <c r="M39" s="16" t="n">
        <f aca="false">IF(11&lt;IF($Q$3=1,$Q$4+1,INDEX(Assumptions!$C$215:$E$215,$D$3)),M24,M38)</f>
        <v>10.6892307692308</v>
      </c>
      <c r="N39" s="16" t="n">
        <f aca="false">IF(12&lt;IF($Q$3=1,$Q$4+1,INDEX(Assumptions!$C$215:$E$215,$D$3)),N24,N38)</f>
        <v>8.61538461538462</v>
      </c>
      <c r="O39" s="38" t="n">
        <f aca="false">SUM(C39:N39)</f>
        <v>80.2454326923077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0.587127403846154</v>
      </c>
      <c r="E40" s="16" t="n">
        <f aca="false">E38*INDEX(Assumptions!$C$74:$E$74,$B$3)</f>
        <v>0.848076923076923</v>
      </c>
      <c r="F40" s="16" t="n">
        <f aca="false">F38*INDEX(Assumptions!$C$74:$E$74,$B$3)</f>
        <v>1.11153846153846</v>
      </c>
      <c r="G40" s="16" t="n">
        <f aca="false">G38*INDEX(Assumptions!$C$74:$E$74,$B$3)</f>
        <v>1.41057692307692</v>
      </c>
      <c r="H40" s="16" t="n">
        <f aca="false">H38*INDEX(Assumptions!$C$74:$E$74,$B$3)</f>
        <v>1.62980769230769</v>
      </c>
      <c r="I40" s="16" t="n">
        <f aca="false">I38*INDEX(Assumptions!$C$74:$E$74,$B$3)</f>
        <v>2.17937224050735</v>
      </c>
      <c r="J40" s="16" t="n">
        <f aca="false">J38*INDEX(Assumptions!$C$74:$E$74,$B$3)</f>
        <v>1.66130646355343</v>
      </c>
      <c r="K40" s="16" t="n">
        <f aca="false">K38*INDEX(Assumptions!$C$74:$E$74,$B$3)</f>
        <v>1.65564605458375</v>
      </c>
      <c r="L40" s="16" t="n">
        <f aca="false">L38*INDEX(Assumptions!$C$74:$E$74,$B$3)</f>
        <v>2.54807692307692</v>
      </c>
      <c r="M40" s="16" t="n">
        <f aca="false">M38*INDEX(Assumptions!$C$74:$E$74,$B$3)</f>
        <v>2.67230769230769</v>
      </c>
      <c r="N40" s="16" t="n">
        <f aca="false">N38*INDEX(Assumptions!$C$74:$E$74,$B$3)</f>
        <v>2.15384615384615</v>
      </c>
      <c r="O40" s="38" t="n">
        <f aca="false">SUM(C40:N40)</f>
        <v>18.9576829317215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0.347884615384615</v>
      </c>
      <c r="E41" s="16" t="n">
        <f aca="false">E10*MIN(E16,E21*E20)*E22*E23*E33</f>
        <v>1.29230769230769</v>
      </c>
      <c r="F41" s="16" t="n">
        <f aca="false">F10*MIN(F16,F21*F20)*F22*F23*F33</f>
        <v>1.84615384615385</v>
      </c>
      <c r="G41" s="16" t="n">
        <f aca="false">G10*MIN(G16,G21*G20)*G22*G23*G33</f>
        <v>2.49230769230769</v>
      </c>
      <c r="H41" s="16" t="n">
        <f aca="false">H10*MIN(H16,H21*H20)*H22*H23*H33</f>
        <v>2.76923076923077</v>
      </c>
      <c r="I41" s="16" t="n">
        <f aca="false">I10*MIN(I16,I21*I20)*I22*I23*I33</f>
        <v>3.56624548446657</v>
      </c>
      <c r="J41" s="16" t="n">
        <f aca="false">J10*MIN(J16,J21*J20)*J22*J23*J33</f>
        <v>2.7185014858147</v>
      </c>
      <c r="K41" s="16" t="n">
        <f aca="false">K10*MIN(K16,K21*K20)*K22*K23*K33</f>
        <v>2.70923899840978</v>
      </c>
      <c r="L41" s="16" t="n">
        <f aca="false">L10*MIN(L16,L21*L20)*L22*L23*L33</f>
        <v>4.06153846153846</v>
      </c>
      <c r="M41" s="16" t="n">
        <f aca="false">M10*MIN(M16,M21*M20)*M22*M23*M33</f>
        <v>4.84615384615385</v>
      </c>
      <c r="N41" s="16" t="n">
        <f aca="false">N10*MIN(N16,N21*N20)*N22*N23*N33</f>
        <v>4.61538461538462</v>
      </c>
      <c r="O41" s="38" t="n">
        <f aca="false">SUM(C41:N41)</f>
        <v>31.2649475071526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3.78850961538462</v>
      </c>
      <c r="E42" s="6" t="n">
        <f aca="false">E31+E34+E37+E36+1.25*E35</f>
        <v>6.52323461538462</v>
      </c>
      <c r="F42" s="6" t="n">
        <f aca="false">F31+F34+F37+F36+1.25*F35</f>
        <v>8.81954230769231</v>
      </c>
      <c r="G42" s="6" t="n">
        <f aca="false">G31+G34+G37+G36+1.25*G35</f>
        <v>11.5678211538462</v>
      </c>
      <c r="H42" s="6" t="n">
        <f aca="false">H31+H34+H37+H36+1.25*H35</f>
        <v>14.19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21.0825181575241</v>
      </c>
      <c r="M42" s="6" t="n">
        <f aca="false">M31+M34+M37+M36+1.25*M35</f>
        <v>25.4046898374748</v>
      </c>
      <c r="N42" s="6" t="n">
        <f aca="false">N31+N34+N37+N36+1.25*N35</f>
        <v>23.4625562600464</v>
      </c>
      <c r="O42" s="41" t="n">
        <f aca="false">AVERAGE(C42:N42)</f>
        <v>14.2365726622794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0.236781850961538</v>
      </c>
      <c r="E43" s="39" t="n">
        <f aca="false">E42/(E25*E26)</f>
        <v>0.407702163461538</v>
      </c>
      <c r="F43" s="39" t="n">
        <f aca="false">F42/(F25*F26)</f>
        <v>0.551221394230769</v>
      </c>
      <c r="G43" s="39" t="n">
        <f aca="false">G42/(G25*G26)</f>
        <v>0.578391057692308</v>
      </c>
      <c r="H43" s="39" t="n">
        <f aca="false">H42/(H25*H26)</f>
        <v>0.7095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0.702750605250804</v>
      </c>
      <c r="M43" s="39" t="n">
        <f aca="false">M42/(M25*M26)</f>
        <v>0.846822994582492</v>
      </c>
      <c r="N43" s="39" t="n">
        <f aca="false">N42/(N25*N26)</f>
        <v>0.782085208668212</v>
      </c>
      <c r="O43" s="9" t="n">
        <f aca="false">N43</f>
        <v>0.782085208668212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2.20310470486362</v>
      </c>
      <c r="E48" s="6" t="n">
        <f aca="false">E24*INDEX(Assumptions!$C$31:$E$31,$B$3)/(INDEX(Assumptions!$C$56:$E$56,$B$3)*INDEX(Assumptions!$C$57:$E$57,$B$3)*INDEX(Assumptions!$C$58:$E$58,$B$3))</f>
        <v>3.18227738490403</v>
      </c>
      <c r="F48" s="6" t="n">
        <f aca="false">F24*INDEX(Assumptions!$C$31:$E$31,$B$3)/(INDEX(Assumptions!$C$56:$E$56,$B$3)*INDEX(Assumptions!$C$57:$E$57,$B$3)*INDEX(Assumptions!$C$58:$E$58,$B$3))</f>
        <v>4.17087602828691</v>
      </c>
      <c r="G48" s="6" t="n">
        <f aca="false">G24*INDEX(Assumptions!$C$31:$E$31,$B$3)/(INDEX(Assumptions!$C$56:$E$56,$B$3)*INDEX(Assumptions!$C$57:$E$57,$B$3)*INDEX(Assumptions!$C$58:$E$58,$B$3))</f>
        <v>5.29297156876894</v>
      </c>
      <c r="H48" s="6" t="n">
        <f aca="false">H24*INDEX(Assumptions!$C$31:$E$31,$B$3)/(INDEX(Assumptions!$C$56:$E$56,$B$3)*INDEX(Assumptions!$C$57:$E$57,$B$3)*INDEX(Assumptions!$C$58:$E$58,$B$3))</f>
        <v>6.11560109683937</v>
      </c>
      <c r="I48" s="6" t="n">
        <f aca="false">I24*INDEX(Assumptions!$C$31:$E$31,$B$3)/(INDEX(Assumptions!$C$56:$E$56,$B$3)*INDEX(Assumptions!$C$57:$E$57,$B$3)*INDEX(Assumptions!$C$58:$E$58,$B$3))</f>
        <v>8.25515947467167</v>
      </c>
      <c r="J48" s="6" t="n">
        <f aca="false">J24*INDEX(Assumptions!$C$31:$E$31,$B$3)/(INDEX(Assumptions!$C$56:$E$56,$B$3)*INDEX(Assumptions!$C$57:$E$57,$B$3)*INDEX(Assumptions!$C$58:$E$58,$B$3))</f>
        <v>8.57266560831289</v>
      </c>
      <c r="K48" s="6" t="n">
        <f aca="false">K24*INDEX(Assumptions!$C$31:$E$31,$B$3)/(INDEX(Assumptions!$C$56:$E$56,$B$3)*INDEX(Assumptions!$C$57:$E$57,$B$3)*INDEX(Assumptions!$C$58:$E$58,$B$3))</f>
        <v>7.93765334103045</v>
      </c>
      <c r="L48" s="6" t="n">
        <f aca="false">L24*INDEX(Assumptions!$C$31:$E$31,$B$3)/(INDEX(Assumptions!$C$56:$E$56,$B$3)*INDEX(Assumptions!$C$57:$E$57,$B$3)*INDEX(Assumptions!$C$58:$E$58,$B$3))</f>
        <v>7.93765334103045</v>
      </c>
      <c r="M48" s="6" t="n">
        <f aca="false">M24*INDEX(Assumptions!$C$31:$E$31,$B$3)/(INDEX(Assumptions!$C$56:$E$56,$B$3)*INDEX(Assumptions!$C$57:$E$57,$B$3)*INDEX(Assumptions!$C$58:$E$58,$B$3))</f>
        <v>8.48607302641074</v>
      </c>
      <c r="N48" s="6" t="n">
        <f aca="false">N24*INDEX(Assumptions!$C$31:$E$31,$B$3)/(INDEX(Assumptions!$C$56:$E$56,$B$3)*INDEX(Assumptions!$C$57:$E$57,$B$3)*INDEX(Assumptions!$C$58:$E$58,$B$3))</f>
        <v>8.08197431086737</v>
      </c>
      <c r="O48" s="41" t="n">
        <f aca="false">SUM(C48:N48)</f>
        <v>72.1121824938664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71649.44589309</v>
      </c>
      <c r="E56" s="10" t="n">
        <f aca="false">E34*E53/(1+INDEX(Assumptions!$C$15:$E$15,$B$3)*$H$4)</f>
        <v>103494.132985658</v>
      </c>
      <c r="F56" s="10" t="n">
        <f aca="false">F34*F53/(1+INDEX(Assumptions!$C$15:$E$15,$B$3)*$H$4)</f>
        <v>135645.371577575</v>
      </c>
      <c r="G56" s="10" t="n">
        <f aca="false">G34*G53/(1+INDEX(Assumptions!$C$15:$E$15,$B$3)*$H$4)</f>
        <v>172138.200782269</v>
      </c>
      <c r="H56" s="10" t="n">
        <f aca="false">H34*H53/(1+INDEX(Assumptions!$C$15:$E$15,$B$3)*$H$4)</f>
        <v>198891.786179922</v>
      </c>
      <c r="I56" s="10" t="n">
        <f aca="false">I34*I53/(1+INDEX(Assumptions!$C$15:$E$15,$B$3)*$H$4)</f>
        <v>265957.290366998</v>
      </c>
      <c r="J56" s="10" t="n">
        <f aca="false">J34*J53/(1+INDEX(Assumptions!$C$15:$E$15,$B$3)*$H$4)</f>
        <v>202735.704026859</v>
      </c>
      <c r="K56" s="10" t="n">
        <f aca="false">K34*K53/(1+INDEX(Assumptions!$C$15:$E$15,$B$3)*$H$4)</f>
        <v>202044.942254289</v>
      </c>
      <c r="L56" s="10" t="n">
        <f aca="false">L34*L53/(1+INDEX(Assumptions!$C$15:$E$15,$B$3)*$H$4)</f>
        <v>215123.859191656</v>
      </c>
      <c r="M56" s="10" t="n">
        <f aca="false">M34*M53/(1+INDEX(Assumptions!$C$15:$E$15,$B$3)*$H$4)</f>
        <v>229986.962190352</v>
      </c>
      <c r="N56" s="10" t="n">
        <f aca="false">N34*N53/(1+INDEX(Assumptions!$C$15:$E$15,$B$3)*$H$4)</f>
        <v>219035.20208605</v>
      </c>
      <c r="O56" s="40" t="n">
        <f aca="false">SUM(C56:N56)</f>
        <v>2077719.84668726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73011.7340286832</v>
      </c>
      <c r="O57" s="40" t="n">
        <f aca="false">SUM(C57:N57)</f>
        <v>411994.784876141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4800.51287483703</v>
      </c>
      <c r="F58" s="10" t="n">
        <f aca="false">F37*MAX(0,F53-INDEX(Assumptions!$C$18:$E$18,$B$3)*$H$3)/(1+INDEX(Assumptions!$C$15:$E$15,$B$3)*$H$4)</f>
        <v>6934.10691003912</v>
      </c>
      <c r="G58" s="10" t="n">
        <f aca="false">G37*MAX(0,G53-INDEX(Assumptions!$C$18:$E$18,$B$3)*$H$3)/(1+INDEX(Assumptions!$C$15:$E$15,$B$3)*$H$4)</f>
        <v>9088.23989569753</v>
      </c>
      <c r="H58" s="10" t="n">
        <f aca="false">H37*MAX(0,H53-INDEX(Assumptions!$C$18:$E$18,$B$3)*$H$3)/(1+INDEX(Assumptions!$C$15:$E$15,$B$3)*$H$4)</f>
        <v>11533.259452412</v>
      </c>
      <c r="I58" s="10" t="n">
        <f aca="false">I37*MAX(0,I53-INDEX(Assumptions!$C$18:$E$18,$B$3)*$H$3)/(1+INDEX(Assumptions!$C$15:$E$15,$B$3)*$H$4)</f>
        <v>13200.8040561749</v>
      </c>
      <c r="J58" s="10" t="n">
        <f aca="false">J37*MAX(0,J53-INDEX(Assumptions!$C$18:$E$18,$B$3)*$H$3)/(1+INDEX(Assumptions!$C$15:$E$15,$B$3)*$H$4)</f>
        <v>12957.5639247241</v>
      </c>
      <c r="K58" s="10" t="n">
        <f aca="false">K37*MAX(0,K53-INDEX(Assumptions!$C$18:$E$18,$B$3)*$H$3)/(1+INDEX(Assumptions!$C$15:$E$15,$B$3)*$H$4)</f>
        <v>10631.2222967066</v>
      </c>
      <c r="L58" s="10" t="n">
        <f aca="false">L37*MAX(0,L53-INDEX(Assumptions!$C$18:$E$18,$B$3)*$H$3)/(1+INDEX(Assumptions!$C$15:$E$15,$B$3)*$H$4)</f>
        <v>18026.8987366882</v>
      </c>
      <c r="M58" s="10" t="n">
        <f aca="false">M37*MAX(0,M53-INDEX(Assumptions!$C$18:$E$18,$B$3)*$H$3)/(1+INDEX(Assumptions!$C$15:$E$15,$B$3)*$H$4)</f>
        <v>23032.5945241199</v>
      </c>
      <c r="N58" s="10" t="n">
        <f aca="false">N37*MAX(0,N53-INDEX(Assumptions!$C$18:$E$18,$B$3)*$H$3)/(1+INDEX(Assumptions!$C$15:$E$15,$B$3)*$H$4)</f>
        <v>24623.9374185137</v>
      </c>
      <c r="O58" s="40" t="n">
        <f aca="false">SUM(C58:N58)</f>
        <v>138917.275683133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31764.5876792699</v>
      </c>
      <c r="E59" s="10" t="n">
        <f aca="false">E36*INDEX(Assumptions!$C$18:$E$18,$B$3)*$H$3/(1+INDEX(Assumptions!$C$15:$E$15,$B$3)*$H$4)</f>
        <v>45882.3989569752</v>
      </c>
      <c r="F59" s="10" t="n">
        <f aca="false">F36*INDEX(Assumptions!$C$18:$E$18,$B$3)*$H$3/(1+INDEX(Assumptions!$C$15:$E$15,$B$3)*$H$4)</f>
        <v>60136.1147327249</v>
      </c>
      <c r="G59" s="10" t="n">
        <f aca="false">G36*INDEX(Assumptions!$C$18:$E$18,$B$3)*$H$3/(1+INDEX(Assumptions!$C$15:$E$15,$B$3)*$H$4)</f>
        <v>76314.6023468058</v>
      </c>
      <c r="H59" s="10" t="n">
        <f aca="false">H36*INDEX(Assumptions!$C$18:$E$18,$B$3)*$H$3/(1+INDEX(Assumptions!$C$15:$E$15,$B$3)*$H$4)</f>
        <v>88175.3585397653</v>
      </c>
      <c r="I59" s="10" t="n">
        <f aca="false">I36*INDEX(Assumptions!$C$18:$E$18,$B$3)*$H$3/(1+INDEX(Assumptions!$C$15:$E$15,$B$3)*$H$4)</f>
        <v>117907.732062703</v>
      </c>
      <c r="J59" s="10" t="n">
        <f aca="false">J36*INDEX(Assumptions!$C$18:$E$18,$B$3)*$H$3/(1+INDEX(Assumptions!$C$15:$E$15,$B$3)*$H$4)</f>
        <v>89879.4954519075</v>
      </c>
      <c r="K59" s="10" t="n">
        <f aca="false">K36*INDEX(Assumptions!$C$18:$E$18,$B$3)*$H$3/(1+INDEX(Assumptions!$C$15:$E$15,$B$3)*$H$4)</f>
        <v>89573.2577327346</v>
      </c>
      <c r="L59" s="10" t="n">
        <f aca="false">L36*INDEX(Assumptions!$C$18:$E$18,$B$3)*$H$3/(1+INDEX(Assumptions!$C$15:$E$15,$B$3)*$H$4)</f>
        <v>114445.893089961</v>
      </c>
      <c r="M59" s="10" t="n">
        <f aca="false">M36*INDEX(Assumptions!$C$18:$E$18,$B$3)*$H$3/(1+INDEX(Assumptions!$C$15:$E$15,$B$3)*$H$4)</f>
        <v>122353.063885267</v>
      </c>
      <c r="N59" s="10" t="n">
        <f aca="false">N36*INDEX(Assumptions!$C$18:$E$18,$B$3)*$H$3/(1+INDEX(Assumptions!$C$15:$E$15,$B$3)*$H$4)</f>
        <v>116526.727509778</v>
      </c>
      <c r="O59" s="40" t="n">
        <f aca="false">SUM(C59:N59)</f>
        <v>980010.07944552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1666.34363523884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2406.95217716744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3154.69015510835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4003.4000497785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4625.60537448846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6243.88501287881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6484.03443645108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6003.73558930655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6003.73558930655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6418.53913911319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6112.89441820303</v>
      </c>
      <c r="O60" s="40" t="n">
        <f aca="false">SUM(C60:N60)</f>
        <v>54542.8803526951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6535.38461538462</v>
      </c>
      <c r="M65" s="10" t="n">
        <f aca="false">(M34+M35)*(1-M54)*INDEX(Assumptions!$C$90:$E$90,$B$3)</f>
        <v>6787.93846153846</v>
      </c>
      <c r="N65" s="10" t="n">
        <f aca="false">(N34+N35)*(1-N54)*INDEX(Assumptions!$C$90:$E$90,$B$3)</f>
        <v>4962.46153846154</v>
      </c>
      <c r="O65" s="40" t="n">
        <f aca="false">SUM(C65:N65)</f>
        <v>18285.7846153846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160005.800936412</v>
      </c>
      <c r="E66" s="40" t="n">
        <f aca="false">SUM(E56:E65)</f>
        <v>263670.235977689</v>
      </c>
      <c r="F66" s="40" t="n">
        <f aca="false">SUM(F56:F65)</f>
        <v>350141.490155108</v>
      </c>
      <c r="G66" s="40" t="n">
        <f aca="false">SUM(G56:G65)</f>
        <v>411227.312566076</v>
      </c>
      <c r="H66" s="40" t="n">
        <f aca="false">SUM(H56:H65)</f>
        <v>477384.524800825</v>
      </c>
      <c r="I66" s="40" t="n">
        <f aca="false">SUM(I56:I65)</f>
        <v>601943.872515703</v>
      </c>
      <c r="J66" s="40" t="n">
        <f aca="false">SUM(J56:J65)</f>
        <v>535166.604619603</v>
      </c>
      <c r="K66" s="40" t="n">
        <f aca="false">SUM(K56:K65)</f>
        <v>531362.964652697</v>
      </c>
      <c r="L66" s="40" t="n">
        <f aca="false">SUM(L56:L65)</f>
        <v>785771.849189098</v>
      </c>
      <c r="M66" s="40" t="n">
        <f aca="false">SUM(M56:M65)</f>
        <v>833279.15921734</v>
      </c>
      <c r="N66" s="40" t="n">
        <f aca="false">SUM(N56:N65)</f>
        <v>738545.475643757</v>
      </c>
      <c r="O66" s="11" t="n">
        <f aca="false">SUM(C66:N66)</f>
        <v>5807641.2364059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107502.16916558</v>
      </c>
      <c r="E67" s="10" t="n">
        <f aca="false">E56+E57+E58+E59</f>
        <v>154177.044817471</v>
      </c>
      <c r="F67" s="10" t="n">
        <f aca="false">F56+F57+F58+F59</f>
        <v>202715.593220339</v>
      </c>
      <c r="G67" s="10" t="n">
        <f aca="false">G56+G57+G58+G59</f>
        <v>257541.043024772</v>
      </c>
      <c r="H67" s="10" t="n">
        <f aca="false">H56+H57+H58+H59</f>
        <v>298600.404172099</v>
      </c>
      <c r="I67" s="10" t="n">
        <f aca="false">I56+I57+I58+I59</f>
        <v>397065.826485876</v>
      </c>
      <c r="J67" s="10" t="n">
        <f aca="false">J56+J57+J58+J59</f>
        <v>305572.763403491</v>
      </c>
      <c r="K67" s="10" t="n">
        <f aca="false">K56+K57+K58+K59</f>
        <v>302249.42228373</v>
      </c>
      <c r="L67" s="10" t="n">
        <f aca="false">L56+L57+L58+L59</f>
        <v>517088.176442034</v>
      </c>
      <c r="M67" s="10" t="n">
        <f aca="false">M56+M57+M58+M59</f>
        <v>544864.146023468</v>
      </c>
      <c r="N67" s="10" t="n">
        <f aca="false">N56+N57+N58+N59</f>
        <v>433197.601043025</v>
      </c>
      <c r="O67" s="40" t="n">
        <f aca="false">SUM(C67:N67)</f>
        <v>3608641.98669205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9894.63461538462</v>
      </c>
      <c r="E69" s="10" t="n">
        <f aca="false">((E34+E37)*INDEX(Assumptions!$C$91:$E$91,$B$3)+E35*(INDEX(Assumptions!$C$93:$E$93,$B$3)+IF($Q$3=1,INDEX(Assumptions!$C$282:$E$282,$B$3),0)))*$N$3</f>
        <v>13903.2346153846</v>
      </c>
      <c r="F69" s="10" t="n">
        <f aca="false">((F34+F37)*INDEX(Assumptions!$C$91:$E$91,$B$3)+F35*(INDEX(Assumptions!$C$93:$E$93,$B$3)+IF($Q$3=1,INDEX(Assumptions!$C$282:$E$282,$B$3),0)))*$N$3</f>
        <v>18448.6153846154</v>
      </c>
      <c r="G69" s="10" t="n">
        <f aca="false">((G34+G37)*INDEX(Assumptions!$C$91:$E$91,$B$3)+G35*(INDEX(Assumptions!$C$93:$E$93,$B$3)+IF($Q$3=1,INDEX(Assumptions!$C$282:$E$282,$B$3),0)))*$N$3</f>
        <v>23513.5384615385</v>
      </c>
      <c r="H69" s="10" t="n">
        <f aca="false">((H34+H37)*INDEX(Assumptions!$C$91:$E$91,$B$3)+H35*(INDEX(Assumptions!$C$93:$E$93,$B$3)+IF($Q$3=1,INDEX(Assumptions!$C$282:$E$282,$B$3),0)))*$N$3</f>
        <v>27531.6923076923</v>
      </c>
      <c r="I69" s="10" t="n">
        <f aca="false">((I34+I37)*INDEX(Assumptions!$C$91:$E$91,$B$3)+I35*(INDEX(Assumptions!$C$93:$E$93,$B$3)+IF($Q$3=1,INDEX(Assumptions!$C$282:$E$282,$B$3),0)))*$N$3</f>
        <v>36032.7957218987</v>
      </c>
      <c r="J69" s="10" t="n">
        <f aca="false">((J34+J37)*INDEX(Assumptions!$C$91:$E$91,$B$3)+J35*(INDEX(Assumptions!$C$93:$E$93,$B$3)+IF($Q$3=1,INDEX(Assumptions!$C$282:$E$282,$B$3),0)))*$N$3</f>
        <v>28486.9699202961</v>
      </c>
      <c r="K69" s="10" t="n">
        <f aca="false">((K34+K37)*INDEX(Assumptions!$C$91:$E$91,$B$3)+K35*(INDEX(Assumptions!$C$93:$E$93,$B$3)+IF($Q$3=1,INDEX(Assumptions!$C$282:$E$282,$B$3),0)))*$N$3</f>
        <v>27586.0322338012</v>
      </c>
      <c r="L69" s="10" t="n">
        <f aca="false">((L34+L37)*INDEX(Assumptions!$C$91:$E$91,$B$3)+L35*(INDEX(Assumptions!$C$93:$E$93,$B$3)+IF($Q$3=1,INDEX(Assumptions!$C$282:$E$282,$B$3),0)))*$N$3</f>
        <v>56114.4144833551</v>
      </c>
      <c r="M69" s="10" t="n">
        <f aca="false">((M34+M37)*INDEX(Assumptions!$C$91:$E$91,$B$3)+M35*(INDEX(Assumptions!$C$93:$E$93,$B$3)+IF($Q$3=1,INDEX(Assumptions!$C$282:$E$282,$B$3),0)))*$N$3</f>
        <v>59016.9230769231</v>
      </c>
      <c r="N69" s="10" t="n">
        <f aca="false">((N34+N37)*INDEX(Assumptions!$C$91:$E$91,$B$3)+N35*(INDEX(Assumptions!$C$93:$E$93,$B$3)+IF($Q$3=1,INDEX(Assumptions!$C$282:$E$282,$B$3),0)))*$N$3</f>
        <v>42051.6923076923</v>
      </c>
      <c r="O69" s="40" t="n">
        <f aca="false">SUM(C69:N69)</f>
        <v>349780.543128582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16909.2692307692</v>
      </c>
      <c r="E70" s="10" t="n">
        <f aca="false">(E34+E35)*E54*INDEX(Assumptions!$C$14:$E$14,$B$3)*$N$3</f>
        <v>24424.6153846154</v>
      </c>
      <c r="F70" s="10" t="n">
        <f aca="false">(F34+F35)*F54*INDEX(Assumptions!$C$14:$E$14,$B$3)*$N$3</f>
        <v>32012.3076923077</v>
      </c>
      <c r="G70" s="10" t="n">
        <f aca="false">(G34+G35)*G54*INDEX(Assumptions!$C$14:$E$14,$B$3)*$N$3</f>
        <v>40624.6153846154</v>
      </c>
      <c r="H70" s="10" t="n">
        <f aca="false">(H34+H35)*H54*INDEX(Assumptions!$C$14:$E$14,$B$3)*$N$3</f>
        <v>46938.4615384615</v>
      </c>
      <c r="I70" s="10" t="n">
        <f aca="false">(I34+I35)*I54*INDEX(Assumptions!$C$14:$E$14,$B$3)*$N$3</f>
        <v>62765.9205266115</v>
      </c>
      <c r="J70" s="10" t="n">
        <f aca="false">(J34+J35)*J54*INDEX(Assumptions!$C$14:$E$14,$B$3)*$N$3</f>
        <v>47845.6261503388</v>
      </c>
      <c r="K70" s="10" t="n">
        <f aca="false">(K34+K35)*K54*INDEX(Assumptions!$C$14:$E$14,$B$3)*$N$3</f>
        <v>47682.6063720121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333603.422279732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1878.80769230769</v>
      </c>
      <c r="E71" s="10" t="n">
        <f aca="false">E36*INDEX(Assumptions!$C$92:$E$92,$B$3)*$N$3</f>
        <v>2713.84615384615</v>
      </c>
      <c r="F71" s="10" t="n">
        <f aca="false">F36*INDEX(Assumptions!$C$92:$E$92,$B$3)*$N$3</f>
        <v>3556.92307692308</v>
      </c>
      <c r="G71" s="10" t="n">
        <f aca="false">G36*INDEX(Assumptions!$C$92:$E$92,$B$3)*$N$3</f>
        <v>4513.84615384615</v>
      </c>
      <c r="H71" s="10" t="n">
        <f aca="false">H36*INDEX(Assumptions!$C$92:$E$92,$B$3)*$N$3</f>
        <v>5215.38461538462</v>
      </c>
      <c r="I71" s="10" t="n">
        <f aca="false">I36*INDEX(Assumptions!$C$92:$E$92,$B$3)*$N$3</f>
        <v>6973.99116962351</v>
      </c>
      <c r="J71" s="10" t="n">
        <f aca="false">J36*INDEX(Assumptions!$C$92:$E$92,$B$3)*$N$3</f>
        <v>5316.18068337097</v>
      </c>
      <c r="K71" s="10" t="n">
        <f aca="false">K36*INDEX(Assumptions!$C$92:$E$92,$B$3)*$N$3</f>
        <v>5298.06737466801</v>
      </c>
      <c r="L71" s="10" t="n">
        <f aca="false">L36*INDEX(Assumptions!$C$92:$E$92,$B$3)*$N$3</f>
        <v>6769.23076923077</v>
      </c>
      <c r="M71" s="10" t="n">
        <f aca="false">M36*INDEX(Assumptions!$C$92:$E$92,$B$3)*$N$3</f>
        <v>7236.92307692308</v>
      </c>
      <c r="N71" s="10" t="n">
        <f aca="false">N36*INDEX(Assumptions!$C$92:$E$92,$B$3)*$N$3</f>
        <v>6892.30769230769</v>
      </c>
      <c r="O71" s="40" t="n">
        <f aca="false">SUM(C71:N71)</f>
        <v>57965.5084584317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5350.7761762159</v>
      </c>
      <c r="E72" s="10" t="n">
        <f aca="false">(E46*INDEX(Assumptions!$C$94:$E$94,$B$3)+E47*INDEX(Assumptions!$C$95:$E$95,$B$3)+E48*INDEX(Assumptions!$C$96:$E$96,$B$3))*$N$3</f>
        <v>11395.569346226</v>
      </c>
      <c r="F72" s="10" t="n">
        <f aca="false">(F46*INDEX(Assumptions!$C$94:$E$94,$B$3)+F47*INDEX(Assumptions!$C$95:$E$95,$B$3)+F48*INDEX(Assumptions!$C$96:$E$96,$B$3))*$N$3</f>
        <v>15642.7190070717</v>
      </c>
      <c r="G72" s="10" t="n">
        <f aca="false">(G46*INDEX(Assumptions!$C$94:$E$94,$B$3)+G47*INDEX(Assumptions!$C$95:$E$95,$B$3)+G48*INDEX(Assumptions!$C$96:$E$96,$B$3))*$N$3</f>
        <v>16923.2428921922</v>
      </c>
      <c r="H72" s="10" t="n">
        <f aca="false">(H46*INDEX(Assumptions!$C$94:$E$94,$B$3)+H47*INDEX(Assumptions!$C$95:$E$95,$B$3)+H48*INDEX(Assumptions!$C$96:$E$96,$B$3))*$N$3</f>
        <v>19928.9002742098</v>
      </c>
      <c r="I72" s="10" t="n">
        <f aca="false">(I46*INDEX(Assumptions!$C$94:$E$94,$B$3)+I47*INDEX(Assumptions!$C$95:$E$95,$B$3)+I48*INDEX(Assumptions!$C$96:$E$96,$B$3))*$N$3</f>
        <v>23263.7898686679</v>
      </c>
      <c r="J72" s="10" t="n">
        <f aca="false">(J46*INDEX(Assumptions!$C$94:$E$94,$B$3)+J47*INDEX(Assumptions!$C$95:$E$95,$B$3)+J48*INDEX(Assumptions!$C$96:$E$96,$B$3))*$N$3</f>
        <v>26143.1664020782</v>
      </c>
      <c r="K72" s="10" t="n">
        <f aca="false">(K46*INDEX(Assumptions!$C$94:$E$94,$B$3)+K47*INDEX(Assumptions!$C$95:$E$95,$B$3)+K48*INDEX(Assumptions!$C$96:$E$96,$B$3))*$N$3</f>
        <v>25984.4133352576</v>
      </c>
      <c r="L72" s="10" t="n">
        <f aca="false">(L46*INDEX(Assumptions!$C$94:$E$94,$B$3)+L47*INDEX(Assumptions!$C$95:$E$95,$B$3)+L48*INDEX(Assumptions!$C$96:$E$96,$B$3))*$N$3</f>
        <v>27184.4133352576</v>
      </c>
      <c r="M72" s="10" t="n">
        <f aca="false">(M46*INDEX(Assumptions!$C$94:$E$94,$B$3)+M47*INDEX(Assumptions!$C$95:$E$95,$B$3)+M48*INDEX(Assumptions!$C$96:$E$96,$B$3))*$N$3</f>
        <v>29121.5182566027</v>
      </c>
      <c r="N72" s="10" t="n">
        <f aca="false">(N46*INDEX(Assumptions!$C$94:$E$94,$B$3)+N47*INDEX(Assumptions!$C$95:$E$95,$B$3)+N48*INDEX(Assumptions!$C$96:$E$96,$B$3))*$N$3</f>
        <v>30820.4935777168</v>
      </c>
      <c r="O72" s="40" t="n">
        <f aca="false">SUM(C72:N72)</f>
        <v>235028.045623467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5340.11795979164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8458.90200609269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11207.6053984298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13447.2905765594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15611.5519776072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19970.4900412091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17083.9978522228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16931.9287637817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26858.778792083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28390.2420036831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23968.9267636542</v>
      </c>
      <c r="O75" s="40" t="n">
        <f aca="false">SUM(C75:N75)</f>
        <v>191341.58206382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1409.10576923077</v>
      </c>
      <c r="E76" s="10" t="n">
        <f aca="false">E38*INDEX(Assumptions!$C$240:$E$240,$B$3)*INDEX(Assumptions!$C$69:$E$69,$B$3)</f>
        <v>2035.38461538462</v>
      </c>
      <c r="F76" s="10" t="n">
        <f aca="false">F38*INDEX(Assumptions!$C$240:$E$240,$B$3)*INDEX(Assumptions!$C$69:$E$69,$B$3)</f>
        <v>2667.69230769231</v>
      </c>
      <c r="G76" s="10" t="n">
        <f aca="false">G38*INDEX(Assumptions!$C$240:$E$240,$B$3)*INDEX(Assumptions!$C$69:$E$69,$B$3)</f>
        <v>3385.38461538462</v>
      </c>
      <c r="H76" s="10" t="n">
        <f aca="false">H38*INDEX(Assumptions!$C$240:$E$240,$B$3)*INDEX(Assumptions!$C$69:$E$69,$B$3)</f>
        <v>3911.53846153846</v>
      </c>
      <c r="I76" s="10" t="n">
        <f aca="false">I38*INDEX(Assumptions!$C$240:$E$240,$B$3)*INDEX(Assumptions!$C$69:$E$69,$B$3)</f>
        <v>5230.49337721763</v>
      </c>
      <c r="J76" s="10" t="n">
        <f aca="false">J38*INDEX(Assumptions!$C$240:$E$240,$B$3)*INDEX(Assumptions!$C$69:$E$69,$B$3)</f>
        <v>3987.13551252823</v>
      </c>
      <c r="K76" s="10" t="n">
        <f aca="false">K38*INDEX(Assumptions!$C$240:$E$240,$B$3)*INDEX(Assumptions!$C$69:$E$69,$B$3)</f>
        <v>3973.55053100101</v>
      </c>
      <c r="L76" s="10" t="n">
        <f aca="false">L38*INDEX(Assumptions!$C$240:$E$240,$B$3)*INDEX(Assumptions!$C$69:$E$69,$B$3)</f>
        <v>6115.38461538462</v>
      </c>
      <c r="M76" s="10" t="n">
        <f aca="false">M38*INDEX(Assumptions!$C$240:$E$240,$B$3)*INDEX(Assumptions!$C$69:$E$69,$B$3)</f>
        <v>6413.53846153846</v>
      </c>
      <c r="N76" s="10" t="n">
        <f aca="false">N38*INDEX(Assumptions!$C$240:$E$240,$B$3)*INDEX(Assumptions!$C$69:$E$69,$B$3)</f>
        <v>5169.23076923077</v>
      </c>
      <c r="O76" s="40" t="n">
        <f aca="false">SUM(C76:N76)</f>
        <v>45498.4390361315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40782.7114436998</v>
      </c>
      <c r="E77" s="40" t="n">
        <f aca="false">SUM(E69:E76)</f>
        <v>63407.5521215495</v>
      </c>
      <c r="F77" s="40" t="n">
        <f aca="false">SUM(F69:F76)</f>
        <v>84487.86286704</v>
      </c>
      <c r="G77" s="40" t="n">
        <f aca="false">SUM(G69:G76)</f>
        <v>103835.918084136</v>
      </c>
      <c r="H77" s="40" t="n">
        <f aca="false">SUM(H69:H76)</f>
        <v>121041.529174894</v>
      </c>
      <c r="I77" s="40" t="n">
        <f aca="false">SUM(I69:I76)</f>
        <v>156617.480705228</v>
      </c>
      <c r="J77" s="40" t="n">
        <f aca="false">SUM(J69:J76)</f>
        <v>131719.076520835</v>
      </c>
      <c r="K77" s="40" t="n">
        <f aca="false">SUM(K69:K76)</f>
        <v>130312.598610522</v>
      </c>
      <c r="L77" s="40" t="n">
        <f aca="false">SUM(L69:L76)</f>
        <v>151898.221995311</v>
      </c>
      <c r="M77" s="40" t="n">
        <f aca="false">SUM(M69:M76)</f>
        <v>159035.14487567</v>
      </c>
      <c r="N77" s="40" t="n">
        <f aca="false">SUM(N69:N76)</f>
        <v>137758.651110602</v>
      </c>
      <c r="O77" s="11" t="n">
        <f aca="false">SUM(C77:N77)</f>
        <v>1312637.54059016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119223.089492712</v>
      </c>
      <c r="E78" s="40" t="n">
        <f aca="false">E66-E77</f>
        <v>200262.68385614</v>
      </c>
      <c r="F78" s="40" t="n">
        <f aca="false">F66-F77</f>
        <v>265653.627288068</v>
      </c>
      <c r="G78" s="40" t="n">
        <f aca="false">G66-G77</f>
        <v>307391.39448194</v>
      </c>
      <c r="H78" s="40" t="n">
        <f aca="false">H66-H77</f>
        <v>356342.995625931</v>
      </c>
      <c r="I78" s="40" t="n">
        <f aca="false">I66-I77</f>
        <v>445326.391810475</v>
      </c>
      <c r="J78" s="40" t="n">
        <f aca="false">J66-J77</f>
        <v>403447.528098768</v>
      </c>
      <c r="K78" s="40" t="n">
        <f aca="false">K66-K77</f>
        <v>401050.366042176</v>
      </c>
      <c r="L78" s="40" t="n">
        <f aca="false">L66-L77</f>
        <v>633873.627193787</v>
      </c>
      <c r="M78" s="40" t="n">
        <f aca="false">M66-M77</f>
        <v>674244.01434167</v>
      </c>
      <c r="N78" s="40" t="n">
        <f aca="false">N66-N77</f>
        <v>600786.824533155</v>
      </c>
      <c r="O78" s="11" t="n">
        <f aca="false">SUM(C78:N78)</f>
        <v>4495003.69581573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0.745117294466672</v>
      </c>
      <c r="E79" s="8" t="n">
        <f aca="false">IFERROR(E78/E66,0)</f>
        <v>0.75951949264795</v>
      </c>
      <c r="F79" s="8" t="n">
        <f aca="false">IFERROR(F78/F66,0)</f>
        <v>0.758703651973341</v>
      </c>
      <c r="G79" s="8" t="n">
        <f aca="false">IFERROR(G78/G66,0)</f>
        <v>0.747497515580384</v>
      </c>
      <c r="H79" s="8" t="n">
        <f aca="false">IFERROR(H78/H66,0)</f>
        <v>0.746448569472596</v>
      </c>
      <c r="I79" s="8" t="n">
        <f aca="false">IFERROR(I78/I66,0)</f>
        <v>0.739813813452943</v>
      </c>
      <c r="J79" s="8" t="n">
        <f aca="false">IFERROR(J78/J66,0)</f>
        <v>0.753872765258847</v>
      </c>
      <c r="K79" s="8" t="n">
        <f aca="false">IFERROR(K78/K66,0)</f>
        <v>0.754757844864678</v>
      </c>
      <c r="L79" s="8" t="n">
        <f aca="false">IFERROR(L78/L66,0)</f>
        <v>0.806689152643904</v>
      </c>
      <c r="M79" s="8" t="n">
        <f aca="false">IFERROR(M78/M66,0)</f>
        <v>0.809145418895338</v>
      </c>
      <c r="N79" s="8" t="n">
        <f aca="false">IFERROR(N78/N66,0)</f>
        <v>0.813473028197047</v>
      </c>
      <c r="O79" s="13" t="n">
        <f aca="false">IFERROR(O78/O66,0)</f>
        <v>0.77398095248003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-182609.910507288</v>
      </c>
      <c r="E103" s="40" t="n">
        <f aca="false">E78-E102</f>
        <v>-291570.31614386</v>
      </c>
      <c r="F103" s="40" t="n">
        <f aca="false">F78-F102</f>
        <v>-86179.3727119316</v>
      </c>
      <c r="G103" s="40" t="n">
        <f aca="false">G78-G102</f>
        <v>-62441.6055180605</v>
      </c>
      <c r="H103" s="40" t="n">
        <f aca="false">H78-H102</f>
        <v>-13490.0043740691</v>
      </c>
      <c r="I103" s="40" t="n">
        <f aca="false">I78-I102</f>
        <v>75493.391810475</v>
      </c>
      <c r="J103" s="40" t="n">
        <f aca="false">J78-J102</f>
        <v>33614.5280987677</v>
      </c>
      <c r="K103" s="40" t="n">
        <f aca="false">K78-K102</f>
        <v>26217.3660421756</v>
      </c>
      <c r="L103" s="40" t="n">
        <f aca="false">L78-L102</f>
        <v>85940.6271937867</v>
      </c>
      <c r="M103" s="40" t="n">
        <f aca="false">M78-M102</f>
        <v>106311.01434167</v>
      </c>
      <c r="N103" s="40" t="n">
        <f aca="false">N78-N102</f>
        <v>32853.8245331553</v>
      </c>
      <c r="O103" s="11" t="n">
        <f aca="false">SUM(C103:N103)</f>
        <v>-475292.304184268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-1.14127056293327</v>
      </c>
      <c r="E104" s="8" t="n">
        <f aca="false">IFERROR(E103/E66,0)</f>
        <v>-1.10581429512784</v>
      </c>
      <c r="F104" s="8" t="n">
        <f aca="false">IFERROR(F103/F66,0)</f>
        <v>-0.246127280356736</v>
      </c>
      <c r="G104" s="8" t="n">
        <f aca="false">IFERROR(G103/G66,0)</f>
        <v>-0.151842067902597</v>
      </c>
      <c r="H104" s="8" t="n">
        <f aca="false">IFERROR(H103/H66,0)</f>
        <v>-0.028258151811053</v>
      </c>
      <c r="I104" s="8" t="n">
        <f aca="false">IFERROR(I103/I66,0)</f>
        <v>0.125415998496613</v>
      </c>
      <c r="J104" s="8" t="n">
        <f aca="false">IFERROR(J103/J66,0)</f>
        <v>0.0628113335335283</v>
      </c>
      <c r="K104" s="8" t="n">
        <f aca="false">IFERROR(K103/K66,0)</f>
        <v>0.0493398444871133</v>
      </c>
      <c r="L104" s="8" t="n">
        <f aca="false">IFERROR(L103/L66,0)</f>
        <v>0.109370967262922</v>
      </c>
      <c r="M104" s="8" t="n">
        <f aca="false">IFERROR(M103/M66,0)</f>
        <v>0.127581511148704</v>
      </c>
      <c r="N104" s="8" t="n">
        <f aca="false">IFERROR(N103/N66,0)</f>
        <v>0.0444844977278049</v>
      </c>
      <c r="O104" s="8" t="n">
        <f aca="false">IFERROR(O103/O66,0)</f>
        <v>-0.0818391296633203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-257609.910507288</v>
      </c>
      <c r="E105" s="10" t="n">
        <f aca="false">E103-INDEX(Assumptions!$C$204:$E$204,$B$3)</f>
        <v>-366570.31614386</v>
      </c>
      <c r="F105" s="10" t="n">
        <f aca="false">F103-INDEX(Assumptions!$C$204:$E$204,$B$3)</f>
        <v>-161179.372711932</v>
      </c>
      <c r="G105" s="10" t="n">
        <f aca="false">G103-INDEX(Assumptions!$C$204:$E$204,$B$3)</f>
        <v>-137441.605518061</v>
      </c>
      <c r="H105" s="10" t="n">
        <f aca="false">H103-INDEX(Assumptions!$C$204:$E$204,$B$3)</f>
        <v>-88490.0043740691</v>
      </c>
      <c r="I105" s="10" t="n">
        <f aca="false">I103-INDEX(Assumptions!$C$204:$E$204,$B$3)</f>
        <v>493.391810474976</v>
      </c>
      <c r="J105" s="10" t="n">
        <f aca="false">J103-INDEX(Assumptions!$C$204:$E$204,$B$3)</f>
        <v>-41385.4719012323</v>
      </c>
      <c r="K105" s="10" t="n">
        <f aca="false">K103-INDEX(Assumptions!$C$204:$E$204,$B$3)</f>
        <v>-48782.6339578244</v>
      </c>
      <c r="L105" s="10" t="n">
        <f aca="false">L103-INDEX(Assumptions!$C$204:$E$204,$B$3)</f>
        <v>10940.6271937867</v>
      </c>
      <c r="M105" s="10" t="n">
        <f aca="false">M103-INDEX(Assumptions!$C$204:$E$204,$B$3)</f>
        <v>31311.0143416699</v>
      </c>
      <c r="N105" s="10" t="n">
        <f aca="false">N103-INDEX(Assumptions!$C$204:$E$204,$B$3)</f>
        <v>-42146.1754668447</v>
      </c>
      <c r="O105" s="40" t="n">
        <f aca="false">SUM(C105:N105)</f>
        <v>-1375292.30418427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-9717.18627770535</v>
      </c>
      <c r="E113" s="10" t="n">
        <f aca="false">((E67+IF(INDEX(Assumptions!$C$87:$E$87,$B$3)&gt;=2,D67,0)+IF(INDEX(Assumptions!$C$87:$E$87,$B$3)&gt;=3,C67,0))/INDEX(Assumptions!$C$87:$E$87,$B$3))-E67</f>
        <v>-23337.4378259453</v>
      </c>
      <c r="F113" s="10" t="n">
        <f aca="false">((F67+IF(INDEX(Assumptions!$C$87:$E$87,$B$3)&gt;=2,E67,0)+IF(INDEX(Assumptions!$C$87:$E$87,$B$3)&gt;=3,D67,0))/INDEX(Assumptions!$C$87:$E$87,$B$3))-F67</f>
        <v>-24269.2742014342</v>
      </c>
      <c r="G113" s="10" t="n">
        <f aca="false">((G67+IF(INDEX(Assumptions!$C$87:$E$87,$B$3)&gt;=2,F67,0)+IF(INDEX(Assumptions!$C$87:$E$87,$B$3)&gt;=3,E67,0))/INDEX(Assumptions!$C$87:$E$87,$B$3))-G67</f>
        <v>-27412.7249022164</v>
      </c>
      <c r="H113" s="10" t="n">
        <f aca="false">((H67+IF(INDEX(Assumptions!$C$87:$E$87,$B$3)&gt;=2,G67,0)+IF(INDEX(Assumptions!$C$87:$E$87,$B$3)&gt;=3,F67,0))/INDEX(Assumptions!$C$87:$E$87,$B$3))-H67</f>
        <v>-20529.6805736636</v>
      </c>
      <c r="I113" s="10" t="n">
        <f aca="false">((I67+IF(INDEX(Assumptions!$C$87:$E$87,$B$3)&gt;=2,H67,0)+IF(INDEX(Assumptions!$C$87:$E$87,$B$3)&gt;=3,G67,0))/INDEX(Assumptions!$C$87:$E$87,$B$3))-I67</f>
        <v>-49232.7111568882</v>
      </c>
      <c r="J113" s="10" t="n">
        <f aca="false">((J67+IF(INDEX(Assumptions!$C$87:$E$87,$B$3)&gt;=2,I67,0)+IF(INDEX(Assumptions!$C$87:$E$87,$B$3)&gt;=3,H67,0))/INDEX(Assumptions!$C$87:$E$87,$B$3))-J67</f>
        <v>45746.5315411924</v>
      </c>
      <c r="K113" s="10" t="n">
        <f aca="false">((K67+IF(INDEX(Assumptions!$C$87:$E$87,$B$3)&gt;=2,J67,0)+IF(INDEX(Assumptions!$C$87:$E$87,$B$3)&gt;=3,I67,0))/INDEX(Assumptions!$C$87:$E$87,$B$3))-K67</f>
        <v>1661.67055988056</v>
      </c>
      <c r="L113" s="10" t="n">
        <f aca="false">((L67+IF(INDEX(Assumptions!$C$87:$E$87,$B$3)&gt;=2,K67,0)+IF(INDEX(Assumptions!$C$87:$E$87,$B$3)&gt;=3,J67,0))/INDEX(Assumptions!$C$87:$E$87,$B$3))-L67</f>
        <v>-107419.377079152</v>
      </c>
      <c r="M113" s="10" t="n">
        <f aca="false">((M67+IF(INDEX(Assumptions!$C$87:$E$87,$B$3)&gt;=2,L67,0)+IF(INDEX(Assumptions!$C$87:$E$87,$B$3)&gt;=3,K67,0))/INDEX(Assumptions!$C$87:$E$87,$B$3))-M67</f>
        <v>-13887.9847907173</v>
      </c>
      <c r="N113" s="10" t="n">
        <f aca="false">((N67+IF(INDEX(Assumptions!$C$87:$E$87,$B$3)&gt;=2,M67,0)+IF(INDEX(Assumptions!$C$87:$E$87,$B$3)&gt;=3,L67,0))/INDEX(Assumptions!$C$87:$E$87,$B$3))-N67</f>
        <v>55833.2724902217</v>
      </c>
      <c r="O113" s="40" t="n">
        <f aca="false">SUM(C113:N113)</f>
        <v>-216598.800521512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-192327.096784993</v>
      </c>
      <c r="E114" s="40" t="n">
        <f aca="false">E103+E113-E112</f>
        <v>-414907.753969806</v>
      </c>
      <c r="F114" s="40" t="n">
        <f aca="false">F103+F113-F112</f>
        <v>-110448.646913366</v>
      </c>
      <c r="G114" s="40" t="n">
        <f aca="false">G103+G113-G112</f>
        <v>-89854.3304202769</v>
      </c>
      <c r="H114" s="40" t="n">
        <f aca="false">H103+H113-H112</f>
        <v>-34019.6849477327</v>
      </c>
      <c r="I114" s="40" t="n">
        <f aca="false">I103+I113-I112</f>
        <v>26260.6806535868</v>
      </c>
      <c r="J114" s="40" t="n">
        <f aca="false">J103+J113-J112</f>
        <v>79361.0596399601</v>
      </c>
      <c r="K114" s="40" t="n">
        <f aca="false">K103+K113-K112</f>
        <v>-1444120.96339794</v>
      </c>
      <c r="L114" s="40" t="n">
        <f aca="false">L103+L113-L112</f>
        <v>-21478.7498853653</v>
      </c>
      <c r="M114" s="40" t="n">
        <f aca="false">M103+M113-M112</f>
        <v>92423.0295509526</v>
      </c>
      <c r="N114" s="40" t="n">
        <f aca="false">N103+N113-N112</f>
        <v>88687.097023377</v>
      </c>
      <c r="O114" s="11" t="n">
        <f aca="false">SUM(C114:N114)</f>
        <v>-2413891.10470578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-585792.842039167</v>
      </c>
      <c r="E115" s="40" t="n">
        <f aca="false">D115+E114</f>
        <v>-1000700.59600897</v>
      </c>
      <c r="F115" s="40" t="n">
        <f aca="false">E115+F114</f>
        <v>-1111149.24292234</v>
      </c>
      <c r="G115" s="40" t="n">
        <f aca="false">F115+G114</f>
        <v>-1201003.57334262</v>
      </c>
      <c r="H115" s="40" t="n">
        <f aca="false">G115+H114</f>
        <v>-1235023.25829035</v>
      </c>
      <c r="I115" s="40" t="n">
        <f aca="false">H115+I114</f>
        <v>-1208762.57763676</v>
      </c>
      <c r="J115" s="40" t="n">
        <f aca="false">I115+J114</f>
        <v>-1129401.5179968</v>
      </c>
      <c r="K115" s="40" t="n">
        <f aca="false">J115+K114</f>
        <v>-2573522.48139474</v>
      </c>
      <c r="L115" s="40" t="n">
        <f aca="false">K115+L114</f>
        <v>-2595001.23128011</v>
      </c>
      <c r="M115" s="40" t="n">
        <f aca="false">L115+M114</f>
        <v>-2502578.20172916</v>
      </c>
      <c r="N115" s="40" t="n">
        <f aca="false">M115+N114</f>
        <v>-2413891.10470578</v>
      </c>
      <c r="O115" s="11" t="n">
        <f aca="false">N115</f>
        <v>-2413891.10470578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585792.842039167</v>
      </c>
      <c r="E116" s="40" t="n">
        <f aca="false">-MIN(0,MIN($C$115:E115))</f>
        <v>1000700.59600897</v>
      </c>
      <c r="F116" s="40" t="n">
        <f aca="false">-MIN(0,MIN($C$115:F115))</f>
        <v>1111149.24292234</v>
      </c>
      <c r="G116" s="40" t="n">
        <f aca="false">-MIN(0,MIN($C$115:G115))</f>
        <v>1201003.57334262</v>
      </c>
      <c r="H116" s="40" t="n">
        <f aca="false">-MIN(0,MIN($C$115:H115))</f>
        <v>1235023.25829035</v>
      </c>
      <c r="I116" s="40" t="n">
        <f aca="false">-MIN(0,MIN($C$115:I115))</f>
        <v>1235023.25829035</v>
      </c>
      <c r="J116" s="40" t="n">
        <f aca="false">-MIN(0,MIN($C$115:J115))</f>
        <v>1235023.25829035</v>
      </c>
      <c r="K116" s="40" t="n">
        <f aca="false">-MIN(0,MIN($C$115:K115))</f>
        <v>2573522.48139474</v>
      </c>
      <c r="L116" s="40" t="n">
        <f aca="false">-MIN(0,MIN($C$115:L115))</f>
        <v>2595001.23128011</v>
      </c>
      <c r="M116" s="40" t="n">
        <f aca="false">-MIN(0,MIN($C$115:M115))</f>
        <v>2595001.23128011</v>
      </c>
      <c r="N116" s="40" t="n">
        <f aca="false">-MIN(0,MIN($C$115:N115))</f>
        <v>2595001.23128011</v>
      </c>
      <c r="O116" s="11" t="n">
        <f aca="false">MAX(C116:N116)</f>
        <v>2595001.23128011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3.08082634615385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5.16025442307692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5.61671076923077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7.33487249800854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6.90694683306398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6.20912783256958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6.81820310137795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3.08082634615385</v>
      </c>
      <c r="D129" s="8" t="n">
        <f aca="false">C129/INDEX(Assumptions!$C$179:$E$179,$B$3)</f>
        <v>0.256735528846154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5.16025442307692</v>
      </c>
      <c r="D130" s="8" t="n">
        <f aca="false">C130/INDEX(Assumptions!$C$179:$E$179,$B$3)</f>
        <v>0.430021201923077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5.61671076923077</v>
      </c>
      <c r="D131" s="8" t="n">
        <f aca="false">C131/INDEX(Assumptions!$C$179:$E$179,$B$3)</f>
        <v>0.468059230769231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7.33487249800854</v>
      </c>
      <c r="D132" s="8" t="n">
        <f aca="false">C132/INDEX(Assumptions!$C$179:$E$179,$B$3)</f>
        <v>0.611239374834045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6.90694683306398</v>
      </c>
      <c r="D133" s="8" t="n">
        <f aca="false">C133/INDEX(Assumptions!$C$179:$E$179,$B$3)</f>
        <v>0.575578902755332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6.20912783256958</v>
      </c>
      <c r="D134" s="8" t="n">
        <f aca="false">C134/INDEX(Assumptions!$C$179:$E$179,$B$3)</f>
        <v>0.517427319380798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6.81820310137795</v>
      </c>
      <c r="D135" s="8" t="n">
        <f aca="false">C135/INDEX(Assumptions!$C$179:$E$179,$B$3)</f>
        <v>0.568183591781495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3.08082634615385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5.16025442307692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7.72747384615385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9.96657554346746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8.37360854325156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9.11701540907026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3.08082634615385</v>
      </c>
      <c r="D143" s="8" t="n">
        <f aca="false">C143/INDEX(Assumptions!$C$179:$E$179,$B$3)</f>
        <v>0.256735528846154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5.16025442307692</v>
      </c>
      <c r="D144" s="8" t="n">
        <f aca="false">C144/INDEX(Assumptions!$C$179:$E$179,$B$3)</f>
        <v>0.430021201923077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7.72747384615385</v>
      </c>
      <c r="D145" s="8" t="n">
        <f aca="false">C145/INDEX(Assumptions!$C$179:$E$179,$B$3)</f>
        <v>0.643956153846154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9.96657554346746</v>
      </c>
      <c r="D146" s="8" t="n">
        <f aca="false">C146/INDEX(Assumptions!$C$179:$E$179,$B$3)</f>
        <v>0.830547961955622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8.37360854325156</v>
      </c>
      <c r="D147" s="8" t="n">
        <f aca="false">C147/INDEX(Assumptions!$C$179:$E$179,$B$3)</f>
        <v>0.69780071193763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9.11701540907026</v>
      </c>
      <c r="D148" s="8" t="n">
        <f aca="false">C148/INDEX(Assumptions!$C$179:$E$179,$B$3)</f>
        <v>0.759751284089188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5807641.2364059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-475292.304184268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-0.0818391296633203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-1375292.30418427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2595001.23128011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404998.76871989</v>
      </c>
    </row>
    <row r="160" customFormat="false" ht="15" hidden="false" customHeight="false" outlineLevel="0" collapsed="false">
      <c r="A160" s="3" t="s">
        <v>51</v>
      </c>
      <c r="B160" s="7" t="n">
        <f aca="false">O38</f>
        <v>75.8307317268858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8.58037035191686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0.782085208668212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238465.171182438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7.83417727703791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94.0101273244549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14300.2664933587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0.253114716932449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0.552976560723296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20.338882321536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225105.466068612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-2413891.10470578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1235023.25829035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2661994.43903613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75035.155356204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0.256735528846154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0.430021201923077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0.489606450041447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6.81820310137795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2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3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0.724101609246469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22.517062891768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15166.6666666667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7.29230769230769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1908904.46606861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1586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0.7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8166.66666666667</v>
      </c>
      <c r="D19" s="10" t="n">
        <f aca="false">INDEX(Assumptions!$C$115:$E$115,$B$3)*INDEX(Assumptions!$C$120:$E$120,$B$3)*$L$3/$F$3</f>
        <v>8166.66666666667</v>
      </c>
      <c r="E19" s="10" t="n">
        <f aca="false">INDEX(Assumptions!$C$115:$E$115,$B$3)*INDEX(Assumptions!$C$120:$E$120,$B$3)*$L$3/$F$3</f>
        <v>8166.66666666667</v>
      </c>
      <c r="F19" s="10" t="n">
        <f aca="false">INDEX(Assumptions!$C$115:$E$115,$B$3)*INDEX(Assumptions!$C$120:$E$120,$B$3)*$L$3/$F$3</f>
        <v>8166.66666666667</v>
      </c>
      <c r="G19" s="10" t="n">
        <f aca="false">INDEX(Assumptions!$C$115:$E$115,$B$3)*INDEX(Assumptions!$C$120:$E$120,$B$3)*$L$3/$F$3</f>
        <v>8166.66666666667</v>
      </c>
      <c r="H19" s="10" t="n">
        <f aca="false">INDEX(Assumptions!$C$115:$E$115,$B$3)*INDEX(Assumptions!$C$120:$E$120,$B$3)*$L$3/$F$3</f>
        <v>8166.66666666667</v>
      </c>
      <c r="I19" s="10" t="n">
        <f aca="false">INDEX(Assumptions!$C$115:$E$115,$B$3)*INDEX(Assumptions!$C$120:$E$120,$B$3)*$L$3/$F$3</f>
        <v>8166.66666666667</v>
      </c>
      <c r="J19" s="10" t="n">
        <f aca="false">INDEX(Assumptions!$C$115:$E$115,$B$3)*INDEX(Assumptions!$C$120:$E$120,$B$3)*$L$3/$F$3</f>
        <v>8166.66666666667</v>
      </c>
      <c r="K19" s="10" t="n">
        <f aca="false">INDEX(Assumptions!$C$115:$E$115,$B$3)*INDEX(Assumptions!$C$120:$E$120,$B$3)*$L$3/$F$3</f>
        <v>8166.66666666667</v>
      </c>
      <c r="L19" s="10" t="n">
        <f aca="false">INDEX(Assumptions!$C$115:$E$115,$B$3)*INDEX(Assumptions!$C$120:$E$120,$B$3)*$L$3/$F$3</f>
        <v>8166.66666666667</v>
      </c>
      <c r="M19" s="10" t="n">
        <f aca="false">INDEX(Assumptions!$C$115:$E$115,$B$3)*INDEX(Assumptions!$C$120:$E$120,$B$3)*$L$3/$F$3</f>
        <v>8166.66666666667</v>
      </c>
      <c r="N19" s="10" t="n">
        <f aca="false">INDEX(Assumptions!$C$115:$E$115,$B$3)*INDEX(Assumptions!$C$120:$E$120,$B$3)*$L$3/$F$3</f>
        <v>8166.66666666667</v>
      </c>
      <c r="O19" s="40" t="n">
        <f aca="false">AVERAGE(C19:N19)</f>
        <v>8166.66666666667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1.28571428571429</v>
      </c>
      <c r="D21" s="16" t="n">
        <f aca="false">D18*INDEX(Assumptions!$C$119:$E$119,$B$3)/D19</f>
        <v>1.28571428571429</v>
      </c>
      <c r="E21" s="16" t="n">
        <f aca="false">E18*INDEX(Assumptions!$C$119:$E$119,$B$3)/E19</f>
        <v>3.42857142857143</v>
      </c>
      <c r="F21" s="16" t="n">
        <f aca="false">F18*INDEX(Assumptions!$C$119:$E$119,$B$3)/F19</f>
        <v>4.28571428571429</v>
      </c>
      <c r="G21" s="16" t="n">
        <f aca="false">G18*INDEX(Assumptions!$C$119:$E$119,$B$3)/G19</f>
        <v>5.14285714285714</v>
      </c>
      <c r="H21" s="16" t="n">
        <f aca="false">H18*INDEX(Assumptions!$C$119:$E$119,$B$3)/H19</f>
        <v>5.14285714285714</v>
      </c>
      <c r="I21" s="16" t="n">
        <f aca="false">I18*INDEX(Assumptions!$C$119:$E$119,$B$3)/I19</f>
        <v>5.14285714285714</v>
      </c>
      <c r="J21" s="16" t="n">
        <f aca="false">J18*INDEX(Assumptions!$C$119:$E$119,$B$3)/J19</f>
        <v>5.14285714285714</v>
      </c>
      <c r="K21" s="16" t="n">
        <f aca="false">K18*INDEX(Assumptions!$C$119:$E$119,$B$3)/K19</f>
        <v>5.14285714285714</v>
      </c>
      <c r="L21" s="16" t="n">
        <f aca="false">L18*INDEX(Assumptions!$C$119:$E$119,$B$3)/L19</f>
        <v>6.85714285714286</v>
      </c>
      <c r="M21" s="16" t="n">
        <f aca="false">M18*INDEX(Assumptions!$C$119:$E$119,$B$3)/M19</f>
        <v>8.57142857142857</v>
      </c>
      <c r="N21" s="16" t="n">
        <f aca="false">N18*INDEX(Assumptions!$C$119:$E$119,$B$3)/N19</f>
        <v>8.57142857142857</v>
      </c>
      <c r="O21" s="38" t="n">
        <f aca="false">SUM(C21:N21)</f>
        <v>60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2.64669642857143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6.75</v>
      </c>
      <c r="H24" s="38" t="n">
        <f aca="false">H10*(H14*$F$3+(H15-H14)*$F$3*H20+MIN(H16,H21*H20))*H22*H23</f>
        <v>8.75</v>
      </c>
      <c r="I24" s="38" t="n">
        <f aca="false">I10*(I14*$F$3+(I15-I14)*$F$3*I20+MIN(I16,I21*I20))*I22*I23</f>
        <v>11.8857142857143</v>
      </c>
      <c r="J24" s="38" t="n">
        <f aca="false">J10*(J14*$F$3+(J15-J14)*$F$3*J20+MIN(J16,J21*J20))*J22*J23</f>
        <v>12.3428571428571</v>
      </c>
      <c r="K24" s="38" t="n">
        <f aca="false">K10*(K14*$F$3+(K15-K14)*$F$3*K20+MIN(K16,K21*K20))*K22*K23</f>
        <v>11.4285714285714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95.8038392857143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3.02801785714286</v>
      </c>
      <c r="F31" s="6" t="n">
        <f aca="false">E34+D34+E37+D37+1.25*E35</f>
        <v>4.24562142857143</v>
      </c>
      <c r="G31" s="6" t="n">
        <f aca="false">F34+E34+F37+E37+1.25*F35</f>
        <v>5.83760357142857</v>
      </c>
      <c r="H31" s="6" t="n">
        <f aca="false">G34+F34+G37+F37+1.25*G35</f>
        <v>8.07</v>
      </c>
      <c r="I31" s="6" t="n">
        <f aca="false">H34+G34+H37+G37+1.25*H35</f>
        <v>10.71</v>
      </c>
      <c r="J31" s="6" t="n">
        <f aca="false">I34+H34+I37+H37+1.25*I35</f>
        <v>10.6706935394809</v>
      </c>
      <c r="K31" s="6" t="n">
        <f aca="false">J34+I34+J37+I37+1.25*J35</f>
        <v>9.187524230975</v>
      </c>
      <c r="L31" s="6" t="n">
        <f aca="false">K34+J34+K37+J37+1.25*K35</f>
        <v>10.101843531797</v>
      </c>
      <c r="M31" s="6" t="n">
        <f aca="false">L34+K34+L37+K37+1.25*L35</f>
        <v>15.2112517189196</v>
      </c>
      <c r="N31" s="6" t="n">
        <f aca="false">M34+L34+M37+L37+1.25*M35</f>
        <v>14.1870991439387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2.88669642857143</v>
      </c>
      <c r="E32" s="6" t="n">
        <f aca="false">E24*(INDEX(Assumptions!$C$26:$E$26,$B$3)*(1-E28)+(1-INDEX(Assumptions!$C$26:$E$26,$B$3)))+1.25*E30+D36*INDEX(Assumptions!$C$89:$E$89,$B$3)</f>
        <v>3.81760357142857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7.35</v>
      </c>
      <c r="H32" s="6" t="n">
        <f aca="false">H24*(INDEX(Assumptions!$C$26:$E$26,$B$3)*(1-H28)+(1-INDEX(Assumptions!$C$26:$E$26,$B$3)))+1.25*H30+G36*INDEX(Assumptions!$C$89:$E$89,$B$3)</f>
        <v>9.56</v>
      </c>
      <c r="I32" s="6" t="n">
        <f aca="false">I24*(INDEX(Assumptions!$C$26:$E$26,$B$3)*(1-I28)+(1-INDEX(Assumptions!$C$26:$E$26,$B$3)))+1.25*I30+H36*INDEX(Assumptions!$C$89:$E$89,$B$3)</f>
        <v>12.9357142857143</v>
      </c>
      <c r="J32" s="6" t="n">
        <f aca="false">J24*(INDEX(Assumptions!$C$26:$E$26,$B$3)*(1-J28)+(1-INDEX(Assumptions!$C$26:$E$26,$B$3)))+1.25*J30+I36*INDEX(Assumptions!$C$89:$E$89,$B$3)</f>
        <v>13.1466490810129</v>
      </c>
      <c r="K32" s="6" t="n">
        <f aca="false">K24*(INDEX(Assumptions!$C$26:$E$26,$B$3)*(1-K28)+(1-INDEX(Assumptions!$C$26:$E$26,$B$3)))+1.25*K30+J36*INDEX(Assumptions!$C$89:$E$89,$B$3)</f>
        <v>12.2543141592789</v>
      </c>
      <c r="L32" s="6" t="n">
        <f aca="false">L24*(INDEX(Assumptions!$C$26:$E$26,$B$3)*(1-L28)+(1-INDEX(Assumptions!$C$26:$E$26,$B$3)))+1.25*L30+K36*INDEX(Assumptions!$C$89:$E$89,$B$3)</f>
        <v>14.0862388786166</v>
      </c>
      <c r="M32" s="6" t="n">
        <f aca="false">M24*(INDEX(Assumptions!$C$26:$E$26,$B$3)*(1-M28)+(1-INDEX(Assumptions!$C$26:$E$26,$B$3)))+1.25*M30+L36*INDEX(Assumptions!$C$89:$E$89,$B$3)</f>
        <v>13.995</v>
      </c>
      <c r="N32" s="6" t="n">
        <f aca="false">N24*(INDEX(Assumptions!$C$26:$E$26,$B$3)*(1-N28)+(1-INDEX(Assumptions!$C$26:$E$26,$B$3)))+1.25*N30+M36*INDEX(Assumptions!$C$89:$E$89,$B$3)</f>
        <v>11.4363664047275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0.563556046383214</v>
      </c>
      <c r="J33" s="8" t="n">
        <f aca="false">IF(J32&lt;=0,1,MAX(0,MIN(1,(J27-J31)/J32)))</f>
        <v>0.557503772661313</v>
      </c>
      <c r="K33" s="8" t="n">
        <f aca="false">IF(K32&lt;=0,1,MAX(0,MIN(1,(K27-K31)/K32)))</f>
        <v>0.719132515657942</v>
      </c>
      <c r="L33" s="8" t="n">
        <f aca="false">IF(L32&lt;=0,1,MAX(0,MIN(1,(L27-L31)/L32)))</f>
        <v>1</v>
      </c>
      <c r="M33" s="8" t="n">
        <f aca="false">IF(M32&lt;=0,1,MAX(0,MIN(1,(M27-M31)/M32)))</f>
        <v>0.842354289466268</v>
      </c>
      <c r="N33" s="8" t="n">
        <f aca="false">IF(N32&lt;=0,1,MAX(0,MIN(1,(N27-N31)/N32)))</f>
        <v>1</v>
      </c>
      <c r="O33" s="8" t="n">
        <f aca="false">MIN(C33:N33)</f>
        <v>0.557503772661313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1.58801785714286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4.05</v>
      </c>
      <c r="H34" s="38" t="n">
        <f aca="false">H24*INDEX(Assumptions!$C$26:$E$26,$B$3)*(1-H28)*H33</f>
        <v>5.25</v>
      </c>
      <c r="I34" s="38" t="n">
        <f aca="false">I24*INDEX(Assumptions!$C$26:$E$26,$B$3)*(1-I28)*I33</f>
        <v>4.01895969077857</v>
      </c>
      <c r="J34" s="38" t="n">
        <f aca="false">J24*INDEX(Assumptions!$C$26:$E$26,$B$3)*(1-J28)*J33</f>
        <v>4.1287136535375</v>
      </c>
      <c r="K34" s="38" t="n">
        <f aca="false">K24*INDEX(Assumptions!$C$26:$E$26,$B$3)*(1-K28)*K33</f>
        <v>4.93119439308303</v>
      </c>
      <c r="L34" s="38" t="n">
        <f aca="false">L24*INDEX(Assumptions!$C$26:$E$26,$B$3)*(1-L28)*L33</f>
        <v>4.95</v>
      </c>
      <c r="M34" s="38" t="n">
        <f aca="false">M24*INDEX(Assumptions!$C$26:$E$26,$B$3)*(1-M28)*M33</f>
        <v>3.98012401772812</v>
      </c>
      <c r="N34" s="38" t="n">
        <f aca="false">N24*INDEX(Assumptions!$C$26:$E$26,$B$3)*(1-N28)*N33</f>
        <v>4.5</v>
      </c>
      <c r="O34" s="17" t="n">
        <f aca="false">SUM(C34:N34)</f>
        <v>43.6970096122701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2.5270628683988</v>
      </c>
      <c r="N35" s="16" t="n">
        <f aca="false">N30*N33</f>
        <v>1.5</v>
      </c>
      <c r="O35" s="38" t="n">
        <f aca="false">SUM(C35:N35)</f>
        <v>7.0270628683988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1.05867857142857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2.7</v>
      </c>
      <c r="H36" s="16" t="n">
        <f aca="false">H24*(1-INDEX(Assumptions!$C$26:$E$26,$B$3))*H33</f>
        <v>3.5</v>
      </c>
      <c r="I36" s="16" t="n">
        <f aca="false">I24*(1-INDEX(Assumptions!$C$26:$E$26,$B$3))*I33</f>
        <v>2.67930646051905</v>
      </c>
      <c r="J36" s="16" t="n">
        <f aca="false">J24*(1-INDEX(Assumptions!$C$26:$E$26,$B$3))*J33</f>
        <v>2.752475769025</v>
      </c>
      <c r="K36" s="16" t="n">
        <f aca="false">K24*(1-INDEX(Assumptions!$C$26:$E$26,$B$3))*K33</f>
        <v>3.28746292872202</v>
      </c>
      <c r="L36" s="16" t="n">
        <f aca="false">L24*(1-INDEX(Assumptions!$C$26:$E$26,$B$3))*L33</f>
        <v>4.4</v>
      </c>
      <c r="M36" s="16" t="n">
        <f aca="false">M24*(1-INDEX(Assumptions!$C$26:$E$26,$B$3))*M33</f>
        <v>3.53788801575833</v>
      </c>
      <c r="N36" s="16" t="n">
        <f aca="false">N24*(1-INDEX(Assumptions!$C$26:$E$26,$B$3))*N33</f>
        <v>4</v>
      </c>
      <c r="O36" s="38" t="n">
        <f aca="false">SUM(C36:N36)</f>
        <v>32.115811745453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0.317603571428571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0.81</v>
      </c>
      <c r="I37" s="16" t="n">
        <f aca="false">H36*INDEX(Assumptions!$C$89:$E$89,$B$3)*I33</f>
        <v>0.591733848702374</v>
      </c>
      <c r="J37" s="16" t="n">
        <f aca="false">I36*INDEX(Assumptions!$C$89:$E$89,$B$3)*J33</f>
        <v>0.44811703795656</v>
      </c>
      <c r="K37" s="16" t="n">
        <f aca="false">J36*INDEX(Assumptions!$C$89:$E$89,$B$3)*K33</f>
        <v>0.593818447219943</v>
      </c>
      <c r="L37" s="16" t="n">
        <f aca="false">K36*INDEX(Assumptions!$C$89:$E$89,$B$3)*L33</f>
        <v>0.986238878616607</v>
      </c>
      <c r="M37" s="16" t="n">
        <f aca="false">L36*INDEX(Assumptions!$C$89:$E$89,$B$3)*M33</f>
        <v>1.11190766209547</v>
      </c>
      <c r="N37" s="16" t="n">
        <f aca="false">M36*INDEX(Assumptions!$C$89:$E$89,$B$3)*N33</f>
        <v>1.0613664047275</v>
      </c>
      <c r="O37" s="38" t="n">
        <f aca="false">SUM(C37:N37)</f>
        <v>7.18078585074703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2.64669642857143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6.75</v>
      </c>
      <c r="H38" s="38" t="n">
        <f aca="false">H34+H35+H36</f>
        <v>8.75</v>
      </c>
      <c r="I38" s="38" t="n">
        <f aca="false">I34+I35+I36</f>
        <v>6.69826615129762</v>
      </c>
      <c r="J38" s="38" t="n">
        <f aca="false">J34+J35+J36</f>
        <v>6.88118942256249</v>
      </c>
      <c r="K38" s="38" t="n">
        <f aca="false">K34+K35+K36</f>
        <v>8.21865732180505</v>
      </c>
      <c r="L38" s="38" t="n">
        <f aca="false">L34+L35+L36</f>
        <v>12.35</v>
      </c>
      <c r="M38" s="38" t="n">
        <f aca="false">M34+M35+M36</f>
        <v>10.0450749018852</v>
      </c>
      <c r="N38" s="38" t="n">
        <f aca="false">N34+N35+N36</f>
        <v>10</v>
      </c>
      <c r="O38" s="17" t="n">
        <f aca="false">SUM(C38:N38)</f>
        <v>82.8398842261218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2.64669642857143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6.75</v>
      </c>
      <c r="H39" s="16" t="n">
        <f aca="false">IF(6&lt;IF($Q$3=1,$Q$4+1,INDEX(Assumptions!$C$215:$E$215,$D$3)),H24,H38)</f>
        <v>8.75</v>
      </c>
      <c r="I39" s="16" t="n">
        <f aca="false">IF(7&lt;IF($Q$3=1,$Q$4+1,INDEX(Assumptions!$C$215:$E$215,$D$3)),I24,I38)</f>
        <v>11.8857142857143</v>
      </c>
      <c r="J39" s="16" t="n">
        <f aca="false">IF(8&lt;IF($Q$3=1,$Q$4+1,INDEX(Assumptions!$C$215:$E$215,$D$3)),J24,J38)</f>
        <v>12.3428571428571</v>
      </c>
      <c r="K39" s="16" t="n">
        <f aca="false">IF(9&lt;IF($Q$3=1,$Q$4+1,INDEX(Assumptions!$C$215:$E$215,$D$3)),K24,K38)</f>
        <v>11.4285714285714</v>
      </c>
      <c r="L39" s="16" t="n">
        <f aca="false">IF(10&lt;IF($Q$3=1,$Q$4+1,INDEX(Assumptions!$C$215:$E$215,$D$3)),L24,L38)</f>
        <v>12.35</v>
      </c>
      <c r="M39" s="16" t="n">
        <f aca="false">IF(11&lt;IF($Q$3=1,$Q$4+1,INDEX(Assumptions!$C$215:$E$215,$D$3)),M24,M38)</f>
        <v>10.0450749018852</v>
      </c>
      <c r="N39" s="16" t="n">
        <f aca="false">IF(12&lt;IF($Q$3=1,$Q$4+1,INDEX(Assumptions!$C$215:$E$215,$D$3)),N24,N38)</f>
        <v>10</v>
      </c>
      <c r="O39" s="38" t="n">
        <f aca="false">SUM(C39:N39)</f>
        <v>96.6989141875995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0.661674107142857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1.6875</v>
      </c>
      <c r="H40" s="16" t="n">
        <f aca="false">H38*INDEX(Assumptions!$C$74:$E$74,$B$3)</f>
        <v>2.1875</v>
      </c>
      <c r="I40" s="16" t="n">
        <f aca="false">I38*INDEX(Assumptions!$C$74:$E$74,$B$3)</f>
        <v>1.67456653782441</v>
      </c>
      <c r="J40" s="16" t="n">
        <f aca="false">J38*INDEX(Assumptions!$C$74:$E$74,$B$3)</f>
        <v>1.72029735564062</v>
      </c>
      <c r="K40" s="16" t="n">
        <f aca="false">K38*INDEX(Assumptions!$C$74:$E$74,$B$3)</f>
        <v>2.05466433045126</v>
      </c>
      <c r="L40" s="16" t="n">
        <f aca="false">L38*INDEX(Assumptions!$C$74:$E$74,$B$3)</f>
        <v>3.0875</v>
      </c>
      <c r="M40" s="16" t="n">
        <f aca="false">M38*INDEX(Assumptions!$C$74:$E$74,$B$3)</f>
        <v>2.51126872547131</v>
      </c>
      <c r="N40" s="16" t="n">
        <f aca="false">N38*INDEX(Assumptions!$C$74:$E$74,$B$3)</f>
        <v>2.5</v>
      </c>
      <c r="O40" s="38" t="n">
        <f aca="false">SUM(C40:N40)</f>
        <v>20.7099710565305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0.646071428571429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3.6</v>
      </c>
      <c r="H41" s="16" t="n">
        <f aca="false">H10*MIN(H16,H21*H20)*H22*H23*H33</f>
        <v>5</v>
      </c>
      <c r="I41" s="16" t="n">
        <f aca="false">I10*MIN(I16,I21*I20)*I22*I23*I33</f>
        <v>3.76777471010491</v>
      </c>
      <c r="J41" s="16" t="n">
        <f aca="false">J10*MIN(J16,J21*J20)*J22*J23*J33</f>
        <v>3.8706690501914</v>
      </c>
      <c r="K41" s="16" t="n">
        <f aca="false">K10*MIN(K16,K21*K20)*K22*K23*K33</f>
        <v>4.62299474351534</v>
      </c>
      <c r="L41" s="16" t="n">
        <f aca="false">L10*MIN(L16,L21*L20)*L22*L23*L33</f>
        <v>6.6</v>
      </c>
      <c r="M41" s="16" t="n">
        <f aca="false">M10*MIN(M16,M21*M20)*M22*M23*M33</f>
        <v>5.30683202363749</v>
      </c>
      <c r="N41" s="16" t="n">
        <f aca="false">N10*MIN(N16,N21*N20)*N22*N23*N33</f>
        <v>6</v>
      </c>
      <c r="O41" s="38" t="n">
        <f aca="false">SUM(C41:N41)</f>
        <v>43.2143419560206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4.08669642857143</v>
      </c>
      <c r="E42" s="6" t="n">
        <f aca="false">E31+E34+E37+E36+1.25*E35</f>
        <v>6.84562142857143</v>
      </c>
      <c r="F42" s="6" t="n">
        <f aca="false">F31+F34+F37+F36+1.25*F35</f>
        <v>9.66562142857143</v>
      </c>
      <c r="G42" s="6" t="n">
        <f aca="false">G31+G34+G37+G36+1.25*G35</f>
        <v>13.1876035714286</v>
      </c>
      <c r="H42" s="6" t="n">
        <f aca="false">H31+H34+H37+H36+1.25*H35</f>
        <v>17.63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24.1880824104136</v>
      </c>
      <c r="M42" s="6" t="n">
        <f aca="false">M31+M34+M37+M36+1.25*M35</f>
        <v>27</v>
      </c>
      <c r="N42" s="6" t="n">
        <f aca="false">N31+N34+N37+N36+1.25*N35</f>
        <v>25.6234655486662</v>
      </c>
      <c r="O42" s="41" t="n">
        <f aca="false">AVERAGE(C42:N42)</f>
        <v>15.3522575680186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0.255418526785714</v>
      </c>
      <c r="E43" s="39" t="n">
        <f aca="false">E42/(E25*E26)</f>
        <v>0.427851339285714</v>
      </c>
      <c r="F43" s="39" t="n">
        <f aca="false">F42/(F25*F26)</f>
        <v>0.604101339285714</v>
      </c>
      <c r="G43" s="39" t="n">
        <f aca="false">G42/(G25*G26)</f>
        <v>0.659380178571429</v>
      </c>
      <c r="H43" s="39" t="n">
        <f aca="false">H42/(H25*H26)</f>
        <v>0.8815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0.806269413680455</v>
      </c>
      <c r="M43" s="39" t="n">
        <f aca="false">M42/(M25*M26)</f>
        <v>0.9</v>
      </c>
      <c r="N43" s="39" t="n">
        <f aca="false">N42/(N25*N26)</f>
        <v>0.854115518288873</v>
      </c>
      <c r="O43" s="9" t="n">
        <f aca="false">N43</f>
        <v>0.854115518288873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2.48282967032967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6.33208255159475</v>
      </c>
      <c r="H48" s="6" t="n">
        <f aca="false">H24*INDEX(Assumptions!$C$31:$E$31,$B$3)/(INDEX(Assumptions!$C$56:$E$56,$B$3)*INDEX(Assumptions!$C$57:$E$57,$B$3)*INDEX(Assumptions!$C$58:$E$58,$B$3))</f>
        <v>8.20825515947467</v>
      </c>
      <c r="I48" s="6" t="n">
        <f aca="false">I24*INDEX(Assumptions!$C$31:$E$31,$B$3)/(INDEX(Assumptions!$C$56:$E$56,$B$3)*INDEX(Assumptions!$C$57:$E$57,$B$3)*INDEX(Assumptions!$C$58:$E$58,$B$3))</f>
        <v>11.1498257839721</v>
      </c>
      <c r="J48" s="6" t="n">
        <f aca="false">J24*INDEX(Assumptions!$C$31:$E$31,$B$3)/(INDEX(Assumptions!$C$56:$E$56,$B$3)*INDEX(Assumptions!$C$57:$E$57,$B$3)*INDEX(Assumptions!$C$58:$E$58,$B$3))</f>
        <v>11.5786652372018</v>
      </c>
      <c r="K48" s="6" t="n">
        <f aca="false">K24*INDEX(Assumptions!$C$31:$E$31,$B$3)/(INDEX(Assumptions!$C$56:$E$56,$B$3)*INDEX(Assumptions!$C$57:$E$57,$B$3)*INDEX(Assumptions!$C$58:$E$58,$B$3))</f>
        <v>10.7209863307424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89.8722694987939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80746.6707021792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205932.203389831</v>
      </c>
      <c r="H56" s="10" t="n">
        <f aca="false">H34*H53/(1+INDEX(Assumptions!$C$15:$E$15,$B$3)*$H$4)</f>
        <v>266949.152542373</v>
      </c>
      <c r="I56" s="10" t="n">
        <f aca="false">I34*I53/(1+INDEX(Assumptions!$C$15:$E$15,$B$3)*$H$4)</f>
        <v>204353.882581961</v>
      </c>
      <c r="J56" s="10" t="n">
        <f aca="false">J34*J53/(1+INDEX(Assumptions!$C$15:$E$15,$B$3)*$H$4)</f>
        <v>209934.592552754</v>
      </c>
      <c r="K56" s="10" t="n">
        <f aca="false">K34*K53/(1+INDEX(Assumptions!$C$15:$E$15,$B$3)*$H$4)</f>
        <v>250738.697953375</v>
      </c>
      <c r="L56" s="10" t="n">
        <f aca="false">L34*L53/(1+INDEX(Assumptions!$C$15:$E$15,$B$3)*$H$4)</f>
        <v>279661.016949152</v>
      </c>
      <c r="M56" s="10" t="n">
        <f aca="false">M34*M53/(1+INDEX(Assumptions!$C$15:$E$15,$B$3)*$H$4)</f>
        <v>224865.763713453</v>
      </c>
      <c r="N56" s="10" t="n">
        <f aca="false">N34*N53/(1+INDEX(Assumptions!$C$15:$E$15,$B$3)*$H$4)</f>
        <v>254237.288135593</v>
      </c>
      <c r="O56" s="40" t="n">
        <f aca="false">SUM(C56:N56)</f>
        <v>2297758.25157152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142771.913468859</v>
      </c>
      <c r="N57" s="10" t="n">
        <f aca="false">N35*N53/(1+INDEX(Assumptions!$C$15:$E$15,$B$3)*$H$4)</f>
        <v>84745.7627118644</v>
      </c>
      <c r="O57" s="40" t="n">
        <f aca="false">SUM(C57:N57)</f>
        <v>397009.201604452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5410.02693704601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13797.4576271186</v>
      </c>
      <c r="I58" s="10" t="n">
        <f aca="false">I37*MAX(0,I53-INDEX(Assumptions!$C$18:$E$18,$B$3)*$H$3)/(1+INDEX(Assumptions!$C$15:$E$15,$B$3)*$H$4)</f>
        <v>10079.5342024726</v>
      </c>
      <c r="J58" s="10" t="n">
        <f aca="false">J37*MAX(0,J53-INDEX(Assumptions!$C$18:$E$18,$B$3)*$H$3)/(1+INDEX(Assumptions!$C$15:$E$15,$B$3)*$H$4)</f>
        <v>7633.18005332784</v>
      </c>
      <c r="K58" s="10" t="n">
        <f aca="false">K37*MAX(0,K53-INDEX(Assumptions!$C$18:$E$18,$B$3)*$H$3)/(1+INDEX(Assumptions!$C$15:$E$15,$B$3)*$H$4)</f>
        <v>10115.0430416278</v>
      </c>
      <c r="L58" s="10" t="n">
        <f aca="false">L37*MAX(0,L53-INDEX(Assumptions!$C$18:$E$18,$B$3)*$H$3)/(1+INDEX(Assumptions!$C$15:$E$15,$B$3)*$H$4)</f>
        <v>22371.4638285066</v>
      </c>
      <c r="M58" s="10" t="n">
        <f aca="false">M37*MAX(0,M53-INDEX(Assumptions!$C$18:$E$18,$B$3)*$H$3)/(1+INDEX(Assumptions!$C$15:$E$15,$B$3)*$H$4)</f>
        <v>25222.0862334086</v>
      </c>
      <c r="N58" s="10" t="n">
        <f aca="false">N37*MAX(0,N53-INDEX(Assumptions!$C$18:$E$18,$B$3)*$H$3)/(1+INDEX(Assumptions!$C$15:$E$15,$B$3)*$H$4)</f>
        <v>24075.6277682537</v>
      </c>
      <c r="O58" s="40" t="n">
        <f aca="false">SUM(C58:N58)</f>
        <v>140167.131556169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35797.6906779661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91296.6101694915</v>
      </c>
      <c r="H59" s="10" t="n">
        <f aca="false">H36*INDEX(Assumptions!$C$18:$E$18,$B$3)*$H$3/(1+INDEX(Assumptions!$C$15:$E$15,$B$3)*$H$4)</f>
        <v>118347.457627119</v>
      </c>
      <c r="I59" s="10" t="n">
        <f aca="false">I36*INDEX(Assumptions!$C$18:$E$18,$B$3)*$H$3/(1+INDEX(Assumptions!$C$15:$E$15,$B$3)*$H$4)</f>
        <v>90596.8879446696</v>
      </c>
      <c r="J59" s="10" t="n">
        <f aca="false">J36*INDEX(Assumptions!$C$18:$E$18,$B$3)*$H$3/(1+INDEX(Assumptions!$C$15:$E$15,$B$3)*$H$4)</f>
        <v>93071.0026983876</v>
      </c>
      <c r="K59" s="10" t="n">
        <f aca="false">K36*INDEX(Assumptions!$C$18:$E$18,$B$3)*$H$3/(1+INDEX(Assumptions!$C$15:$E$15,$B$3)*$H$4)</f>
        <v>111160.822759329</v>
      </c>
      <c r="L59" s="10" t="n">
        <f aca="false">L36*INDEX(Assumptions!$C$18:$E$18,$B$3)*$H$3/(1+INDEX(Assumptions!$C$15:$E$15,$B$3)*$H$4)</f>
        <v>148779.661016949</v>
      </c>
      <c r="M59" s="10" t="n">
        <f aca="false">M36*INDEX(Assumptions!$C$18:$E$18,$B$3)*$H$3/(1+INDEX(Assumptions!$C$15:$E$15,$B$3)*$H$4)</f>
        <v>119628.586295557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1085949.90563015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1877.91683681784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4789.34361783318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6208.40839348745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8433.29923817398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8757.65690118067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8108.94157516729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67975.9268514002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7632</v>
      </c>
      <c r="M65" s="10" t="n">
        <f aca="false">(M34+M35)*(1-M54)*INDEX(Assumptions!$C$90:$E$90,$B$3)</f>
        <v>6246.89941068184</v>
      </c>
      <c r="N65" s="10" t="n">
        <f aca="false">(N34+N35)*(1-N54)*INDEX(Assumptions!$C$90:$E$90,$B$3)</f>
        <v>5760</v>
      </c>
      <c r="O65" s="40" t="n">
        <f aca="false">SUM(C65:N65)</f>
        <v>19638.8994106818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173347.701945777</v>
      </c>
      <c r="E66" s="40" t="n">
        <f aca="false">SUM(E56:E65)</f>
        <v>269098.273345288</v>
      </c>
      <c r="F66" s="40" t="n">
        <f aca="false">SUM(F56:F65)</f>
        <v>375142.597532356</v>
      </c>
      <c r="G66" s="40" t="n">
        <f aca="false">SUM(G56:G65)</f>
        <v>461921.365651732</v>
      </c>
      <c r="H66" s="40" t="n">
        <f aca="false">SUM(H56:H65)</f>
        <v>579460.991444335</v>
      </c>
      <c r="I66" s="40" t="n">
        <f aca="false">SUM(I56:I65)</f>
        <v>512097.764984227</v>
      </c>
      <c r="J66" s="40" t="n">
        <f aca="false">SUM(J56:J65)</f>
        <v>542506.238985311</v>
      </c>
      <c r="K66" s="40" t="n">
        <f aca="false">SUM(K56:K65)</f>
        <v>603233.31210916</v>
      </c>
      <c r="L66" s="40" t="n">
        <f aca="false">SUM(L56:L65)</f>
        <v>891885.076026809</v>
      </c>
      <c r="M66" s="40" t="n">
        <f aca="false">SUM(M56:M65)</f>
        <v>801393.874787365</v>
      </c>
      <c r="N66" s="40" t="n">
        <f aca="false">SUM(N56:N65)</f>
        <v>805440.758426186</v>
      </c>
      <c r="O66" s="11" t="n">
        <f aca="false">SUM(C66:N66)</f>
        <v>6134669.90137013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120632.496973366</v>
      </c>
      <c r="E67" s="10" t="n">
        <f aca="false">E56+E57+E58+E59</f>
        <v>159528.671004843</v>
      </c>
      <c r="F67" s="10" t="n">
        <f aca="false">F56+F57+F58+F59</f>
        <v>227323.728813559</v>
      </c>
      <c r="G67" s="10" t="n">
        <f aca="false">G56+G57+G58+G59</f>
        <v>307449.152542373</v>
      </c>
      <c r="H67" s="10" t="n">
        <f aca="false">H56+H57+H58+H59</f>
        <v>399094.06779661</v>
      </c>
      <c r="I67" s="10" t="n">
        <f aca="false">I56+I57+I58+I59</f>
        <v>305030.304729104</v>
      </c>
      <c r="J67" s="10" t="n">
        <f aca="false">J56+J57+J58+J59</f>
        <v>310638.775304469</v>
      </c>
      <c r="K67" s="10" t="n">
        <f aca="false">K56+K57+K58+K59</f>
        <v>372014.563754332</v>
      </c>
      <c r="L67" s="10" t="n">
        <f aca="false">L56+L57+L58+L59</f>
        <v>620303.667218337</v>
      </c>
      <c r="M67" s="10" t="n">
        <f aca="false">M56+M57+M58+M59</f>
        <v>512488.349711277</v>
      </c>
      <c r="N67" s="10" t="n">
        <f aca="false">N56+N57+N58+N59</f>
        <v>498312.915903847</v>
      </c>
      <c r="O67" s="40" t="n">
        <f aca="false">SUM(C67:N67)</f>
        <v>3920884.49036229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10968.1071428571</v>
      </c>
      <c r="E69" s="10" t="n">
        <f aca="false">((E34+E37)*INDEX(Assumptions!$C$91:$E$91,$B$3)+E35*(INDEX(Assumptions!$C$93:$E$93,$B$3)+IF($Q$3=1,INDEX(Assumptions!$C$282:$E$282,$B$3),0)))*$N$3</f>
        <v>14505.6214285714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27900</v>
      </c>
      <c r="H69" s="10" t="n">
        <f aca="false">((H34+H37)*INDEX(Assumptions!$C$91:$E$91,$B$3)+H35*(INDEX(Assumptions!$C$93:$E$93,$B$3)+IF($Q$3=1,INDEX(Assumptions!$C$282:$E$282,$B$3),0)))*$N$3</f>
        <v>36360</v>
      </c>
      <c r="I69" s="10" t="n">
        <f aca="false">((I34+I37)*INDEX(Assumptions!$C$91:$E$91,$B$3)+I35*(INDEX(Assumptions!$C$93:$E$93,$B$3)+IF($Q$3=1,INDEX(Assumptions!$C$282:$E$282,$B$3),0)))*$N$3</f>
        <v>27664.1612368857</v>
      </c>
      <c r="J69" s="10" t="n">
        <f aca="false">((J34+J37)*INDEX(Assumptions!$C$91:$E$91,$B$3)+J35*(INDEX(Assumptions!$C$93:$E$93,$B$3)+IF($Q$3=1,INDEX(Assumptions!$C$282:$E$282,$B$3),0)))*$N$3</f>
        <v>27460.9841489643</v>
      </c>
      <c r="K69" s="10" t="n">
        <f aca="false">((K34+K37)*INDEX(Assumptions!$C$91:$E$91,$B$3)+K35*(INDEX(Assumptions!$C$93:$E$93,$B$3)+IF($Q$3=1,INDEX(Assumptions!$C$282:$E$282,$B$3),0)))*$N$3</f>
        <v>33150.0770418179</v>
      </c>
      <c r="L69" s="10" t="n">
        <f aca="false">((L34+L37)*INDEX(Assumptions!$C$91:$E$91,$B$3)+L35*(INDEX(Assumptions!$C$93:$E$93,$B$3)+IF($Q$3=1,INDEX(Assumptions!$C$282:$E$282,$B$3),0)))*$N$3</f>
        <v>64117.4332716996</v>
      </c>
      <c r="M69" s="10" t="n">
        <f aca="false">((M34+M37)*INDEX(Assumptions!$C$91:$E$91,$B$3)+M35*(INDEX(Assumptions!$C$93:$E$93,$B$3)+IF($Q$3=1,INDEX(Assumptions!$C$282:$E$282,$B$3),0)))*$N$3</f>
        <v>54559.2873287302</v>
      </c>
      <c r="N69" s="10" t="n">
        <f aca="false">((N34+N37)*INDEX(Assumptions!$C$91:$E$91,$B$3)+N35*(INDEX(Assumptions!$C$93:$E$93,$B$3)+IF($Q$3=1,INDEX(Assumptions!$C$282:$E$282,$B$3),0)))*$N$3</f>
        <v>47618.198428365</v>
      </c>
      <c r="O69" s="40" t="n">
        <f aca="false">SUM(C69:N69)</f>
        <v>372023.870027891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19056.2142857143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48600</v>
      </c>
      <c r="H70" s="10" t="n">
        <f aca="false">(H34+H35)*H54*INDEX(Assumptions!$C$14:$E$14,$B$3)*$N$3</f>
        <v>63000</v>
      </c>
      <c r="I70" s="10" t="n">
        <f aca="false">(I34+I35)*I54*INDEX(Assumptions!$C$14:$E$14,$B$3)*$N$3</f>
        <v>48227.5162893429</v>
      </c>
      <c r="J70" s="10" t="n">
        <f aca="false">(J34+J35)*J54*INDEX(Assumptions!$C$14:$E$14,$B$3)*$N$3</f>
        <v>49544.5638424499</v>
      </c>
      <c r="K70" s="10" t="n">
        <f aca="false">(K34+K35)*K54*INDEX(Assumptions!$C$14:$E$14,$B$3)*$N$3</f>
        <v>59174.3327169964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363202.627134504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2117.35714285714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5400</v>
      </c>
      <c r="H71" s="10" t="n">
        <f aca="false">H36*INDEX(Assumptions!$C$92:$E$92,$B$3)*$N$3</f>
        <v>7000</v>
      </c>
      <c r="I71" s="10" t="n">
        <f aca="false">I36*INDEX(Assumptions!$C$92:$E$92,$B$3)*$N$3</f>
        <v>5358.6129210381</v>
      </c>
      <c r="J71" s="10" t="n">
        <f aca="false">J36*INDEX(Assumptions!$C$92:$E$92,$B$3)*$N$3</f>
        <v>5504.95153804999</v>
      </c>
      <c r="K71" s="10" t="n">
        <f aca="false">K36*INDEX(Assumptions!$C$92:$E$92,$B$3)*$N$3</f>
        <v>6574.92585744404</v>
      </c>
      <c r="L71" s="10" t="n">
        <f aca="false">L36*INDEX(Assumptions!$C$92:$E$92,$B$3)*$N$3</f>
        <v>8800</v>
      </c>
      <c r="M71" s="10" t="n">
        <f aca="false">M36*INDEX(Assumptions!$C$92:$E$92,$B$3)*$N$3</f>
        <v>7075.77603151665</v>
      </c>
      <c r="N71" s="10" t="n">
        <f aca="false">N36*INDEX(Assumptions!$C$92:$E$92,$B$3)*$N$3</f>
        <v>8000</v>
      </c>
      <c r="O71" s="40" t="n">
        <f aca="false">SUM(C71:N71)</f>
        <v>64231.6234909059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5420.70741758242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17183.0206378987</v>
      </c>
      <c r="H72" s="10" t="n">
        <f aca="false">(H46*INDEX(Assumptions!$C$94:$E$94,$B$3)+H47*INDEX(Assumptions!$C$95:$E$95,$B$3)+H48*INDEX(Assumptions!$C$96:$E$96,$B$3))*$N$3</f>
        <v>20452.0637898687</v>
      </c>
      <c r="I72" s="10" t="n">
        <f aca="false">(I46*INDEX(Assumptions!$C$94:$E$94,$B$3)+I47*INDEX(Assumptions!$C$95:$E$95,$B$3)+I48*INDEX(Assumptions!$C$96:$E$96,$B$3))*$N$3</f>
        <v>23987.456445993</v>
      </c>
      <c r="J72" s="10" t="n">
        <f aca="false">(J46*INDEX(Assumptions!$C$94:$E$94,$B$3)+J47*INDEX(Assumptions!$C$95:$E$95,$B$3)+J48*INDEX(Assumptions!$C$96:$E$96,$B$3))*$N$3</f>
        <v>26894.6663093005</v>
      </c>
      <c r="K72" s="10" t="n">
        <f aca="false">(K46*INDEX(Assumptions!$C$94:$E$94,$B$3)+K47*INDEX(Assumptions!$C$95:$E$95,$B$3)+K48*INDEX(Assumptions!$C$96:$E$96,$B$3))*$N$3</f>
        <v>26680.2465826856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239468.067374698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5842.84451592033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8667.43630719881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15364.8942293809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19472.6968980863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16513.5573102263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17295.9217443689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19622.935917323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30785.4585222913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27025.4495595164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26505.5636122724</v>
      </c>
      <c r="O75" s="40" t="n">
        <f aca="false">SUM(C75:N75)</f>
        <v>203319.608847054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1588.01785714286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4050</v>
      </c>
      <c r="H76" s="10" t="n">
        <f aca="false">H38*INDEX(Assumptions!$C$240:$E$240,$B$3)*INDEX(Assumptions!$C$69:$E$69,$B$3)</f>
        <v>5250</v>
      </c>
      <c r="I76" s="10" t="n">
        <f aca="false">I38*INDEX(Assumptions!$C$240:$E$240,$B$3)*INDEX(Assumptions!$C$69:$E$69,$B$3)</f>
        <v>4018.95969077857</v>
      </c>
      <c r="J76" s="10" t="n">
        <f aca="false">J38*INDEX(Assumptions!$C$240:$E$240,$B$3)*INDEX(Assumptions!$C$69:$E$69,$B$3)</f>
        <v>4128.7136535375</v>
      </c>
      <c r="K76" s="10" t="n">
        <f aca="false">K38*INDEX(Assumptions!$C$240:$E$240,$B$3)*INDEX(Assumptions!$C$69:$E$69,$B$3)</f>
        <v>4931.19439308303</v>
      </c>
      <c r="L76" s="10" t="n">
        <f aca="false">L38*INDEX(Assumptions!$C$240:$E$240,$B$3)*INDEX(Assumptions!$C$69:$E$69,$B$3)</f>
        <v>7410</v>
      </c>
      <c r="M76" s="10" t="n">
        <f aca="false">M38*INDEX(Assumptions!$C$240:$E$240,$B$3)*INDEX(Assumptions!$C$69:$E$69,$B$3)</f>
        <v>6027.04494113115</v>
      </c>
      <c r="N76" s="10" t="n">
        <f aca="false">N38*INDEX(Assumptions!$C$240:$E$240,$B$3)*INDEX(Assumptions!$C$69:$E$69,$B$3)</f>
        <v>6000</v>
      </c>
      <c r="O76" s="40" t="n">
        <f aca="false">SUM(C76:N76)</f>
        <v>49703.9305356731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44993.2483620742</v>
      </c>
      <c r="E77" s="40" t="n">
        <f aca="false">SUM(E69:E76)</f>
        <v>65169.8832517177</v>
      </c>
      <c r="F77" s="40" t="n">
        <f aca="false">SUM(F69:F76)</f>
        <v>92395.7081816886</v>
      </c>
      <c r="G77" s="40" t="n">
        <f aca="false">SUM(G69:G76)</f>
        <v>119925.91486728</v>
      </c>
      <c r="H77" s="40" t="n">
        <f aca="false">SUM(H69:H76)</f>
        <v>153438.760687955</v>
      </c>
      <c r="I77" s="40" t="n">
        <f aca="false">SUM(I69:I76)</f>
        <v>128150.263894265</v>
      </c>
      <c r="J77" s="40" t="n">
        <f aca="false">SUM(J69:J76)</f>
        <v>133685.801236671</v>
      </c>
      <c r="K77" s="40" t="n">
        <f aca="false">SUM(K69:K76)</f>
        <v>152989.71250935</v>
      </c>
      <c r="L77" s="40" t="n">
        <f aca="false">SUM(L69:L76)</f>
        <v>167748.629129826</v>
      </c>
      <c r="M77" s="40" t="n">
        <f aca="false">SUM(M69:M76)</f>
        <v>153006.034408737</v>
      </c>
      <c r="N77" s="40" t="n">
        <f aca="false">SUM(N69:N76)</f>
        <v>148124.977800487</v>
      </c>
      <c r="O77" s="11" t="n">
        <f aca="false">SUM(C77:N77)</f>
        <v>1391369.72741073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128354.453583703</v>
      </c>
      <c r="E78" s="40" t="n">
        <f aca="false">E66-E77</f>
        <v>203928.390093571</v>
      </c>
      <c r="F78" s="40" t="n">
        <f aca="false">F66-F77</f>
        <v>282746.889350668</v>
      </c>
      <c r="G78" s="40" t="n">
        <f aca="false">G66-G77</f>
        <v>341995.450784452</v>
      </c>
      <c r="H78" s="40" t="n">
        <f aca="false">H66-H77</f>
        <v>426022.23075638</v>
      </c>
      <c r="I78" s="40" t="n">
        <f aca="false">I66-I77</f>
        <v>383947.501089962</v>
      </c>
      <c r="J78" s="40" t="n">
        <f aca="false">J66-J77</f>
        <v>408820.43774864</v>
      </c>
      <c r="K78" s="40" t="n">
        <f aca="false">K66-K77</f>
        <v>450243.59959981</v>
      </c>
      <c r="L78" s="40" t="n">
        <f aca="false">L66-L77</f>
        <v>724136.446896983</v>
      </c>
      <c r="M78" s="40" t="n">
        <f aca="false">M66-M77</f>
        <v>648387.840378628</v>
      </c>
      <c r="N78" s="40" t="n">
        <f aca="false">N66-N77</f>
        <v>657315.780625699</v>
      </c>
      <c r="O78" s="11" t="n">
        <f aca="false">SUM(C78:N78)</f>
        <v>4743300.17395941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0.740445083165002</v>
      </c>
      <c r="E79" s="8" t="n">
        <f aca="false">IFERROR(E78/E66,0)</f>
        <v>0.757821250796001</v>
      </c>
      <c r="F79" s="8" t="n">
        <f aca="false">IFERROR(F78/F66,0)</f>
        <v>0.753705100968387</v>
      </c>
      <c r="G79" s="8" t="n">
        <f aca="false">IFERROR(G78/G66,0)</f>
        <v>0.740375908574668</v>
      </c>
      <c r="H79" s="8" t="n">
        <f aca="false">IFERROR(H78/H66,0)</f>
        <v>0.735204331346789</v>
      </c>
      <c r="I79" s="8" t="n">
        <f aca="false">IFERROR(I78/I66,0)</f>
        <v>0.749754299556039</v>
      </c>
      <c r="J79" s="8" t="n">
        <f aca="false">IFERROR(J78/J66,0)</f>
        <v>0.75357739389926</v>
      </c>
      <c r="K79" s="8" t="n">
        <f aca="false">IFERROR(K78/K66,0)</f>
        <v>0.746383846120114</v>
      </c>
      <c r="L79" s="8" t="n">
        <f aca="false">IFERROR(L78/L66,0)</f>
        <v>0.811916766365106</v>
      </c>
      <c r="M79" s="8" t="n">
        <f aca="false">IFERROR(M78/M66,0)</f>
        <v>0.80907511372066</v>
      </c>
      <c r="N79" s="8" t="n">
        <f aca="false">IFERROR(N78/N66,0)</f>
        <v>0.816094509433667</v>
      </c>
      <c r="O79" s="13" t="n">
        <f aca="false">IFERROR(O78/O66,0)</f>
        <v>0.773195665002289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-173478.546416297</v>
      </c>
      <c r="E103" s="40" t="n">
        <f aca="false">E78-E102</f>
        <v>-287904.609906429</v>
      </c>
      <c r="F103" s="40" t="n">
        <f aca="false">F78-F102</f>
        <v>-69086.1106493325</v>
      </c>
      <c r="G103" s="40" t="n">
        <f aca="false">G78-G102</f>
        <v>-27837.549215548</v>
      </c>
      <c r="H103" s="40" t="n">
        <f aca="false">H78-H102</f>
        <v>56189.2307563799</v>
      </c>
      <c r="I103" s="40" t="n">
        <f aca="false">I78-I102</f>
        <v>14114.5010899621</v>
      </c>
      <c r="J103" s="40" t="n">
        <f aca="false">J78-J102</f>
        <v>38987.43774864</v>
      </c>
      <c r="K103" s="40" t="n">
        <f aca="false">K78-K102</f>
        <v>75410.5995998101</v>
      </c>
      <c r="L103" s="40" t="n">
        <f aca="false">L78-L102</f>
        <v>176203.446896983</v>
      </c>
      <c r="M103" s="40" t="n">
        <f aca="false">M78-M102</f>
        <v>80454.8403786277</v>
      </c>
      <c r="N103" s="40" t="n">
        <f aca="false">N78-N102</f>
        <v>89382.7806256987</v>
      </c>
      <c r="O103" s="11" t="n">
        <f aca="false">SUM(C103:N103)</f>
        <v>-226995.826040595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-1.00075480937475</v>
      </c>
      <c r="E104" s="8" t="n">
        <f aca="false">IFERROR(E103/E66,0)</f>
        <v>-1.06988650030099</v>
      </c>
      <c r="F104" s="8" t="n">
        <f aca="false">IFERROR(F103/F66,0)</f>
        <v>-0.18415959985289</v>
      </c>
      <c r="G104" s="8" t="n">
        <f aca="false">IFERROR(G103/G66,0)</f>
        <v>-0.0602646928363481</v>
      </c>
      <c r="H104" s="8" t="n">
        <f aca="false">IFERROR(H103/H66,0)</f>
        <v>0.0969680989505877</v>
      </c>
      <c r="I104" s="8" t="n">
        <f aca="false">IFERROR(I103/I66,0)</f>
        <v>0.0275621220303449</v>
      </c>
      <c r="J104" s="8" t="n">
        <f aca="false">IFERROR(J103/J66,0)</f>
        <v>0.0718654182144725</v>
      </c>
      <c r="K104" s="8" t="n">
        <f aca="false">IFERROR(K103/K66,0)</f>
        <v>0.125010668486033</v>
      </c>
      <c r="L104" s="8" t="n">
        <f aca="false">IFERROR(L103/L66,0)</f>
        <v>0.197562950242354</v>
      </c>
      <c r="M104" s="8" t="n">
        <f aca="false">IFERROR(M103/M66,0)</f>
        <v>0.100393630285701</v>
      </c>
      <c r="N104" s="8" t="n">
        <f aca="false">IFERROR(N103/N66,0)</f>
        <v>0.110973749081622</v>
      </c>
      <c r="O104" s="8" t="n">
        <f aca="false">IFERROR(O103/O66,0)</f>
        <v>-0.0370021255731947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-248478.546416297</v>
      </c>
      <c r="E105" s="10" t="n">
        <f aca="false">E103-INDEX(Assumptions!$C$204:$E$204,$B$3)</f>
        <v>-362904.609906429</v>
      </c>
      <c r="F105" s="10" t="n">
        <f aca="false">F103-INDEX(Assumptions!$C$204:$E$204,$B$3)</f>
        <v>-144086.110649333</v>
      </c>
      <c r="G105" s="10" t="n">
        <f aca="false">G103-INDEX(Assumptions!$C$204:$E$204,$B$3)</f>
        <v>-102837.549215548</v>
      </c>
      <c r="H105" s="10" t="n">
        <f aca="false">H103-INDEX(Assumptions!$C$204:$E$204,$B$3)</f>
        <v>-18810.7692436201</v>
      </c>
      <c r="I105" s="10" t="n">
        <f aca="false">I103-INDEX(Assumptions!$C$204:$E$204,$B$3)</f>
        <v>-60885.4989100379</v>
      </c>
      <c r="J105" s="10" t="n">
        <f aca="false">J103-INDEX(Assumptions!$C$204:$E$204,$B$3)</f>
        <v>-36012.56225136</v>
      </c>
      <c r="K105" s="10" t="n">
        <f aca="false">K103-INDEX(Assumptions!$C$204:$E$204,$B$3)</f>
        <v>410.599599810084</v>
      </c>
      <c r="L105" s="10" t="n">
        <f aca="false">L103-INDEX(Assumptions!$C$204:$E$204,$B$3)</f>
        <v>101203.446896983</v>
      </c>
      <c r="M105" s="10" t="n">
        <f aca="false">M103-INDEX(Assumptions!$C$204:$E$204,$B$3)</f>
        <v>5454.84037862765</v>
      </c>
      <c r="N105" s="10" t="n">
        <f aca="false">N103-INDEX(Assumptions!$C$204:$E$204,$B$3)</f>
        <v>14382.7806256987</v>
      </c>
      <c r="O105" s="40" t="n">
        <f aca="false">SUM(C105:N105)</f>
        <v>-1126995.8260406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-16282.3501815981</v>
      </c>
      <c r="E113" s="10" t="n">
        <f aca="false">((E67+IF(INDEX(Assumptions!$C$87:$E$87,$B$3)&gt;=2,D67,0)+IF(INDEX(Assumptions!$C$87:$E$87,$B$3)&gt;=3,C67,0))/INDEX(Assumptions!$C$87:$E$87,$B$3))-E67</f>
        <v>-19448.0870157385</v>
      </c>
      <c r="F113" s="10" t="n">
        <f aca="false">((F67+IF(INDEX(Assumptions!$C$87:$E$87,$B$3)&gt;=2,E67,0)+IF(INDEX(Assumptions!$C$87:$E$87,$B$3)&gt;=3,D67,0))/INDEX(Assumptions!$C$87:$E$87,$B$3))-F67</f>
        <v>-33897.5289043584</v>
      </c>
      <c r="G113" s="10" t="n">
        <f aca="false">((G67+IF(INDEX(Assumptions!$C$87:$E$87,$B$3)&gt;=2,F67,0)+IF(INDEX(Assumptions!$C$87:$E$87,$B$3)&gt;=3,E67,0))/INDEX(Assumptions!$C$87:$E$87,$B$3))-G67</f>
        <v>-40062.7118644068</v>
      </c>
      <c r="H113" s="10" t="n">
        <f aca="false">((H67+IF(INDEX(Assumptions!$C$87:$E$87,$B$3)&gt;=2,G67,0)+IF(INDEX(Assumptions!$C$87:$E$87,$B$3)&gt;=3,F67,0))/INDEX(Assumptions!$C$87:$E$87,$B$3))-H67</f>
        <v>-45822.4576271187</v>
      </c>
      <c r="I113" s="10" t="n">
        <f aca="false">((I67+IF(INDEX(Assumptions!$C$87:$E$87,$B$3)&gt;=2,H67,0)+IF(INDEX(Assumptions!$C$87:$E$87,$B$3)&gt;=3,G67,0))/INDEX(Assumptions!$C$87:$E$87,$B$3))-I67</f>
        <v>47031.8815337533</v>
      </c>
      <c r="J113" s="10" t="n">
        <f aca="false">((J67+IF(INDEX(Assumptions!$C$87:$E$87,$B$3)&gt;=2,I67,0)+IF(INDEX(Assumptions!$C$87:$E$87,$B$3)&gt;=3,H67,0))/INDEX(Assumptions!$C$87:$E$87,$B$3))-J67</f>
        <v>-2804.23528768285</v>
      </c>
      <c r="K113" s="10" t="n">
        <f aca="false">((K67+IF(INDEX(Assumptions!$C$87:$E$87,$B$3)&gt;=2,J67,0)+IF(INDEX(Assumptions!$C$87:$E$87,$B$3)&gt;=3,I67,0))/INDEX(Assumptions!$C$87:$E$87,$B$3))-K67</f>
        <v>-30687.8942249312</v>
      </c>
      <c r="L113" s="10" t="n">
        <f aca="false">((L67+IF(INDEX(Assumptions!$C$87:$E$87,$B$3)&gt;=2,K67,0)+IF(INDEX(Assumptions!$C$87:$E$87,$B$3)&gt;=3,J67,0))/INDEX(Assumptions!$C$87:$E$87,$B$3))-L67</f>
        <v>-124144.551732003</v>
      </c>
      <c r="M113" s="10" t="n">
        <f aca="false">((M67+IF(INDEX(Assumptions!$C$87:$E$87,$B$3)&gt;=2,L67,0)+IF(INDEX(Assumptions!$C$87:$E$87,$B$3)&gt;=3,K67,0))/INDEX(Assumptions!$C$87:$E$87,$B$3))-M67</f>
        <v>53907.6587535298</v>
      </c>
      <c r="N113" s="10" t="n">
        <f aca="false">((N67+IF(INDEX(Assumptions!$C$87:$E$87,$B$3)&gt;=2,M67,0)+IF(INDEX(Assumptions!$C$87:$E$87,$B$3)&gt;=3,L67,0))/INDEX(Assumptions!$C$87:$E$87,$B$3))-N67</f>
        <v>7087.71690371528</v>
      </c>
      <c r="O113" s="40" t="n">
        <f aca="false">SUM(C113:N113)</f>
        <v>-249156.457951923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-189760.896597896</v>
      </c>
      <c r="E114" s="40" t="n">
        <f aca="false">E103+E113-E112</f>
        <v>-407352.696922168</v>
      </c>
      <c r="F114" s="40" t="n">
        <f aca="false">F103+F113-F112</f>
        <v>-102983.639553691</v>
      </c>
      <c r="G114" s="40" t="n">
        <f aca="false">G103+G113-G112</f>
        <v>-67900.2610799548</v>
      </c>
      <c r="H114" s="40" t="n">
        <f aca="false">H103+H113-H112</f>
        <v>10366.7731292612</v>
      </c>
      <c r="I114" s="40" t="n">
        <f aca="false">I103+I113-I112</f>
        <v>61146.3826237154</v>
      </c>
      <c r="J114" s="40" t="n">
        <f aca="false">J103+J113-J112</f>
        <v>36183.2024609571</v>
      </c>
      <c r="K114" s="40" t="n">
        <f aca="false">K103+K113-K112</f>
        <v>-1427277.29462512</v>
      </c>
      <c r="L114" s="40" t="n">
        <f aca="false">L103+L113-L112</f>
        <v>52058.89516498</v>
      </c>
      <c r="M114" s="40" t="n">
        <f aca="false">M103+M113-M112</f>
        <v>134362.499132157</v>
      </c>
      <c r="N114" s="40" t="n">
        <f aca="false">N103+N113-N112</f>
        <v>96470.497529414</v>
      </c>
      <c r="O114" s="11" t="n">
        <f aca="false">SUM(C114:N114)</f>
        <v>-2198152.28399252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-583226.641852069</v>
      </c>
      <c r="E115" s="40" t="n">
        <f aca="false">D115+E114</f>
        <v>-990579.338774237</v>
      </c>
      <c r="F115" s="40" t="n">
        <f aca="false">E115+F114</f>
        <v>-1093562.97832793</v>
      </c>
      <c r="G115" s="40" t="n">
        <f aca="false">F115+G114</f>
        <v>-1161463.23940788</v>
      </c>
      <c r="H115" s="40" t="n">
        <f aca="false">G115+H114</f>
        <v>-1151096.46627862</v>
      </c>
      <c r="I115" s="40" t="n">
        <f aca="false">H115+I114</f>
        <v>-1089950.08365491</v>
      </c>
      <c r="J115" s="40" t="n">
        <f aca="false">I115+J114</f>
        <v>-1053766.88119395</v>
      </c>
      <c r="K115" s="40" t="n">
        <f aca="false">J115+K114</f>
        <v>-2481044.17581907</v>
      </c>
      <c r="L115" s="40" t="n">
        <f aca="false">K115+L114</f>
        <v>-2428985.28065409</v>
      </c>
      <c r="M115" s="40" t="n">
        <f aca="false">L115+M114</f>
        <v>-2294622.78152193</v>
      </c>
      <c r="N115" s="40" t="n">
        <f aca="false">M115+N114</f>
        <v>-2198152.28399252</v>
      </c>
      <c r="O115" s="11" t="n">
        <f aca="false">N115</f>
        <v>-2198152.28399252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583226.641852069</v>
      </c>
      <c r="E116" s="40" t="n">
        <f aca="false">-MIN(0,MIN($C$115:E115))</f>
        <v>990579.338774237</v>
      </c>
      <c r="F116" s="40" t="n">
        <f aca="false">-MIN(0,MIN($C$115:F115))</f>
        <v>1093562.97832793</v>
      </c>
      <c r="G116" s="40" t="n">
        <f aca="false">-MIN(0,MIN($C$115:G115))</f>
        <v>1161463.23940788</v>
      </c>
      <c r="H116" s="40" t="n">
        <f aca="false">-MIN(0,MIN($C$115:H115))</f>
        <v>1161463.23940788</v>
      </c>
      <c r="I116" s="40" t="n">
        <f aca="false">-MIN(0,MIN($C$115:I115))</f>
        <v>1161463.23940788</v>
      </c>
      <c r="J116" s="40" t="n">
        <f aca="false">-MIN(0,MIN($C$115:J115))</f>
        <v>1161463.23940788</v>
      </c>
      <c r="K116" s="40" t="n">
        <f aca="false">-MIN(0,MIN($C$115:K115))</f>
        <v>2481044.17581907</v>
      </c>
      <c r="L116" s="40" t="n">
        <f aca="false">-MIN(0,MIN($C$115:L115))</f>
        <v>2481044.17581907</v>
      </c>
      <c r="M116" s="40" t="n">
        <f aca="false">-MIN(0,MIN($C$115:M115))</f>
        <v>2481044.17581907</v>
      </c>
      <c r="N116" s="40" t="n">
        <f aca="false">-MIN(0,MIN($C$115:N115))</f>
        <v>2481044.17581907</v>
      </c>
      <c r="O116" s="11" t="n">
        <f aca="false">MAX(C116:N116)</f>
        <v>2481044.17581907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3.26977821428571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5.59584321428571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6.8922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7.2297132192159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6.49386268099849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7.65615583279956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7.51691177832715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3.26977821428571</v>
      </c>
      <c r="D129" s="8" t="n">
        <f aca="false">C129/INDEX(Assumptions!$C$179:$E$179,$B$3)</f>
        <v>0.272481517857143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5.59584321428571</v>
      </c>
      <c r="D130" s="8" t="n">
        <f aca="false">C130/INDEX(Assumptions!$C$179:$E$179,$B$3)</f>
        <v>0.466320267857143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6.8922</v>
      </c>
      <c r="D131" s="8" t="n">
        <f aca="false">C131/INDEX(Assumptions!$C$179:$E$179,$B$3)</f>
        <v>0.57435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7.2297132192159</v>
      </c>
      <c r="D132" s="8" t="n">
        <f aca="false">C132/INDEX(Assumptions!$C$179:$E$179,$B$3)</f>
        <v>0.602476101601325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6.49386268099849</v>
      </c>
      <c r="D133" s="8" t="n">
        <f aca="false">C133/INDEX(Assumptions!$C$179:$E$179,$B$3)</f>
        <v>0.541155223416541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7.65615583279956</v>
      </c>
      <c r="D134" s="8" t="n">
        <f aca="false">C134/INDEX(Assumptions!$C$179:$E$179,$B$3)</f>
        <v>0.63801298606663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7.51691177832715</v>
      </c>
      <c r="D135" s="8" t="n">
        <f aca="false">C135/INDEX(Assumptions!$C$179:$E$179,$B$3)</f>
        <v>0.626409314860596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3.26977821428571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5.59584321428571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9.6798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8.70737010278196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9.88476163023199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10.0141268102643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3.26977821428571</v>
      </c>
      <c r="D143" s="8" t="n">
        <f aca="false">C143/INDEX(Assumptions!$C$179:$E$179,$B$3)</f>
        <v>0.272481517857143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5.59584321428571</v>
      </c>
      <c r="D144" s="8" t="n">
        <f aca="false">C144/INDEX(Assumptions!$C$179:$E$179,$B$3)</f>
        <v>0.466320267857143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9.6798</v>
      </c>
      <c r="D145" s="8" t="n">
        <f aca="false">C145/INDEX(Assumptions!$C$179:$E$179,$B$3)</f>
        <v>0.80665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8.70737010278196</v>
      </c>
      <c r="D146" s="8" t="n">
        <f aca="false">C146/INDEX(Assumptions!$C$179:$E$179,$B$3)</f>
        <v>0.72561417523183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9.88476163023199</v>
      </c>
      <c r="D147" s="8" t="n">
        <f aca="false">C147/INDEX(Assumptions!$C$179:$E$179,$B$3)</f>
        <v>0.823730135852666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10.0141268102643</v>
      </c>
      <c r="D148" s="8" t="n">
        <f aca="false">C148/INDEX(Assumptions!$C$179:$E$179,$B$3)</f>
        <v>0.834510567522025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6134669.90137013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-226995.826040595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-0.0370021255731947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-1126995.8260406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2481044.17581907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518955.82418093</v>
      </c>
    </row>
    <row r="160" customFormat="false" ht="15" hidden="false" customHeight="false" outlineLevel="0" collapsed="false">
      <c r="A160" s="3" t="s">
        <v>51</v>
      </c>
      <c r="B160" s="7" t="n">
        <f aca="false">O38</f>
        <v>82.8398842261218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9.0321979662584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0.854115518288873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41743.7370946737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7.85877387012617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94.305286441514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10673.4656766957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0.188920342477515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0.529105500996292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20.589472342675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346041.067901309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-2198152.28399252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1161463.23940788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2666199.93053567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115347.02263377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0.272481517857143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0.466320267857143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0.531600773094197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7.51691177832715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12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0.785331437028165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30.1682705274492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8166.66666666667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7.0270628683988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2029840.06790131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1587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1.25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9000</v>
      </c>
      <c r="D69" s="10" t="n">
        <f aca="false">((D34+D37)*INDEX(Assumptions!$C$91:$E$91,$B$3)+D35*(INDEX(Assumptions!$C$93:$E$93,$B$3)+IF($Q$3=1,INDEX(Assumptions!$C$282:$E$282,$B$3),0)))*$N$3</f>
        <v>12837.9375</v>
      </c>
      <c r="E69" s="10" t="n">
        <f aca="false">((E34+E37)*INDEX(Assumptions!$C$91:$E$91,$B$3)+E35*(INDEX(Assumptions!$C$93:$E$93,$B$3)+IF($Q$3=1,INDEX(Assumptions!$C$282:$E$282,$B$3),0)))*$N$3</f>
        <v>17957.5875</v>
      </c>
      <c r="F69" s="10" t="n">
        <f aca="false">((F34+F37)*INDEX(Assumptions!$C$91:$E$91,$B$3)+F35*(INDEX(Assumptions!$C$93:$E$93,$B$3)+IF($Q$3=1,INDEX(Assumptions!$C$282:$E$282,$B$3),0)))*$N$3</f>
        <v>25650</v>
      </c>
      <c r="G69" s="10" t="n">
        <f aca="false">((G34+G37)*INDEX(Assumptions!$C$91:$E$91,$B$3)+G35*(INDEX(Assumptions!$C$93:$E$93,$B$3)+IF($Q$3=1,INDEX(Assumptions!$C$282:$E$282,$B$3),0)))*$N$3</f>
        <v>33255</v>
      </c>
      <c r="H69" s="10" t="n">
        <f aca="false">((H34+H37)*INDEX(Assumptions!$C$91:$E$91,$B$3)+H35*(INDEX(Assumptions!$C$93:$E$93,$B$3)+IF($Q$3=1,INDEX(Assumptions!$C$282:$E$282,$B$3),0)))*$N$3</f>
        <v>38826</v>
      </c>
      <c r="I69" s="10" t="n">
        <f aca="false">((I34+I37)*INDEX(Assumptions!$C$91:$E$91,$B$3)+I35*(INDEX(Assumptions!$C$93:$E$93,$B$3)+IF($Q$3=1,INDEX(Assumptions!$C$282:$E$282,$B$3),0)))*$N$3</f>
        <v>39814.0113361829</v>
      </c>
      <c r="J69" s="10" t="n">
        <f aca="false">((J34+J37)*INDEX(Assumptions!$C$91:$E$91,$B$3)+J35*(INDEX(Assumptions!$C$93:$E$93,$B$3)+IF($Q$3=1,INDEX(Assumptions!$C$282:$E$282,$B$3),0)))*$N$3</f>
        <v>35678.9025911353</v>
      </c>
      <c r="K69" s="10" t="n">
        <f aca="false">((K34+K37)*INDEX(Assumptions!$C$91:$E$91,$B$3)+K35*(INDEX(Assumptions!$C$93:$E$93,$B$3)+IF($Q$3=1,INDEX(Assumptions!$C$282:$E$282,$B$3),0)))*$N$3</f>
        <v>37610.9306923713</v>
      </c>
      <c r="L69" s="10" t="n">
        <f aca="false">((L34+L37)*INDEX(Assumptions!$C$91:$E$91,$B$3)+L35*(INDEX(Assumptions!$C$93:$E$93,$B$3)+IF($Q$3=1,INDEX(Assumptions!$C$282:$E$282,$B$3),0)))*$N$3</f>
        <v>74863.8466140932</v>
      </c>
      <c r="M69" s="10" t="n">
        <f aca="false">((M34+M37)*INDEX(Assumptions!$C$91:$E$91,$B$3)+M35*(INDEX(Assumptions!$C$93:$E$93,$B$3)+IF($Q$3=1,INDEX(Assumptions!$C$282:$E$282,$B$3),0)))*$N$3</f>
        <v>74970.4973549904</v>
      </c>
      <c r="N69" s="10" t="n">
        <f aca="false">((N34+N37)*INDEX(Assumptions!$C$91:$E$91,$B$3)+N35*(INDEX(Assumptions!$C$93:$E$93,$B$3)+IF($Q$3=1,INDEX(Assumptions!$C$282:$E$282,$B$3),0)))*$N$3</f>
        <v>60443.4231020522</v>
      </c>
      <c r="O69" s="40" t="n">
        <f aca="false">SUM(C69:N69)</f>
        <v>460908.136690825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18000</v>
      </c>
      <c r="D70" s="10" t="n">
        <f aca="false">(D34+D35)*D54*INDEX(Assumptions!$C$14:$E$14,$B$3)*$N$3</f>
        <v>22075.875</v>
      </c>
      <c r="E70" s="10" t="n">
        <f aca="false">(E34+E35)*E54*INDEX(Assumptions!$C$14:$E$14,$B$3)*$N$3</f>
        <v>31500</v>
      </c>
      <c r="F70" s="10" t="n">
        <f aca="false">(F34+F35)*F54*INDEX(Assumptions!$C$14:$E$14,$B$3)*$N$3</f>
        <v>45000</v>
      </c>
      <c r="G70" s="10" t="n">
        <f aca="false">(G34+G35)*G54*INDEX(Assumptions!$C$14:$E$14,$B$3)*$N$3</f>
        <v>57510</v>
      </c>
      <c r="H70" s="10" t="n">
        <f aca="false">(H34+H35)*H54*INDEX(Assumptions!$C$14:$E$14,$B$3)*$N$3</f>
        <v>66150</v>
      </c>
      <c r="I70" s="10" t="n">
        <f aca="false">(I34+I35)*I54*INDEX(Assumptions!$C$14:$E$14,$B$3)*$N$3</f>
        <v>69314.9659914514</v>
      </c>
      <c r="J70" s="10" t="n">
        <f aca="false">(J34+J35)*J54*INDEX(Assumptions!$C$14:$E$14,$B$3)*$N$3</f>
        <v>62043.2582180456</v>
      </c>
      <c r="K70" s="10" t="n">
        <f aca="false">(K34+K35)*K54*INDEX(Assumptions!$C$14:$E$14,$B$3)*$N$3</f>
        <v>65688.4661409317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437282.565350429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2000</v>
      </c>
      <c r="D71" s="10" t="n">
        <f aca="false">D36*INDEX(Assumptions!$C$92:$E$92,$B$3)*$N$3</f>
        <v>2452.875</v>
      </c>
      <c r="E71" s="10" t="n">
        <f aca="false">E36*INDEX(Assumptions!$C$92:$E$92,$B$3)*$N$3</f>
        <v>3500</v>
      </c>
      <c r="F71" s="10" t="n">
        <f aca="false">F36*INDEX(Assumptions!$C$92:$E$92,$B$3)*$N$3</f>
        <v>5000</v>
      </c>
      <c r="G71" s="10" t="n">
        <f aca="false">G36*INDEX(Assumptions!$C$92:$E$92,$B$3)*$N$3</f>
        <v>6390</v>
      </c>
      <c r="H71" s="10" t="n">
        <f aca="false">H36*INDEX(Assumptions!$C$92:$E$92,$B$3)*$N$3</f>
        <v>7350</v>
      </c>
      <c r="I71" s="10" t="n">
        <f aca="false">I36*INDEX(Assumptions!$C$92:$E$92,$B$3)*$N$3</f>
        <v>7701.66288793905</v>
      </c>
      <c r="J71" s="10" t="n">
        <f aca="false">J36*INDEX(Assumptions!$C$92:$E$92,$B$3)*$N$3</f>
        <v>6893.69535756062</v>
      </c>
      <c r="K71" s="10" t="n">
        <f aca="false">K36*INDEX(Assumptions!$C$92:$E$92,$B$3)*$N$3</f>
        <v>7298.71846010352</v>
      </c>
      <c r="L71" s="10" t="n">
        <f aca="false">L36*INDEX(Assumptions!$C$92:$E$92,$B$3)*$N$3</f>
        <v>9680</v>
      </c>
      <c r="M71" s="10" t="n">
        <f aca="false">M36*INDEX(Assumptions!$C$92:$E$92,$B$3)*$N$3</f>
        <v>9867.6923356135</v>
      </c>
      <c r="N71" s="10" t="n">
        <f aca="false">N36*INDEX(Assumptions!$C$92:$E$92,$B$3)*$N$3</f>
        <v>10000</v>
      </c>
      <c r="O71" s="40" t="n">
        <f aca="false">SUM(C71:N71)</f>
        <v>78134.6440412167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4086.30393996248</v>
      </c>
      <c r="D72" s="10" t="n">
        <f aca="false">(D46*INDEX(Assumptions!$C$94:$E$94,$B$3)+D47*INDEX(Assumptions!$C$95:$E$95,$B$3)+D48*INDEX(Assumptions!$C$96:$E$96,$B$3))*$N$3</f>
        <v>6719.06513836773</v>
      </c>
      <c r="E72" s="10" t="n">
        <f aca="false">(E46*INDEX(Assumptions!$C$94:$E$94,$B$3)+E47*INDEX(Assumptions!$C$95:$E$95,$B$3)+E48*INDEX(Assumptions!$C$96:$E$96,$B$3))*$N$3</f>
        <v>14276.0318949343</v>
      </c>
      <c r="F72" s="10" t="n">
        <f aca="false">(F46*INDEX(Assumptions!$C$94:$E$94,$B$3)+F47*INDEX(Assumptions!$C$95:$E$95,$B$3)+F48*INDEX(Assumptions!$C$96:$E$96,$B$3))*$N$3</f>
        <v>19715.7598499062</v>
      </c>
      <c r="G72" s="10" t="n">
        <f aca="false">(G46*INDEX(Assumptions!$C$94:$E$94,$B$3)+G47*INDEX(Assumptions!$C$95:$E$95,$B$3)+G48*INDEX(Assumptions!$C$96:$E$96,$B$3))*$N$3</f>
        <v>21373.2410881801</v>
      </c>
      <c r="H72" s="10" t="n">
        <f aca="false">(H46*INDEX(Assumptions!$C$94:$E$94,$B$3)+H47*INDEX(Assumptions!$C$95:$E$95,$B$3)+H48*INDEX(Assumptions!$C$96:$E$96,$B$3))*$N$3</f>
        <v>25154.6669793621</v>
      </c>
      <c r="I72" s="10" t="n">
        <f aca="false">(I46*INDEX(Assumptions!$C$94:$E$94,$B$3)+I47*INDEX(Assumptions!$C$95:$E$95,$B$3)+I48*INDEX(Assumptions!$C$96:$E$96,$B$3))*$N$3</f>
        <v>29396.3414634146</v>
      </c>
      <c r="J72" s="10" t="n">
        <f aca="false">(J46*INDEX(Assumptions!$C$94:$E$94,$B$3)+J47*INDEX(Assumptions!$C$95:$E$95,$B$3)+J48*INDEX(Assumptions!$C$96:$E$96,$B$3))*$N$3</f>
        <v>33007.7392120075</v>
      </c>
      <c r="K72" s="10" t="n">
        <f aca="false">(K46*INDEX(Assumptions!$C$94:$E$94,$B$3)+K47*INDEX(Assumptions!$C$95:$E$95,$B$3)+K48*INDEX(Assumptions!$C$96:$E$96,$B$3))*$N$3</f>
        <v>32784.9437148218</v>
      </c>
      <c r="L72" s="10" t="n">
        <f aca="false">(L46*INDEX(Assumptions!$C$94:$E$94,$B$3)+L47*INDEX(Assumptions!$C$95:$E$95,$B$3)+L48*INDEX(Assumptions!$C$96:$E$96,$B$3))*$N$3</f>
        <v>34337.7110694184</v>
      </c>
      <c r="M72" s="10" t="n">
        <f aca="false">(M46*INDEX(Assumptions!$C$94:$E$94,$B$3)+M47*INDEX(Assumptions!$C$95:$E$95,$B$3)+M48*INDEX(Assumptions!$C$96:$E$96,$B$3))*$N$3</f>
        <v>36828.095684803</v>
      </c>
      <c r="N72" s="10" t="n">
        <f aca="false">(N46*INDEX(Assumptions!$C$94:$E$94,$B$3)+N47*INDEX(Assumptions!$C$95:$E$95,$B$3)+N48*INDEX(Assumptions!$C$96:$E$96,$B$3))*$N$3</f>
        <v>38931.5196998124</v>
      </c>
      <c r="O72" s="40" t="n">
        <f aca="false">SUM(C72:N72)</f>
        <v>296611.419734991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38358.0538686679</v>
      </c>
      <c r="D77" s="40" t="n">
        <f aca="false">SUM(D69:D76)</f>
        <v>51073.5498928044</v>
      </c>
      <c r="E77" s="40" t="n">
        <f aca="false">SUM(E69:E76)</f>
        <v>78459.5245539189</v>
      </c>
      <c r="F77" s="40" t="n">
        <f aca="false">SUM(F69:F76)</f>
        <v>111468.86015167</v>
      </c>
      <c r="G77" s="40" t="n">
        <f aca="false">SUM(G69:G76)</f>
        <v>138548.195130394</v>
      </c>
      <c r="H77" s="40" t="n">
        <f aca="false">SUM(H69:H76)</f>
        <v>160874.478927355</v>
      </c>
      <c r="I77" s="40" t="n">
        <f aca="false">SUM(I69:I76)</f>
        <v>171455.03265032</v>
      </c>
      <c r="J77" s="40" t="n">
        <f aca="false">SUM(J69:J76)</f>
        <v>162028.019643337</v>
      </c>
      <c r="K77" s="40" t="n">
        <f aca="false">SUM(K69:K76)</f>
        <v>168704.832650248</v>
      </c>
      <c r="L77" s="40" t="n">
        <f aca="false">SUM(L69:L76)</f>
        <v>183207.104552965</v>
      </c>
      <c r="M77" s="40" t="n">
        <f aca="false">SUM(M69:M76)</f>
        <v>186476.649840146</v>
      </c>
      <c r="N77" s="40" t="n">
        <f aca="false">SUM(N69:N76)</f>
        <v>170859.723427216</v>
      </c>
      <c r="O77" s="11" t="n">
        <f aca="false">SUM(C77:N77)</f>
        <v>1621514.02528904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80783.8922629186</v>
      </c>
      <c r="D78" s="40" t="n">
        <f aca="false">D66-D77</f>
        <v>113601.916396885</v>
      </c>
      <c r="E78" s="40" t="n">
        <f aca="false">E66-E77</f>
        <v>190242.564650934</v>
      </c>
      <c r="F78" s="40" t="n">
        <f aca="false">F66-F77</f>
        <v>263673.737380686</v>
      </c>
      <c r="G78" s="40" t="n">
        <f aca="false">G66-G77</f>
        <v>307265.535471889</v>
      </c>
      <c r="H78" s="40" t="n">
        <f aca="false">H66-H77</f>
        <v>355209.845140124</v>
      </c>
      <c r="I78" s="40" t="n">
        <f aca="false">I66-I77</f>
        <v>385034.985993732</v>
      </c>
      <c r="J78" s="40" t="n">
        <f aca="false">J66-J77</f>
        <v>382495.406139593</v>
      </c>
      <c r="K78" s="40" t="n">
        <f aca="false">K66-K77</f>
        <v>393362.617249098</v>
      </c>
      <c r="L78" s="40" t="n">
        <f aca="false">L66-L77</f>
        <v>653254.162600059</v>
      </c>
      <c r="M78" s="40" t="n">
        <f aca="false">M66-M77</f>
        <v>671536.963305373</v>
      </c>
      <c r="N78" s="40" t="n">
        <f aca="false">N66-N77</f>
        <v>637365.600266301</v>
      </c>
      <c r="O78" s="11" t="n">
        <f aca="false">SUM(C78:N78)</f>
        <v>4433827.22685759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0.678047445806338</v>
      </c>
      <c r="D79" s="8" t="n">
        <f aca="false">IFERROR(D78/D66,0)</f>
        <v>0.689853315472275</v>
      </c>
      <c r="E79" s="8" t="n">
        <f aca="false">IFERROR(E78/E66,0)</f>
        <v>0.70800552840472</v>
      </c>
      <c r="F79" s="8" t="n">
        <f aca="false">IFERROR(F78/F66,0)</f>
        <v>0.702862695719178</v>
      </c>
      <c r="G79" s="8" t="n">
        <f aca="false">IFERROR(G78/G66,0)</f>
        <v>0.689224028736803</v>
      </c>
      <c r="H79" s="8" t="n">
        <f aca="false">IFERROR(H78/H66,0)</f>
        <v>0.688278695118203</v>
      </c>
      <c r="I79" s="8" t="n">
        <f aca="false">IFERROR(I78/I66,0)</f>
        <v>0.691899177153099</v>
      </c>
      <c r="J79" s="8" t="n">
        <f aca="false">IFERROR(J78/J66,0)</f>
        <v>0.702440681206013</v>
      </c>
      <c r="K79" s="8" t="n">
        <f aca="false">IFERROR(K78/K66,0)</f>
        <v>0.69984948838354</v>
      </c>
      <c r="L79" s="8" t="n">
        <f aca="false">IFERROR(L78/L66,0)</f>
        <v>0.780973594657254</v>
      </c>
      <c r="M79" s="8" t="n">
        <f aca="false">IFERROR(M78/M66,0)</f>
        <v>0.782664695544266</v>
      </c>
      <c r="N79" s="8" t="n">
        <f aca="false">IFERROR(N78/N66,0)</f>
        <v>0.788598898823904</v>
      </c>
      <c r="O79" s="13" t="n">
        <f aca="false">IFERROR(O78/O66,0)</f>
        <v>0.732217564994506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-206049.107737081</v>
      </c>
      <c r="D103" s="40" t="n">
        <f aca="false">D78-D102</f>
        <v>-188231.083603115</v>
      </c>
      <c r="E103" s="40" t="n">
        <f aca="false">E78-E102</f>
        <v>-301590.435349066</v>
      </c>
      <c r="F103" s="40" t="n">
        <f aca="false">F78-F102</f>
        <v>-88159.2626193138</v>
      </c>
      <c r="G103" s="40" t="n">
        <f aca="false">G78-G102</f>
        <v>-62567.4645281108</v>
      </c>
      <c r="H103" s="40" t="n">
        <f aca="false">H78-H102</f>
        <v>-14623.154859876</v>
      </c>
      <c r="I103" s="40" t="n">
        <f aca="false">I78-I102</f>
        <v>15201.9859937323</v>
      </c>
      <c r="J103" s="40" t="n">
        <f aca="false">J78-J102</f>
        <v>12662.4061395928</v>
      </c>
      <c r="K103" s="40" t="n">
        <f aca="false">K78-K102</f>
        <v>18529.617249098</v>
      </c>
      <c r="L103" s="40" t="n">
        <f aca="false">L78-L102</f>
        <v>105321.162600059</v>
      </c>
      <c r="M103" s="40" t="n">
        <f aca="false">M78-M102</f>
        <v>103603.963305373</v>
      </c>
      <c r="N103" s="40" t="n">
        <f aca="false">N78-N102</f>
        <v>69432.6002663012</v>
      </c>
      <c r="O103" s="11" t="n">
        <f aca="false">SUM(C103:N103)</f>
        <v>-536468.773142407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-1.72944218578997</v>
      </c>
      <c r="D104" s="8" t="n">
        <f aca="false">IFERROR(D103/D66,0)</f>
        <v>-1.14304266351362</v>
      </c>
      <c r="E104" s="8" t="n">
        <f aca="false">IFERROR(E103/E66,0)</f>
        <v>-1.12239706152467</v>
      </c>
      <c r="F104" s="8" t="n">
        <f aca="false">IFERROR(F103/F66,0)</f>
        <v>-0.2350020051021</v>
      </c>
      <c r="G104" s="8" t="n">
        <f aca="false">IFERROR(G103/G66,0)</f>
        <v>-0.140344408961078</v>
      </c>
      <c r="H104" s="8" t="n">
        <f aca="false">IFERROR(H103/H66,0)</f>
        <v>-0.0283348169629039</v>
      </c>
      <c r="I104" s="8" t="n">
        <f aca="false">IFERROR(I103/I66,0)</f>
        <v>0.0273176256256556</v>
      </c>
      <c r="J104" s="8" t="n">
        <f aca="false">IFERROR(J103/J66,0)</f>
        <v>0.0232541072432034</v>
      </c>
      <c r="K104" s="8" t="n">
        <f aca="false">IFERROR(K103/K66,0)</f>
        <v>0.0329668925898774</v>
      </c>
      <c r="L104" s="8" t="n">
        <f aca="false">IFERROR(L103/L66,0)</f>
        <v>0.125912778912681</v>
      </c>
      <c r="M104" s="8" t="n">
        <f aca="false">IFERROR(M103/M66,0)</f>
        <v>0.120748624168742</v>
      </c>
      <c r="N104" s="8" t="n">
        <f aca="false">IFERROR(N103/N66,0)</f>
        <v>0.0859074793016883</v>
      </c>
      <c r="O104" s="8" t="n">
        <f aca="false">IFERROR(O103/O66,0)</f>
        <v>-0.0885943088595093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-281049.107737082</v>
      </c>
      <c r="D105" s="10" t="n">
        <f aca="false">D103-INDEX(Assumptions!$C$204:$E$204,$B$3)</f>
        <v>-263231.083603115</v>
      </c>
      <c r="E105" s="10" t="n">
        <f aca="false">E103-INDEX(Assumptions!$C$204:$E$204,$B$3)</f>
        <v>-376590.435349066</v>
      </c>
      <c r="F105" s="10" t="n">
        <f aca="false">F103-INDEX(Assumptions!$C$204:$E$204,$B$3)</f>
        <v>-163159.262619314</v>
      </c>
      <c r="G105" s="10" t="n">
        <f aca="false">G103-INDEX(Assumptions!$C$204:$E$204,$B$3)</f>
        <v>-137567.464528111</v>
      </c>
      <c r="H105" s="10" t="n">
        <f aca="false">H103-INDEX(Assumptions!$C$204:$E$204,$B$3)</f>
        <v>-89623.154859876</v>
      </c>
      <c r="I105" s="10" t="n">
        <f aca="false">I103-INDEX(Assumptions!$C$204:$E$204,$B$3)</f>
        <v>-59798.0140062677</v>
      </c>
      <c r="J105" s="10" t="n">
        <f aca="false">J103-INDEX(Assumptions!$C$204:$E$204,$B$3)</f>
        <v>-62337.5938604072</v>
      </c>
      <c r="K105" s="10" t="n">
        <f aca="false">K103-INDEX(Assumptions!$C$204:$E$204,$B$3)</f>
        <v>-56470.382750902</v>
      </c>
      <c r="L105" s="10" t="n">
        <f aca="false">L103-INDEX(Assumptions!$C$204:$E$204,$B$3)</f>
        <v>30321.1626000594</v>
      </c>
      <c r="M105" s="10" t="n">
        <f aca="false">M103-INDEX(Assumptions!$C$204:$E$204,$B$3)</f>
        <v>28603.9633053726</v>
      </c>
      <c r="N105" s="10" t="n">
        <f aca="false">N103-INDEX(Assumptions!$C$204:$E$204,$B$3)</f>
        <v>-5567.39973369881</v>
      </c>
      <c r="O105" s="40" t="n">
        <f aca="false">SUM(C105:N105)</f>
        <v>-1436468.77314241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-400083.006042166</v>
      </c>
      <c r="D114" s="40" t="n">
        <f aca="false">D103+D113-D112</f>
        <v>-200246.077247182</v>
      </c>
      <c r="E114" s="40" t="n">
        <f aca="false">E103+E113-E112</f>
        <v>-425107.786832117</v>
      </c>
      <c r="F114" s="40" t="n">
        <f aca="false">F103+F113-F112</f>
        <v>-122254.88359389</v>
      </c>
      <c r="G114" s="40" t="n">
        <f aca="false">G103+G113-G112</f>
        <v>-94704.0746976023</v>
      </c>
      <c r="H114" s="40" t="n">
        <f aca="false">H103+H113-H112</f>
        <v>-37180.0531649607</v>
      </c>
      <c r="I114" s="40" t="n">
        <f aca="false">I103+I113-I112</f>
        <v>8134.52005740273</v>
      </c>
      <c r="J114" s="40" t="n">
        <f aca="false">J103+J113-J112</f>
        <v>31018.3366051973</v>
      </c>
      <c r="K114" s="40" t="n">
        <f aca="false">K103+K113-K112</f>
        <v>-1462512.01711648</v>
      </c>
      <c r="L114" s="40" t="n">
        <f aca="false">L103+L113-L112</f>
        <v>-11763.6352305198</v>
      </c>
      <c r="M114" s="40" t="n">
        <f aca="false">M103+M113-M112</f>
        <v>102604.515178364</v>
      </c>
      <c r="N114" s="40" t="n">
        <f aca="false">N103+N113-N112</f>
        <v>103076.648355963</v>
      </c>
      <c r="O114" s="11" t="n">
        <f aca="false">SUM(C114:N114)</f>
        <v>-2509017.513728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-400083.006042166</v>
      </c>
      <c r="D115" s="40" t="n">
        <f aca="false">C115+D114</f>
        <v>-600329.083289349</v>
      </c>
      <c r="E115" s="40" t="n">
        <f aca="false">D115+E114</f>
        <v>-1025436.87012147</v>
      </c>
      <c r="F115" s="40" t="n">
        <f aca="false">E115+F114</f>
        <v>-1147691.75371536</v>
      </c>
      <c r="G115" s="40" t="n">
        <f aca="false">F115+G114</f>
        <v>-1242395.82841296</v>
      </c>
      <c r="H115" s="40" t="n">
        <f aca="false">G115+H114</f>
        <v>-1279575.88157792</v>
      </c>
      <c r="I115" s="40" t="n">
        <f aca="false">H115+I114</f>
        <v>-1271441.36152052</v>
      </c>
      <c r="J115" s="40" t="n">
        <f aca="false">I115+J114</f>
        <v>-1240423.02491532</v>
      </c>
      <c r="K115" s="40" t="n">
        <f aca="false">J115+K114</f>
        <v>-2702935.0420318</v>
      </c>
      <c r="L115" s="40" t="n">
        <f aca="false">K115+L114</f>
        <v>-2714698.67726232</v>
      </c>
      <c r="M115" s="40" t="n">
        <f aca="false">L115+M114</f>
        <v>-2612094.16208396</v>
      </c>
      <c r="N115" s="40" t="n">
        <f aca="false">M115+N114</f>
        <v>-2509017.513728</v>
      </c>
      <c r="O115" s="11" t="n">
        <f aca="false">N115</f>
        <v>-2509017.513728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400083.006042166</v>
      </c>
      <c r="D116" s="40" t="n">
        <f aca="false">-MIN(0,MIN($C$115:D115))</f>
        <v>600329.083289349</v>
      </c>
      <c r="E116" s="40" t="n">
        <f aca="false">-MIN(0,MIN($C$115:E115))</f>
        <v>1025436.87012147</v>
      </c>
      <c r="F116" s="40" t="n">
        <f aca="false">-MIN(0,MIN($C$115:F115))</f>
        <v>1147691.75371536</v>
      </c>
      <c r="G116" s="40" t="n">
        <f aca="false">-MIN(0,MIN($C$115:G115))</f>
        <v>1242395.82841296</v>
      </c>
      <c r="H116" s="40" t="n">
        <f aca="false">-MIN(0,MIN($C$115:H115))</f>
        <v>1279575.88157792</v>
      </c>
      <c r="I116" s="40" t="n">
        <f aca="false">-MIN(0,MIN($C$115:I115))</f>
        <v>1279575.88157792</v>
      </c>
      <c r="J116" s="40" t="n">
        <f aca="false">-MIN(0,MIN($C$115:J115))</f>
        <v>1279575.88157792</v>
      </c>
      <c r="K116" s="40" t="n">
        <f aca="false">-MIN(0,MIN($C$115:K115))</f>
        <v>2702935.0420318</v>
      </c>
      <c r="L116" s="40" t="n">
        <f aca="false">-MIN(0,MIN($C$115:L115))</f>
        <v>2714698.67726232</v>
      </c>
      <c r="M116" s="40" t="n">
        <f aca="false">-MIN(0,MIN($C$115:M115))</f>
        <v>2714698.67726232</v>
      </c>
      <c r="N116" s="40" t="n">
        <f aca="false">-MIN(0,MIN($C$115:N115))</f>
        <v>2714698.67726232</v>
      </c>
      <c r="O116" s="11" t="n">
        <f aca="false">MAX(C116:N116)</f>
        <v>2714698.67726232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-536468.773142407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-0.0885943088595093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-1436468.77314241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2714698.67726232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285301.322737677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40527.3494527302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232092.105739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8.28677174293658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99.4412609152389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278357.726171733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-2509017.513728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1279575.88157792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92785.9087239111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1962156.72617173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1588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0.75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5400</v>
      </c>
      <c r="D69" s="10" t="n">
        <f aca="false">((D34+D37)*INDEX(Assumptions!$C$91:$E$91,$B$3)+D35*(INDEX(Assumptions!$C$93:$E$93,$B$3)+IF($Q$3=1,INDEX(Assumptions!$C$282:$E$282,$B$3),0)))*$N$3</f>
        <v>7702.7625</v>
      </c>
      <c r="E69" s="10" t="n">
        <f aca="false">((E34+E37)*INDEX(Assumptions!$C$91:$E$91,$B$3)+E35*(INDEX(Assumptions!$C$93:$E$93,$B$3)+IF($Q$3=1,INDEX(Assumptions!$C$282:$E$282,$B$3),0)))*$N$3</f>
        <v>10774.5525</v>
      </c>
      <c r="F69" s="10" t="n">
        <f aca="false">((F34+F37)*INDEX(Assumptions!$C$91:$E$91,$B$3)+F35*(INDEX(Assumptions!$C$93:$E$93,$B$3)+IF($Q$3=1,INDEX(Assumptions!$C$282:$E$282,$B$3),0)))*$N$3</f>
        <v>15390</v>
      </c>
      <c r="G69" s="10" t="n">
        <f aca="false">((G34+G37)*INDEX(Assumptions!$C$91:$E$91,$B$3)+G35*(INDEX(Assumptions!$C$93:$E$93,$B$3)+IF($Q$3=1,INDEX(Assumptions!$C$282:$E$282,$B$3),0)))*$N$3</f>
        <v>19953</v>
      </c>
      <c r="H69" s="10" t="n">
        <f aca="false">((H34+H37)*INDEX(Assumptions!$C$91:$E$91,$B$3)+H35*(INDEX(Assumptions!$C$93:$E$93,$B$3)+IF($Q$3=1,INDEX(Assumptions!$C$282:$E$282,$B$3),0)))*$N$3</f>
        <v>23295.6</v>
      </c>
      <c r="I69" s="10" t="n">
        <f aca="false">((I34+I37)*INDEX(Assumptions!$C$91:$E$91,$B$3)+I35*(INDEX(Assumptions!$C$93:$E$93,$B$3)+IF($Q$3=1,INDEX(Assumptions!$C$282:$E$282,$B$3),0)))*$N$3</f>
        <v>23888.4068017097</v>
      </c>
      <c r="J69" s="10" t="n">
        <f aca="false">((J34+J37)*INDEX(Assumptions!$C$91:$E$91,$B$3)+J35*(INDEX(Assumptions!$C$93:$E$93,$B$3)+IF($Q$3=1,INDEX(Assumptions!$C$282:$E$282,$B$3),0)))*$N$3</f>
        <v>21407.3415546812</v>
      </c>
      <c r="K69" s="10" t="n">
        <f aca="false">((K34+K37)*INDEX(Assumptions!$C$91:$E$91,$B$3)+K35*(INDEX(Assumptions!$C$93:$E$93,$B$3)+IF($Q$3=1,INDEX(Assumptions!$C$282:$E$282,$B$3),0)))*$N$3</f>
        <v>22566.5584154228</v>
      </c>
      <c r="L69" s="10" t="n">
        <f aca="false">((L34+L37)*INDEX(Assumptions!$C$91:$E$91,$B$3)+L35*(INDEX(Assumptions!$C$93:$E$93,$B$3)+IF($Q$3=1,INDEX(Assumptions!$C$282:$E$282,$B$3),0)))*$N$3</f>
        <v>44918.3079684559</v>
      </c>
      <c r="M69" s="10" t="n">
        <f aca="false">((M34+M37)*INDEX(Assumptions!$C$91:$E$91,$B$3)+M35*(INDEX(Assumptions!$C$93:$E$93,$B$3)+IF($Q$3=1,INDEX(Assumptions!$C$282:$E$282,$B$3),0)))*$N$3</f>
        <v>44982.2984129942</v>
      </c>
      <c r="N69" s="10" t="n">
        <f aca="false">((N34+N37)*INDEX(Assumptions!$C$91:$E$91,$B$3)+N35*(INDEX(Assumptions!$C$93:$E$93,$B$3)+IF($Q$3=1,INDEX(Assumptions!$C$282:$E$282,$B$3),0)))*$N$3</f>
        <v>36266.0538612313</v>
      </c>
      <c r="O69" s="40" t="n">
        <f aca="false">SUM(C69:N69)</f>
        <v>276544.882014495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10800</v>
      </c>
      <c r="D70" s="10" t="n">
        <f aca="false">(D34+D35)*D54*INDEX(Assumptions!$C$14:$E$14,$B$3)*$N$3</f>
        <v>13245.525</v>
      </c>
      <c r="E70" s="10" t="n">
        <f aca="false">(E34+E35)*E54*INDEX(Assumptions!$C$14:$E$14,$B$3)*$N$3</f>
        <v>18900</v>
      </c>
      <c r="F70" s="10" t="n">
        <f aca="false">(F34+F35)*F54*INDEX(Assumptions!$C$14:$E$14,$B$3)*$N$3</f>
        <v>27000</v>
      </c>
      <c r="G70" s="10" t="n">
        <f aca="false">(G34+G35)*G54*INDEX(Assumptions!$C$14:$E$14,$B$3)*$N$3</f>
        <v>34506</v>
      </c>
      <c r="H70" s="10" t="n">
        <f aca="false">(H34+H35)*H54*INDEX(Assumptions!$C$14:$E$14,$B$3)*$N$3</f>
        <v>39690</v>
      </c>
      <c r="I70" s="10" t="n">
        <f aca="false">(I34+I35)*I54*INDEX(Assumptions!$C$14:$E$14,$B$3)*$N$3</f>
        <v>41588.9795948708</v>
      </c>
      <c r="J70" s="10" t="n">
        <f aca="false">(J34+J35)*J54*INDEX(Assumptions!$C$14:$E$14,$B$3)*$N$3</f>
        <v>37225.9549308274</v>
      </c>
      <c r="K70" s="10" t="n">
        <f aca="false">(K34+K35)*K54*INDEX(Assumptions!$C$14:$E$14,$B$3)*$N$3</f>
        <v>39413.079684559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262369.539210257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1200</v>
      </c>
      <c r="D71" s="10" t="n">
        <f aca="false">D36*INDEX(Assumptions!$C$92:$E$92,$B$3)*$N$3</f>
        <v>1471.725</v>
      </c>
      <c r="E71" s="10" t="n">
        <f aca="false">E36*INDEX(Assumptions!$C$92:$E$92,$B$3)*$N$3</f>
        <v>2100</v>
      </c>
      <c r="F71" s="10" t="n">
        <f aca="false">F36*INDEX(Assumptions!$C$92:$E$92,$B$3)*$N$3</f>
        <v>3000</v>
      </c>
      <c r="G71" s="10" t="n">
        <f aca="false">G36*INDEX(Assumptions!$C$92:$E$92,$B$3)*$N$3</f>
        <v>3834</v>
      </c>
      <c r="H71" s="10" t="n">
        <f aca="false">H36*INDEX(Assumptions!$C$92:$E$92,$B$3)*$N$3</f>
        <v>4410</v>
      </c>
      <c r="I71" s="10" t="n">
        <f aca="false">I36*INDEX(Assumptions!$C$92:$E$92,$B$3)*$N$3</f>
        <v>4620.99773276343</v>
      </c>
      <c r="J71" s="10" t="n">
        <f aca="false">J36*INDEX(Assumptions!$C$92:$E$92,$B$3)*$N$3</f>
        <v>4136.21721453637</v>
      </c>
      <c r="K71" s="10" t="n">
        <f aca="false">K36*INDEX(Assumptions!$C$92:$E$92,$B$3)*$N$3</f>
        <v>4379.23107606211</v>
      </c>
      <c r="L71" s="10" t="n">
        <f aca="false">L36*INDEX(Assumptions!$C$92:$E$92,$B$3)*$N$3</f>
        <v>5808</v>
      </c>
      <c r="M71" s="10" t="n">
        <f aca="false">M36*INDEX(Assumptions!$C$92:$E$92,$B$3)*$N$3</f>
        <v>5920.6154013681</v>
      </c>
      <c r="N71" s="10" t="n">
        <f aca="false">N36*INDEX(Assumptions!$C$92:$E$92,$B$3)*$N$3</f>
        <v>6000</v>
      </c>
      <c r="O71" s="40" t="n">
        <f aca="false">SUM(C71:N71)</f>
        <v>46880.78642473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2451.78236397749</v>
      </c>
      <c r="D72" s="10" t="n">
        <f aca="false">(D46*INDEX(Assumptions!$C$94:$E$94,$B$3)+D47*INDEX(Assumptions!$C$95:$E$95,$B$3)+D48*INDEX(Assumptions!$C$96:$E$96,$B$3))*$N$3</f>
        <v>4031.43908302064</v>
      </c>
      <c r="E72" s="10" t="n">
        <f aca="false">(E46*INDEX(Assumptions!$C$94:$E$94,$B$3)+E47*INDEX(Assumptions!$C$95:$E$95,$B$3)+E48*INDEX(Assumptions!$C$96:$E$96,$B$3))*$N$3</f>
        <v>8565.6191369606</v>
      </c>
      <c r="F72" s="10" t="n">
        <f aca="false">(F46*INDEX(Assumptions!$C$94:$E$94,$B$3)+F47*INDEX(Assumptions!$C$95:$E$95,$B$3)+F48*INDEX(Assumptions!$C$96:$E$96,$B$3))*$N$3</f>
        <v>11829.4559099437</v>
      </c>
      <c r="G72" s="10" t="n">
        <f aca="false">(G46*INDEX(Assumptions!$C$94:$E$94,$B$3)+G47*INDEX(Assumptions!$C$95:$E$95,$B$3)+G48*INDEX(Assumptions!$C$96:$E$96,$B$3))*$N$3</f>
        <v>12823.9446529081</v>
      </c>
      <c r="H72" s="10" t="n">
        <f aca="false">(H46*INDEX(Assumptions!$C$94:$E$94,$B$3)+H47*INDEX(Assumptions!$C$95:$E$95,$B$3)+H48*INDEX(Assumptions!$C$96:$E$96,$B$3))*$N$3</f>
        <v>15092.8001876173</v>
      </c>
      <c r="I72" s="10" t="n">
        <f aca="false">(I46*INDEX(Assumptions!$C$94:$E$94,$B$3)+I47*INDEX(Assumptions!$C$95:$E$95,$B$3)+I48*INDEX(Assumptions!$C$96:$E$96,$B$3))*$N$3</f>
        <v>17637.8048780488</v>
      </c>
      <c r="J72" s="10" t="n">
        <f aca="false">(J46*INDEX(Assumptions!$C$94:$E$94,$B$3)+J47*INDEX(Assumptions!$C$95:$E$95,$B$3)+J48*INDEX(Assumptions!$C$96:$E$96,$B$3))*$N$3</f>
        <v>19804.6435272045</v>
      </c>
      <c r="K72" s="10" t="n">
        <f aca="false">(K46*INDEX(Assumptions!$C$94:$E$94,$B$3)+K47*INDEX(Assumptions!$C$95:$E$95,$B$3)+K48*INDEX(Assumptions!$C$96:$E$96,$B$3))*$N$3</f>
        <v>19670.9662288931</v>
      </c>
      <c r="L72" s="10" t="n">
        <f aca="false">(L46*INDEX(Assumptions!$C$94:$E$94,$B$3)+L47*INDEX(Assumptions!$C$95:$E$95,$B$3)+L48*INDEX(Assumptions!$C$96:$E$96,$B$3))*$N$3</f>
        <v>20602.626641651</v>
      </c>
      <c r="M72" s="10" t="n">
        <f aca="false">(M46*INDEX(Assumptions!$C$94:$E$94,$B$3)+M47*INDEX(Assumptions!$C$95:$E$95,$B$3)+M48*INDEX(Assumptions!$C$96:$E$96,$B$3))*$N$3</f>
        <v>22096.8574108818</v>
      </c>
      <c r="N72" s="10" t="n">
        <f aca="false">(N46*INDEX(Assumptions!$C$94:$E$94,$B$3)+N47*INDEX(Assumptions!$C$95:$E$95,$B$3)+N48*INDEX(Assumptions!$C$96:$E$96,$B$3))*$N$3</f>
        <v>23358.9118198874</v>
      </c>
      <c r="O72" s="40" t="n">
        <f aca="false">SUM(C72:N72)</f>
        <v>177966.851840994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25123.5322926829</v>
      </c>
      <c r="D77" s="40" t="n">
        <f aca="false">SUM(D69:D76)</f>
        <v>33439.2488374573</v>
      </c>
      <c r="E77" s="40" t="n">
        <f aca="false">SUM(E69:E76)</f>
        <v>51566.0767959451</v>
      </c>
      <c r="F77" s="40" t="n">
        <f aca="false">SUM(F69:F76)</f>
        <v>73322.5562117073</v>
      </c>
      <c r="G77" s="40" t="n">
        <f aca="false">SUM(G69:G76)</f>
        <v>91136.8986951219</v>
      </c>
      <c r="H77" s="40" t="n">
        <f aca="false">SUM(H69:H76)</f>
        <v>105882.21213561</v>
      </c>
      <c r="I77" s="40" t="n">
        <f aca="false">SUM(I69:I76)</f>
        <v>112964.239978725</v>
      </c>
      <c r="J77" s="40" t="n">
        <f aca="false">SUM(J69:J76)</f>
        <v>106978.581491837</v>
      </c>
      <c r="K77" s="40" t="n">
        <f aca="false">SUM(K69:K76)</f>
        <v>111351.609046956</v>
      </c>
      <c r="L77" s="40" t="n">
        <f aca="false">SUM(L69:L76)</f>
        <v>135654.481479561</v>
      </c>
      <c r="M77" s="40" t="n">
        <f aca="false">SUM(M69:M76)</f>
        <v>137810.135689983</v>
      </c>
      <c r="N77" s="40" t="n">
        <f aca="false">SUM(N69:N76)</f>
        <v>127109.746306471</v>
      </c>
      <c r="O77" s="11" t="n">
        <f aca="false">SUM(C77:N77)</f>
        <v>1112339.31896206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94018.4138389036</v>
      </c>
      <c r="D78" s="40" t="n">
        <f aca="false">D66-D77</f>
        <v>131236.217452233</v>
      </c>
      <c r="E78" s="40" t="n">
        <f aca="false">E66-E77</f>
        <v>217136.012408907</v>
      </c>
      <c r="F78" s="40" t="n">
        <f aca="false">F66-F77</f>
        <v>301820.041320649</v>
      </c>
      <c r="G78" s="40" t="n">
        <f aca="false">G66-G77</f>
        <v>354676.831907161</v>
      </c>
      <c r="H78" s="40" t="n">
        <f aca="false">H66-H77</f>
        <v>410202.111931869</v>
      </c>
      <c r="I78" s="40" t="n">
        <f aca="false">I66-I77</f>
        <v>443525.778665328</v>
      </c>
      <c r="J78" s="40" t="n">
        <f aca="false">J66-J77</f>
        <v>437544.844291092</v>
      </c>
      <c r="K78" s="40" t="n">
        <f aca="false">K66-K77</f>
        <v>450715.840852389</v>
      </c>
      <c r="L78" s="40" t="n">
        <f aca="false">L66-L77</f>
        <v>700806.785673464</v>
      </c>
      <c r="M78" s="40" t="n">
        <f aca="false">M66-M77</f>
        <v>720203.477455535</v>
      </c>
      <c r="N78" s="40" t="n">
        <f aca="false">N66-N77</f>
        <v>681115.577387047</v>
      </c>
      <c r="O78" s="11" t="n">
        <f aca="false">SUM(C78:N78)</f>
        <v>4943001.93318458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0.789129411526187</v>
      </c>
      <c r="D79" s="8" t="n">
        <f aca="false">IFERROR(D78/D66,0)</f>
        <v>0.796938490044215</v>
      </c>
      <c r="E79" s="8" t="n">
        <f aca="false">IFERROR(E78/E66,0)</f>
        <v>0.808092013915708</v>
      </c>
      <c r="F79" s="8" t="n">
        <f aca="false">IFERROR(F78/F66,0)</f>
        <v>0.804547506217597</v>
      </c>
      <c r="G79" s="8" t="n">
        <f aca="false">IFERROR(G78/G66,0)</f>
        <v>0.795571799522643</v>
      </c>
      <c r="H79" s="8" t="n">
        <f aca="false">IFERROR(H78/H66,0)</f>
        <v>0.794835442198462</v>
      </c>
      <c r="I79" s="8" t="n">
        <f aca="false">IFERROR(I78/I66,0)</f>
        <v>0.797005811076406</v>
      </c>
      <c r="J79" s="8" t="n">
        <f aca="false">IFERROR(J78/J66,0)</f>
        <v>0.803537228287248</v>
      </c>
      <c r="K79" s="8" t="n">
        <f aca="false">IFERROR(K78/K66,0)</f>
        <v>0.801889241109947</v>
      </c>
      <c r="L79" s="8" t="n">
        <f aca="false">IFERROR(L78/L66,0)</f>
        <v>0.837823355597476</v>
      </c>
      <c r="M79" s="8" t="n">
        <f aca="false">IFERROR(M78/M66,0)</f>
        <v>0.839384674580203</v>
      </c>
      <c r="N79" s="8" t="n">
        <f aca="false">IFERROR(N78/N66,0)</f>
        <v>0.842729814842239</v>
      </c>
      <c r="O79" s="13" t="n">
        <f aca="false">IFERROR(O78/O66,0)</f>
        <v>0.81630443724906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-192814.586161096</v>
      </c>
      <c r="D103" s="40" t="n">
        <f aca="false">D78-D102</f>
        <v>-170596.782547768</v>
      </c>
      <c r="E103" s="40" t="n">
        <f aca="false">E78-E102</f>
        <v>-274696.987591093</v>
      </c>
      <c r="F103" s="40" t="n">
        <f aca="false">F78-F102</f>
        <v>-50012.9586793513</v>
      </c>
      <c r="G103" s="40" t="n">
        <f aca="false">G78-G102</f>
        <v>-15156.1680928387</v>
      </c>
      <c r="H103" s="40" t="n">
        <f aca="false">H78-H102</f>
        <v>40369.1119318688</v>
      </c>
      <c r="I103" s="40" t="n">
        <f aca="false">I78-I102</f>
        <v>73692.7786653276</v>
      </c>
      <c r="J103" s="40" t="n">
        <f aca="false">J78-J102</f>
        <v>67711.8442910924</v>
      </c>
      <c r="K103" s="40" t="n">
        <f aca="false">K78-K102</f>
        <v>75882.8408523893</v>
      </c>
      <c r="L103" s="40" t="n">
        <f aca="false">L78-L102</f>
        <v>152873.785673464</v>
      </c>
      <c r="M103" s="40" t="n">
        <f aca="false">M78-M102</f>
        <v>152270.477455535</v>
      </c>
      <c r="N103" s="40" t="n">
        <f aca="false">N78-N102</f>
        <v>113182.577387047</v>
      </c>
      <c r="O103" s="11" t="n">
        <f aca="false">SUM(C103:N103)</f>
        <v>-27294.0668154219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-1.61836022007012</v>
      </c>
      <c r="D104" s="8" t="n">
        <f aca="false">IFERROR(D103/D66,0)</f>
        <v>-1.03595748894168</v>
      </c>
      <c r="E104" s="8" t="n">
        <f aca="false">IFERROR(E103/E66,0)</f>
        <v>-1.02231057601368</v>
      </c>
      <c r="F104" s="8" t="n">
        <f aca="false">IFERROR(F103/F66,0)</f>
        <v>-0.13331719460368</v>
      </c>
      <c r="G104" s="8" t="n">
        <f aca="false">IFERROR(G103/G66,0)</f>
        <v>-0.0339966381752377</v>
      </c>
      <c r="H104" s="8" t="n">
        <f aca="false">IFERROR(H103/H66,0)</f>
        <v>0.0782219301173553</v>
      </c>
      <c r="I104" s="8" t="n">
        <f aca="false">IFERROR(I103/I66,0)</f>
        <v>0.132424259548964</v>
      </c>
      <c r="J104" s="8" t="n">
        <f aca="false">IFERROR(J103/J66,0)</f>
        <v>0.124350654324439</v>
      </c>
      <c r="K104" s="8" t="n">
        <f aca="false">IFERROR(K103/K66,0)</f>
        <v>0.135006645316284</v>
      </c>
      <c r="L104" s="8" t="n">
        <f aca="false">IFERROR(L103/L66,0)</f>
        <v>0.182762539852903</v>
      </c>
      <c r="M104" s="8" t="n">
        <f aca="false">IFERROR(M103/M66,0)</f>
        <v>0.17746860320468</v>
      </c>
      <c r="N104" s="8" t="n">
        <f aca="false">IFERROR(N103/N66,0)</f>
        <v>0.140038395320024</v>
      </c>
      <c r="O104" s="8" t="n">
        <f aca="false">IFERROR(O103/O66,0)</f>
        <v>-0.00450743660495534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-267814.586161096</v>
      </c>
      <c r="D105" s="10" t="n">
        <f aca="false">D103-INDEX(Assumptions!$C$204:$E$204,$B$3)</f>
        <v>-245596.782547768</v>
      </c>
      <c r="E105" s="10" t="n">
        <f aca="false">E103-INDEX(Assumptions!$C$204:$E$204,$B$3)</f>
        <v>-349696.987591093</v>
      </c>
      <c r="F105" s="10" t="n">
        <f aca="false">F103-INDEX(Assumptions!$C$204:$E$204,$B$3)</f>
        <v>-125012.958679351</v>
      </c>
      <c r="G105" s="10" t="n">
        <f aca="false">G103-INDEX(Assumptions!$C$204:$E$204,$B$3)</f>
        <v>-90156.1680928387</v>
      </c>
      <c r="H105" s="10" t="n">
        <f aca="false">H103-INDEX(Assumptions!$C$204:$E$204,$B$3)</f>
        <v>-34630.8880681312</v>
      </c>
      <c r="I105" s="10" t="n">
        <f aca="false">I103-INDEX(Assumptions!$C$204:$E$204,$B$3)</f>
        <v>-1307.22133467242</v>
      </c>
      <c r="J105" s="10" t="n">
        <f aca="false">J103-INDEX(Assumptions!$C$204:$E$204,$B$3)</f>
        <v>-7288.15570890764</v>
      </c>
      <c r="K105" s="10" t="n">
        <f aca="false">K103-INDEX(Assumptions!$C$204:$E$204,$B$3)</f>
        <v>882.840852389345</v>
      </c>
      <c r="L105" s="10" t="n">
        <f aca="false">L103-INDEX(Assumptions!$C$204:$E$204,$B$3)</f>
        <v>77873.7856734641</v>
      </c>
      <c r="M105" s="10" t="n">
        <f aca="false">M103-INDEX(Assumptions!$C$204:$E$204,$B$3)</f>
        <v>77270.4774555354</v>
      </c>
      <c r="N105" s="10" t="n">
        <f aca="false">N103-INDEX(Assumptions!$C$204:$E$204,$B$3)</f>
        <v>38182.577387047</v>
      </c>
      <c r="O105" s="40" t="n">
        <f aca="false">SUM(C105:N105)</f>
        <v>-927294.066815422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-386848.484466181</v>
      </c>
      <c r="D114" s="40" t="n">
        <f aca="false">D103+D113-D112</f>
        <v>-182611.776191835</v>
      </c>
      <c r="E114" s="40" t="n">
        <f aca="false">E103+E113-E112</f>
        <v>-398214.339074143</v>
      </c>
      <c r="F114" s="40" t="n">
        <f aca="false">F103+F113-F112</f>
        <v>-84108.5796539275</v>
      </c>
      <c r="G114" s="40" t="n">
        <f aca="false">G103+G113-G112</f>
        <v>-47292.7782623303</v>
      </c>
      <c r="H114" s="40" t="n">
        <f aca="false">H103+H113-H112</f>
        <v>17812.2136267841</v>
      </c>
      <c r="I114" s="40" t="n">
        <f aca="false">I103+I113-I112</f>
        <v>66625.312728998</v>
      </c>
      <c r="J114" s="40" t="n">
        <f aca="false">J103+J113-J112</f>
        <v>86067.7747566969</v>
      </c>
      <c r="K114" s="40" t="n">
        <f aca="false">K103+K113-K112</f>
        <v>-1405158.79351319</v>
      </c>
      <c r="L114" s="40" t="n">
        <f aca="false">L103+L113-L112</f>
        <v>35788.9878428848</v>
      </c>
      <c r="M114" s="40" t="n">
        <f aca="false">M103+M113-M112</f>
        <v>151271.029328527</v>
      </c>
      <c r="N114" s="40" t="n">
        <f aca="false">N103+N113-N112</f>
        <v>146826.625476709</v>
      </c>
      <c r="O114" s="11" t="n">
        <f aca="false">SUM(C114:N114)</f>
        <v>-1999842.80740101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-386848.484466181</v>
      </c>
      <c r="D115" s="40" t="n">
        <f aca="false">C115+D114</f>
        <v>-569460.260658016</v>
      </c>
      <c r="E115" s="40" t="n">
        <f aca="false">D115+E114</f>
        <v>-967674.59973216</v>
      </c>
      <c r="F115" s="40" t="n">
        <f aca="false">E115+F114</f>
        <v>-1051783.17938609</v>
      </c>
      <c r="G115" s="40" t="n">
        <f aca="false">F115+G114</f>
        <v>-1099075.95764842</v>
      </c>
      <c r="H115" s="40" t="n">
        <f aca="false">G115+H114</f>
        <v>-1081263.74402163</v>
      </c>
      <c r="I115" s="40" t="n">
        <f aca="false">H115+I114</f>
        <v>-1014638.43129264</v>
      </c>
      <c r="J115" s="40" t="n">
        <f aca="false">I115+J114</f>
        <v>-928570.656535939</v>
      </c>
      <c r="K115" s="40" t="n">
        <f aca="false">J115+K114</f>
        <v>-2333729.45004913</v>
      </c>
      <c r="L115" s="40" t="n">
        <f aca="false">K115+L114</f>
        <v>-2297940.46220625</v>
      </c>
      <c r="M115" s="40" t="n">
        <f aca="false">L115+M114</f>
        <v>-2146669.43287772</v>
      </c>
      <c r="N115" s="40" t="n">
        <f aca="false">M115+N114</f>
        <v>-1999842.80740101</v>
      </c>
      <c r="O115" s="11" t="n">
        <f aca="false">N115</f>
        <v>-1999842.80740101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386848.484466181</v>
      </c>
      <c r="D116" s="40" t="n">
        <f aca="false">-MIN(0,MIN($C$115:D115))</f>
        <v>569460.260658016</v>
      </c>
      <c r="E116" s="40" t="n">
        <f aca="false">-MIN(0,MIN($C$115:E115))</f>
        <v>967674.59973216</v>
      </c>
      <c r="F116" s="40" t="n">
        <f aca="false">-MIN(0,MIN($C$115:F115))</f>
        <v>1051783.17938609</v>
      </c>
      <c r="G116" s="40" t="n">
        <f aca="false">-MIN(0,MIN($C$115:G115))</f>
        <v>1099075.95764842</v>
      </c>
      <c r="H116" s="40" t="n">
        <f aca="false">-MIN(0,MIN($C$115:H115))</f>
        <v>1099075.95764842</v>
      </c>
      <c r="I116" s="40" t="n">
        <f aca="false">-MIN(0,MIN($C$115:I115))</f>
        <v>1099075.95764842</v>
      </c>
      <c r="J116" s="40" t="n">
        <f aca="false">-MIN(0,MIN($C$115:J115))</f>
        <v>1099075.95764842</v>
      </c>
      <c r="K116" s="40" t="n">
        <f aca="false">-MIN(0,MIN($C$115:K115))</f>
        <v>2333729.45004913</v>
      </c>
      <c r="L116" s="40" t="n">
        <f aca="false">-MIN(0,MIN($C$115:L115))</f>
        <v>2333729.45004913</v>
      </c>
      <c r="M116" s="40" t="n">
        <f aca="false">-MIN(0,MIN($C$115:M115))</f>
        <v>2333729.45004913</v>
      </c>
      <c r="N116" s="40" t="n">
        <f aca="false">-MIN(0,MIN($C$115:N115))</f>
        <v>2333729.45004913</v>
      </c>
      <c r="O116" s="11" t="n">
        <f aca="false">MAX(C116:N116)</f>
        <v>2333729.45004913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-27294.0668154219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-0.00450743660495534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-927294.066815422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2333729.45004913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666270.549950868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43345.0863768122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247664.713618925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7.38880258760784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88.665631051294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418326.840516047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-1999842.80740101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1099075.95764842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139442.280172016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2102125.84051605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1589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1.625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56875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56875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56875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56875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56875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56875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56875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56875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56875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169000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169000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169000</v>
      </c>
      <c r="O94" s="40" t="n">
        <f aca="false">SUM(C94:N94)</f>
        <v>1018875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308708</v>
      </c>
      <c r="D102" s="40" t="n">
        <f aca="false">D92+SUM(D94:D101)</f>
        <v>323708</v>
      </c>
      <c r="E102" s="40" t="n">
        <f aca="false">E92+SUM(E94:E101)</f>
        <v>513708</v>
      </c>
      <c r="F102" s="40" t="n">
        <f aca="false">F92+SUM(F94:F101)</f>
        <v>373708</v>
      </c>
      <c r="G102" s="40" t="n">
        <f aca="false">G92+SUM(G94:G101)</f>
        <v>391708</v>
      </c>
      <c r="H102" s="40" t="n">
        <f aca="false">H92+SUM(H94:H101)</f>
        <v>391708</v>
      </c>
      <c r="I102" s="40" t="n">
        <f aca="false">I92+SUM(I94:I101)</f>
        <v>391708</v>
      </c>
      <c r="J102" s="40" t="n">
        <f aca="false">J92+SUM(J94:J101)</f>
        <v>391708</v>
      </c>
      <c r="K102" s="40" t="n">
        <f aca="false">K92+SUM(K94:K101)</f>
        <v>396708</v>
      </c>
      <c r="L102" s="40" t="n">
        <f aca="false">L92+SUM(L94:L101)</f>
        <v>612933</v>
      </c>
      <c r="M102" s="40" t="n">
        <f aca="false">M92+SUM(M94:M101)</f>
        <v>632933</v>
      </c>
      <c r="N102" s="40" t="n">
        <f aca="false">N92+SUM(N94:N101)</f>
        <v>632933</v>
      </c>
      <c r="O102" s="11" t="n">
        <f aca="false">SUM(C102:N102)</f>
        <v>5362171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-221306.846949089</v>
      </c>
      <c r="D103" s="40" t="n">
        <f aca="false">D78-D102</f>
        <v>-201288.933075441</v>
      </c>
      <c r="E103" s="40" t="n">
        <f aca="false">E78-E102</f>
        <v>-310018.711470079</v>
      </c>
      <c r="F103" s="40" t="n">
        <f aca="false">F78-F102</f>
        <v>-90961.1106493325</v>
      </c>
      <c r="G103" s="40" t="n">
        <f aca="false">G78-G102</f>
        <v>-60736.8163104748</v>
      </c>
      <c r="H103" s="40" t="n">
        <f aca="false">H78-H102</f>
        <v>-9002.0214640036</v>
      </c>
      <c r="I103" s="40" t="n">
        <f aca="false">I78-I102</f>
        <v>22572.38232953</v>
      </c>
      <c r="J103" s="40" t="n">
        <f aca="false">J78-J102</f>
        <v>18312.1252153426</v>
      </c>
      <c r="K103" s="40" t="n">
        <f aca="false">K78-K102</f>
        <v>25331.2290507437</v>
      </c>
      <c r="L103" s="40" t="n">
        <f aca="false">L78-L102</f>
        <v>64097.4741367617</v>
      </c>
      <c r="M103" s="40" t="n">
        <f aca="false">M78-M102</f>
        <v>62937.2203804541</v>
      </c>
      <c r="N103" s="40" t="n">
        <f aca="false">N78-N102</f>
        <v>26307.5888266742</v>
      </c>
      <c r="O103" s="11" t="n">
        <f aca="false">SUM(C103:N103)</f>
        <v>-673756.419978914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-1.85750572434553</v>
      </c>
      <c r="D104" s="8" t="n">
        <f aca="false">IFERROR(D103/D66,0)</f>
        <v>-1.22233710710339</v>
      </c>
      <c r="E104" s="8" t="n">
        <f aca="false">IFERROR(E103/E66,0)</f>
        <v>-1.15376368076442</v>
      </c>
      <c r="F104" s="8" t="n">
        <f aca="false">IFERROR(F103/F66,0)</f>
        <v>-0.242470759779519</v>
      </c>
      <c r="G104" s="8" t="n">
        <f aca="false">IFERROR(G103/G66,0)</f>
        <v>-0.13623810156861</v>
      </c>
      <c r="H104" s="8" t="n">
        <f aca="false">IFERROR(H103/H66,0)</f>
        <v>-0.0174429275298557</v>
      </c>
      <c r="I104" s="8" t="n">
        <f aca="false">IFERROR(I103/I66,0)</f>
        <v>0.04056206144457</v>
      </c>
      <c r="J104" s="8" t="n">
        <f aca="false">IFERROR(J103/J66,0)</f>
        <v>0.0336296371253687</v>
      </c>
      <c r="K104" s="8" t="n">
        <f aca="false">IFERROR(K103/K66,0)</f>
        <v>0.0450679523521242</v>
      </c>
      <c r="L104" s="8" t="n">
        <f aca="false">IFERROR(L103/L66,0)</f>
        <v>0.0766293391622586</v>
      </c>
      <c r="M104" s="8" t="n">
        <f aca="false">IFERROR(M103/M66,0)</f>
        <v>0.0733522398901379</v>
      </c>
      <c r="N104" s="8" t="n">
        <f aca="false">IFERROR(N103/N66,0)</f>
        <v>0.0325498200259933</v>
      </c>
      <c r="O104" s="8" t="n">
        <f aca="false">IFERROR(O103/O66,0)</f>
        <v>-0.111266465740484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-296306.846949089</v>
      </c>
      <c r="D105" s="10" t="n">
        <f aca="false">D103-INDEX(Assumptions!$C$204:$E$204,$B$3)</f>
        <v>-276288.933075441</v>
      </c>
      <c r="E105" s="10" t="n">
        <f aca="false">E103-INDEX(Assumptions!$C$204:$E$204,$B$3)</f>
        <v>-385018.711470079</v>
      </c>
      <c r="F105" s="10" t="n">
        <f aca="false">F103-INDEX(Assumptions!$C$204:$E$204,$B$3)</f>
        <v>-165961.110649333</v>
      </c>
      <c r="G105" s="10" t="n">
        <f aca="false">G103-INDEX(Assumptions!$C$204:$E$204,$B$3)</f>
        <v>-135736.816310475</v>
      </c>
      <c r="H105" s="10" t="n">
        <f aca="false">H103-INDEX(Assumptions!$C$204:$E$204,$B$3)</f>
        <v>-84002.0214640036</v>
      </c>
      <c r="I105" s="10" t="n">
        <f aca="false">I103-INDEX(Assumptions!$C$204:$E$204,$B$3)</f>
        <v>-52427.61767047</v>
      </c>
      <c r="J105" s="10" t="n">
        <f aca="false">J103-INDEX(Assumptions!$C$204:$E$204,$B$3)</f>
        <v>-56687.8747846574</v>
      </c>
      <c r="K105" s="10" t="n">
        <f aca="false">K103-INDEX(Assumptions!$C$204:$E$204,$B$3)</f>
        <v>-49668.7709492563</v>
      </c>
      <c r="L105" s="10" t="n">
        <f aca="false">L103-INDEX(Assumptions!$C$204:$E$204,$B$3)</f>
        <v>-10902.5258632383</v>
      </c>
      <c r="M105" s="10" t="n">
        <f aca="false">M103-INDEX(Assumptions!$C$204:$E$204,$B$3)</f>
        <v>-12062.7796195459</v>
      </c>
      <c r="N105" s="10" t="n">
        <f aca="false">N103-INDEX(Assumptions!$C$204:$E$204,$B$3)</f>
        <v>-48692.4111733259</v>
      </c>
      <c r="O105" s="40" t="n">
        <f aca="false">SUM(C105:N105)</f>
        <v>-1573756.41997891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507000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507000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1667000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1917000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-415340.745254174</v>
      </c>
      <c r="D114" s="40" t="n">
        <f aca="false">D103+D113-D112</f>
        <v>-213303.926719509</v>
      </c>
      <c r="E114" s="40" t="n">
        <f aca="false">E103+E113-E112</f>
        <v>-433536.06295313</v>
      </c>
      <c r="F114" s="40" t="n">
        <f aca="false">F103+F113-F112</f>
        <v>-125056.731623909</v>
      </c>
      <c r="G114" s="40" t="n">
        <f aca="false">G103+G113-G112</f>
        <v>-92873.4264799663</v>
      </c>
      <c r="H114" s="40" t="n">
        <f aca="false">H103+H113-H112</f>
        <v>-31558.9197690883</v>
      </c>
      <c r="I114" s="40" t="n">
        <f aca="false">I103+I113-I112</f>
        <v>15504.9163932003</v>
      </c>
      <c r="J114" s="40" t="n">
        <f aca="false">J103+J113-J112</f>
        <v>36668.0556809471</v>
      </c>
      <c r="K114" s="40" t="n">
        <f aca="false">K103+K113-K112</f>
        <v>-1650710.40531484</v>
      </c>
      <c r="L114" s="40" t="n">
        <f aca="false">L103+L113-L112</f>
        <v>-52987.3236938175</v>
      </c>
      <c r="M114" s="40" t="n">
        <f aca="false">M103+M113-M112</f>
        <v>61937.7722534452</v>
      </c>
      <c r="N114" s="40" t="n">
        <f aca="false">N103+N113-N112</f>
        <v>59951.6369163364</v>
      </c>
      <c r="O114" s="11" t="n">
        <f aca="false">SUM(C114:N114)</f>
        <v>-2841305.1605645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-415340.745254174</v>
      </c>
      <c r="D115" s="40" t="n">
        <f aca="false">C115+D114</f>
        <v>-628644.671973683</v>
      </c>
      <c r="E115" s="40" t="n">
        <f aca="false">D115+E114</f>
        <v>-1062180.73492681</v>
      </c>
      <c r="F115" s="40" t="n">
        <f aca="false">E115+F114</f>
        <v>-1187237.46655072</v>
      </c>
      <c r="G115" s="40" t="n">
        <f aca="false">F115+G114</f>
        <v>-1280110.89303069</v>
      </c>
      <c r="H115" s="40" t="n">
        <f aca="false">G115+H114</f>
        <v>-1311669.81279978</v>
      </c>
      <c r="I115" s="40" t="n">
        <f aca="false">H115+I114</f>
        <v>-1296164.89640658</v>
      </c>
      <c r="J115" s="40" t="n">
        <f aca="false">I115+J114</f>
        <v>-1259496.84072563</v>
      </c>
      <c r="K115" s="40" t="n">
        <f aca="false">J115+K114</f>
        <v>-2910207.24604047</v>
      </c>
      <c r="L115" s="40" t="n">
        <f aca="false">K115+L114</f>
        <v>-2963194.56973428</v>
      </c>
      <c r="M115" s="40" t="n">
        <f aca="false">L115+M114</f>
        <v>-2901256.79748084</v>
      </c>
      <c r="N115" s="40" t="n">
        <f aca="false">M115+N114</f>
        <v>-2841305.1605645</v>
      </c>
      <c r="O115" s="11" t="n">
        <f aca="false">N115</f>
        <v>-2841305.1605645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415340.745254174</v>
      </c>
      <c r="D116" s="40" t="n">
        <f aca="false">-MIN(0,MIN($C$115:D115))</f>
        <v>628644.671973683</v>
      </c>
      <c r="E116" s="40" t="n">
        <f aca="false">-MIN(0,MIN($C$115:E115))</f>
        <v>1062180.73492681</v>
      </c>
      <c r="F116" s="40" t="n">
        <f aca="false">-MIN(0,MIN($C$115:F115))</f>
        <v>1187237.46655072</v>
      </c>
      <c r="G116" s="40" t="n">
        <f aca="false">-MIN(0,MIN($C$115:G115))</f>
        <v>1280110.89303069</v>
      </c>
      <c r="H116" s="40" t="n">
        <f aca="false">-MIN(0,MIN($C$115:H115))</f>
        <v>1311669.81279978</v>
      </c>
      <c r="I116" s="40" t="n">
        <f aca="false">-MIN(0,MIN($C$115:I115))</f>
        <v>1311669.81279978</v>
      </c>
      <c r="J116" s="40" t="n">
        <f aca="false">-MIN(0,MIN($C$115:J115))</f>
        <v>1311669.81279978</v>
      </c>
      <c r="K116" s="40" t="n">
        <f aca="false">-MIN(0,MIN($C$115:K115))</f>
        <v>2910207.24604047</v>
      </c>
      <c r="L116" s="40" t="n">
        <f aca="false">-MIN(0,MIN($C$115:L115))</f>
        <v>2963194.56973428</v>
      </c>
      <c r="M116" s="40" t="n">
        <f aca="false">-MIN(0,MIN($C$115:M115))</f>
        <v>2963194.56973428</v>
      </c>
      <c r="N116" s="40" t="n">
        <f aca="false">-MIN(0,MIN($C$115:N115))</f>
        <v>2963194.56973428</v>
      </c>
      <c r="O116" s="11" t="n">
        <f aca="false">MAX(C116:N116)</f>
        <v>2963194.56973428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-673756.419978914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-0.111266465740484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-1573756.41997891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1917000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2963194.56973428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36805.4302657153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632933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9.37267617027029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112.472114043243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153342.28334389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-2841305.1605645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1311669.81279978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51114.0944479633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1590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0.5875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20562.5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20562.5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20562.5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20562.5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20562.5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20562.5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20562.5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20562.5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20562.5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61100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61100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61100</v>
      </c>
      <c r="O94" s="40" t="n">
        <f aca="false">SUM(C94:N94)</f>
        <v>368362.5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272395.5</v>
      </c>
      <c r="D102" s="40" t="n">
        <f aca="false">D92+SUM(D94:D101)</f>
        <v>287395.5</v>
      </c>
      <c r="E102" s="40" t="n">
        <f aca="false">E92+SUM(E94:E101)</f>
        <v>477395.5</v>
      </c>
      <c r="F102" s="40" t="n">
        <f aca="false">F92+SUM(F94:F101)</f>
        <v>337395.5</v>
      </c>
      <c r="G102" s="40" t="n">
        <f aca="false">G92+SUM(G94:G101)</f>
        <v>355395.5</v>
      </c>
      <c r="H102" s="40" t="n">
        <f aca="false">H92+SUM(H94:H101)</f>
        <v>355395.5</v>
      </c>
      <c r="I102" s="40" t="n">
        <f aca="false">I92+SUM(I94:I101)</f>
        <v>355395.5</v>
      </c>
      <c r="J102" s="40" t="n">
        <f aca="false">J92+SUM(J94:J101)</f>
        <v>355395.5</v>
      </c>
      <c r="K102" s="40" t="n">
        <f aca="false">K92+SUM(K94:K101)</f>
        <v>360395.5</v>
      </c>
      <c r="L102" s="40" t="n">
        <f aca="false">L92+SUM(L94:L101)</f>
        <v>505033</v>
      </c>
      <c r="M102" s="40" t="n">
        <f aca="false">M92+SUM(M94:M101)</f>
        <v>525033</v>
      </c>
      <c r="N102" s="40" t="n">
        <f aca="false">N92+SUM(N94:N101)</f>
        <v>525033</v>
      </c>
      <c r="O102" s="11" t="n">
        <f aca="false">SUM(C102:N102)</f>
        <v>4711658.5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-184994.346949089</v>
      </c>
      <c r="D103" s="40" t="n">
        <f aca="false">D78-D102</f>
        <v>-164976.433075441</v>
      </c>
      <c r="E103" s="40" t="n">
        <f aca="false">E78-E102</f>
        <v>-273706.211470079</v>
      </c>
      <c r="F103" s="40" t="n">
        <f aca="false">F78-F102</f>
        <v>-54648.6106493325</v>
      </c>
      <c r="G103" s="40" t="n">
        <f aca="false">G78-G102</f>
        <v>-24424.3163104748</v>
      </c>
      <c r="H103" s="40" t="n">
        <f aca="false">H78-H102</f>
        <v>27310.4785359964</v>
      </c>
      <c r="I103" s="40" t="n">
        <f aca="false">I78-I102</f>
        <v>58884.88232953</v>
      </c>
      <c r="J103" s="40" t="n">
        <f aca="false">J78-J102</f>
        <v>54624.6252153426</v>
      </c>
      <c r="K103" s="40" t="n">
        <f aca="false">K78-K102</f>
        <v>61643.7290507437</v>
      </c>
      <c r="L103" s="40" t="n">
        <f aca="false">L78-L102</f>
        <v>171997.474136762</v>
      </c>
      <c r="M103" s="40" t="n">
        <f aca="false">M78-M102</f>
        <v>170837.220380454</v>
      </c>
      <c r="N103" s="40" t="n">
        <f aca="false">N78-N102</f>
        <v>134207.588826674</v>
      </c>
      <c r="O103" s="11" t="n">
        <f aca="false">SUM(C103:N103)</f>
        <v>-23243.9199789141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-1.55272221879582</v>
      </c>
      <c r="D104" s="8" t="n">
        <f aca="false">IFERROR(D103/D66,0)</f>
        <v>-1.00182763584966</v>
      </c>
      <c r="E104" s="8" t="n">
        <f aca="false">IFERROR(E103/E66,0)</f>
        <v>-1.01862330985232</v>
      </c>
      <c r="F104" s="8" t="n">
        <f aca="false">IFERROR(F103/F66,0)</f>
        <v>-0.145674234301315</v>
      </c>
      <c r="G104" s="8" t="n">
        <f aca="false">IFERROR(G103/G66,0)</f>
        <v>-0.0547859220878597</v>
      </c>
      <c r="H104" s="8" t="n">
        <f aca="false">IFERROR(H103/H66,0)</f>
        <v>0.0529186360878993</v>
      </c>
      <c r="I104" s="8" t="n">
        <f aca="false">IFERROR(I103/I66,0)</f>
        <v>0.105814804141518</v>
      </c>
      <c r="J104" s="8" t="n">
        <f aca="false">IFERROR(J103/J66,0)</f>
        <v>0.1003163915984</v>
      </c>
      <c r="K104" s="8" t="n">
        <f aca="false">IFERROR(K103/K66,0)</f>
        <v>0.109673187909712</v>
      </c>
      <c r="L104" s="8" t="n">
        <f aca="false">IFERROR(L103/L66,0)</f>
        <v>0.205625150728343</v>
      </c>
      <c r="M104" s="8" t="n">
        <f aca="false">IFERROR(M103/M66,0)</f>
        <v>0.199107820392449</v>
      </c>
      <c r="N104" s="8" t="n">
        <f aca="false">IFERROR(N103/N66,0)</f>
        <v>0.166052194718866</v>
      </c>
      <c r="O104" s="8" t="n">
        <f aca="false">IFERROR(O103/O66,0)</f>
        <v>-0.00383858134678603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-259994.346949089</v>
      </c>
      <c r="D105" s="10" t="n">
        <f aca="false">D103-INDEX(Assumptions!$C$204:$E$204,$B$3)</f>
        <v>-239976.433075441</v>
      </c>
      <c r="E105" s="10" t="n">
        <f aca="false">E103-INDEX(Assumptions!$C$204:$E$204,$B$3)</f>
        <v>-348706.211470079</v>
      </c>
      <c r="F105" s="10" t="n">
        <f aca="false">F103-INDEX(Assumptions!$C$204:$E$204,$B$3)</f>
        <v>-129648.610649333</v>
      </c>
      <c r="G105" s="10" t="n">
        <f aca="false">G103-INDEX(Assumptions!$C$204:$E$204,$B$3)</f>
        <v>-99424.3163104748</v>
      </c>
      <c r="H105" s="10" t="n">
        <f aca="false">H103-INDEX(Assumptions!$C$204:$E$204,$B$3)</f>
        <v>-47689.5214640036</v>
      </c>
      <c r="I105" s="10" t="n">
        <f aca="false">I103-INDEX(Assumptions!$C$204:$E$204,$B$3)</f>
        <v>-16115.11767047</v>
      </c>
      <c r="J105" s="10" t="n">
        <f aca="false">J103-INDEX(Assumptions!$C$204:$E$204,$B$3)</f>
        <v>-20375.3747846574</v>
      </c>
      <c r="K105" s="10" t="n">
        <f aca="false">K103-INDEX(Assumptions!$C$204:$E$204,$B$3)</f>
        <v>-13356.2709492563</v>
      </c>
      <c r="L105" s="10" t="n">
        <f aca="false">L103-INDEX(Assumptions!$C$204:$E$204,$B$3)</f>
        <v>96997.4741367617</v>
      </c>
      <c r="M105" s="10" t="n">
        <f aca="false">M103-INDEX(Assumptions!$C$204:$E$204,$B$3)</f>
        <v>95837.2203804541</v>
      </c>
      <c r="N105" s="10" t="n">
        <f aca="false">N103-INDEX(Assumptions!$C$204:$E$204,$B$3)</f>
        <v>59207.5888266742</v>
      </c>
      <c r="O105" s="40" t="n">
        <f aca="false">SUM(C105:N105)</f>
        <v>-923243.919978914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183300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183300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1343300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1593300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-379028.245254174</v>
      </c>
      <c r="D114" s="40" t="n">
        <f aca="false">D103+D113-D112</f>
        <v>-176991.426719509</v>
      </c>
      <c r="E114" s="40" t="n">
        <f aca="false">E103+E113-E112</f>
        <v>-397223.56295313</v>
      </c>
      <c r="F114" s="40" t="n">
        <f aca="false">F103+F113-F112</f>
        <v>-88744.2316239088</v>
      </c>
      <c r="G114" s="40" t="n">
        <f aca="false">G103+G113-G112</f>
        <v>-56560.9264799663</v>
      </c>
      <c r="H114" s="40" t="n">
        <f aca="false">H103+H113-H112</f>
        <v>4753.58023091167</v>
      </c>
      <c r="I114" s="40" t="n">
        <f aca="false">I103+I113-I112</f>
        <v>51817.4163932003</v>
      </c>
      <c r="J114" s="40" t="n">
        <f aca="false">J103+J113-J112</f>
        <v>72980.5556809471</v>
      </c>
      <c r="K114" s="40" t="n">
        <f aca="false">K103+K113-K112</f>
        <v>-1290697.90531484</v>
      </c>
      <c r="L114" s="40" t="n">
        <f aca="false">L103+L113-L112</f>
        <v>54912.6763061825</v>
      </c>
      <c r="M114" s="40" t="n">
        <f aca="false">M103+M113-M112</f>
        <v>169837.772253445</v>
      </c>
      <c r="N114" s="40" t="n">
        <f aca="false">N103+N113-N112</f>
        <v>167851.636916336</v>
      </c>
      <c r="O114" s="11" t="n">
        <f aca="false">SUM(C114:N114)</f>
        <v>-1867092.6605645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-379028.245254174</v>
      </c>
      <c r="D115" s="40" t="n">
        <f aca="false">C115+D114</f>
        <v>-556019.671973683</v>
      </c>
      <c r="E115" s="40" t="n">
        <f aca="false">D115+E114</f>
        <v>-953243.234926813</v>
      </c>
      <c r="F115" s="40" t="n">
        <f aca="false">E115+F114</f>
        <v>-1041987.46655072</v>
      </c>
      <c r="G115" s="40" t="n">
        <f aca="false">F115+G114</f>
        <v>-1098548.39303069</v>
      </c>
      <c r="H115" s="40" t="n">
        <f aca="false">G115+H114</f>
        <v>-1093794.81279978</v>
      </c>
      <c r="I115" s="40" t="n">
        <f aca="false">H115+I114</f>
        <v>-1041977.39640658</v>
      </c>
      <c r="J115" s="40" t="n">
        <f aca="false">I115+J114</f>
        <v>-968996.840725629</v>
      </c>
      <c r="K115" s="40" t="n">
        <f aca="false">J115+K114</f>
        <v>-2259694.74604047</v>
      </c>
      <c r="L115" s="40" t="n">
        <f aca="false">K115+L114</f>
        <v>-2204782.06973428</v>
      </c>
      <c r="M115" s="40" t="n">
        <f aca="false">L115+M114</f>
        <v>-2034944.29748084</v>
      </c>
      <c r="N115" s="40" t="n">
        <f aca="false">M115+N114</f>
        <v>-1867092.6605645</v>
      </c>
      <c r="O115" s="11" t="n">
        <f aca="false">N115</f>
        <v>-1867092.6605645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379028.245254174</v>
      </c>
      <c r="D116" s="40" t="n">
        <f aca="false">-MIN(0,MIN($C$115:D115))</f>
        <v>556019.671973683</v>
      </c>
      <c r="E116" s="40" t="n">
        <f aca="false">-MIN(0,MIN($C$115:E115))</f>
        <v>953243.234926813</v>
      </c>
      <c r="F116" s="40" t="n">
        <f aca="false">-MIN(0,MIN($C$115:F115))</f>
        <v>1041987.46655072</v>
      </c>
      <c r="G116" s="40" t="n">
        <f aca="false">-MIN(0,MIN($C$115:G115))</f>
        <v>1098548.39303069</v>
      </c>
      <c r="H116" s="40" t="n">
        <f aca="false">-MIN(0,MIN($C$115:H115))</f>
        <v>1098548.39303069</v>
      </c>
      <c r="I116" s="40" t="n">
        <f aca="false">-MIN(0,MIN($C$115:I115))</f>
        <v>1098548.39303069</v>
      </c>
      <c r="J116" s="40" t="n">
        <f aca="false">-MIN(0,MIN($C$115:J115))</f>
        <v>1098548.39303069</v>
      </c>
      <c r="K116" s="40" t="n">
        <f aca="false">-MIN(0,MIN($C$115:K115))</f>
        <v>2259694.74604047</v>
      </c>
      <c r="L116" s="40" t="n">
        <f aca="false">-MIN(0,MIN($C$115:L115))</f>
        <v>2259694.74604047</v>
      </c>
      <c r="M116" s="40" t="n">
        <f aca="false">-MIN(0,MIN($C$115:M115))</f>
        <v>2259694.74604047</v>
      </c>
      <c r="N116" s="40" t="n">
        <f aca="false">-MIN(0,MIN($C$115:N115))</f>
        <v>2259694.74604047</v>
      </c>
      <c r="O116" s="11" t="n">
        <f aca="false">MAX(C116:N116)</f>
        <v>2259694.74604047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-23243.9199789141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-0.00383858134678603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-923243.919978914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1593300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2259694.74604047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740305.253959533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525033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6.79972120758648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81.5966544910378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477042.28334389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-1867092.6605645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1098548.39303069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159014.094447963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1591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0.7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10500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10500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28000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35000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42000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42000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42000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42000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42000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56000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70000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70000</v>
      </c>
      <c r="O18" s="40" t="n">
        <f aca="false">SUM(C18:N18)</f>
        <v>490000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0.63</v>
      </c>
      <c r="D21" s="16" t="n">
        <f aca="false">D18*INDEX(Assumptions!$C$119:$E$119,$B$3)/D19</f>
        <v>0.63</v>
      </c>
      <c r="E21" s="16" t="n">
        <f aca="false">E18*INDEX(Assumptions!$C$119:$E$119,$B$3)/E19</f>
        <v>1.68</v>
      </c>
      <c r="F21" s="16" t="n">
        <f aca="false">F18*INDEX(Assumptions!$C$119:$E$119,$B$3)/F19</f>
        <v>2.1</v>
      </c>
      <c r="G21" s="16" t="n">
        <f aca="false">G18*INDEX(Assumptions!$C$119:$E$119,$B$3)/G19</f>
        <v>2.52</v>
      </c>
      <c r="H21" s="16" t="n">
        <f aca="false">H18*INDEX(Assumptions!$C$119:$E$119,$B$3)/H19</f>
        <v>2.52</v>
      </c>
      <c r="I21" s="16" t="n">
        <f aca="false">I18*INDEX(Assumptions!$C$119:$E$119,$B$3)/I19</f>
        <v>2.52</v>
      </c>
      <c r="J21" s="16" t="n">
        <f aca="false">J18*INDEX(Assumptions!$C$119:$E$119,$B$3)/J19</f>
        <v>2.52</v>
      </c>
      <c r="K21" s="16" t="n">
        <f aca="false">K18*INDEX(Assumptions!$C$119:$E$119,$B$3)/K19</f>
        <v>2.52</v>
      </c>
      <c r="L21" s="16" t="n">
        <f aca="false">L18*INDEX(Assumptions!$C$119:$E$119,$B$3)/L19</f>
        <v>3.36</v>
      </c>
      <c r="M21" s="16" t="n">
        <f aca="false">M18*INDEX(Assumptions!$C$119:$E$119,$B$3)/M19</f>
        <v>4.2</v>
      </c>
      <c r="N21" s="16" t="n">
        <f aca="false">N18*INDEX(Assumptions!$C$119:$E$119,$B$3)/N19</f>
        <v>4.2</v>
      </c>
      <c r="O21" s="38" t="n">
        <f aca="false">SUM(C21:N21)</f>
        <v>29.4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2.3172</v>
      </c>
      <c r="E24" s="38" t="n">
        <f aca="false">E10*(E14*$F$3+(E15-E14)*$F$3*E20+MIN(E16,E21*E20))*E22*E23</f>
        <v>3.276</v>
      </c>
      <c r="F24" s="38" t="n">
        <f aca="false">F10*(F14*$F$3+(F15-F14)*$F$3*F20+MIN(F16,F21*F20))*F22*F23</f>
        <v>4.28</v>
      </c>
      <c r="G24" s="38" t="n">
        <f aca="false">G10*(G14*$F$3+(G15-G14)*$F$3*G20+MIN(G16,G21*G20))*G22*G23</f>
        <v>5.418</v>
      </c>
      <c r="H24" s="38" t="n">
        <f aca="false">H10*(H14*$F$3+(H15-H14)*$F$3*H20+MIN(H16,H21*H20))*H22*H23</f>
        <v>6.27</v>
      </c>
      <c r="I24" s="38" t="n">
        <f aca="false">I10*(I14*$F$3+(I15-I14)*$F$3*I20+MIN(I16,I21*I20))*I22*I23</f>
        <v>8.476</v>
      </c>
      <c r="J24" s="38" t="n">
        <f aca="false">J10*(J14*$F$3+(J15-J14)*$F$3*J20+MIN(J16,J21*J20))*J22*J23</f>
        <v>8.802</v>
      </c>
      <c r="K24" s="38" t="n">
        <f aca="false">K10*(K14*$F$3+(K15-K14)*$F$3*K20+MIN(K16,K21*K20))*K22*K23</f>
        <v>8.15</v>
      </c>
      <c r="L24" s="38" t="n">
        <f aca="false">L10*(L14*$F$3+(L15-L14)*$F$3*L20+MIN(L16,L21*L20))*L22*L23</f>
        <v>8.096</v>
      </c>
      <c r="M24" s="38" t="n">
        <f aca="false">M10*(M14*$F$3+(M15-M14)*$F$3*M20+MIN(M16,M21*M20))*M22*M23</f>
        <v>8.61</v>
      </c>
      <c r="N24" s="38" t="n">
        <f aca="false">N10*(N14*$F$3+(N15-N14)*$F$3*N20+MIN(N16,N21*N20))*N22*N23</f>
        <v>8.2</v>
      </c>
      <c r="O24" s="17" t="n">
        <f aca="false">SUM(C24:N24)</f>
        <v>73.8952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1.23</v>
      </c>
      <c r="O30" s="38" t="n">
        <f aca="false">SUM(C30:N30)</f>
        <v>7.23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2.83032</v>
      </c>
      <c r="F31" s="6" t="n">
        <f aca="false">E34+D34+E37+D37+1.25*E35</f>
        <v>3.873984</v>
      </c>
      <c r="G31" s="6" t="n">
        <f aca="false">F34+E34+F37+E37+1.25*F35</f>
        <v>5.204784</v>
      </c>
      <c r="H31" s="6" t="n">
        <f aca="false">G34+F34+G37+F37+1.25*G35</f>
        <v>6.72552</v>
      </c>
      <c r="I31" s="6" t="n">
        <f aca="false">H34+G34+H37+G37+1.25*H35</f>
        <v>8.17656</v>
      </c>
      <c r="J31" s="6" t="n">
        <f aca="false">I34+H34+I37+H37+1.25*I35</f>
        <v>10.25016</v>
      </c>
      <c r="K31" s="6" t="n">
        <f aca="false">J34+I34+J37+I37+1.25*J35</f>
        <v>10.8090129083665</v>
      </c>
      <c r="L31" s="6" t="n">
        <f aca="false">K34+J34+K37+J37+1.25*K35</f>
        <v>9.55252358395578</v>
      </c>
      <c r="M31" s="6" t="n">
        <f aca="false">L34+K34+L37+K37+1.25*L35</f>
        <v>12.7575536004025</v>
      </c>
      <c r="N31" s="6" t="n">
        <f aca="false">M34+L34+M37+L37+1.25*M35</f>
        <v>13.0220629248133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2.5572</v>
      </c>
      <c r="E32" s="6" t="n">
        <f aca="false">E24*(INDEX(Assumptions!$C$26:$E$26,$B$3)*(1-E28)+(1-INDEX(Assumptions!$C$26:$E$26,$B$3)))+1.25*E30+D36*INDEX(Assumptions!$C$89:$E$89,$B$3)</f>
        <v>3.554064</v>
      </c>
      <c r="F32" s="6" t="n">
        <f aca="false">F24*(INDEX(Assumptions!$C$26:$E$26,$B$3)*(1-F28)+(1-INDEX(Assumptions!$C$26:$E$26,$B$3)))+1.25*F30+E36*INDEX(Assumptions!$C$89:$E$89,$B$3)</f>
        <v>4.67312</v>
      </c>
      <c r="G32" s="6" t="n">
        <f aca="false">G24*(INDEX(Assumptions!$C$26:$E$26,$B$3)*(1-G28)+(1-INDEX(Assumptions!$C$26:$E$26,$B$3)))+1.25*G30+F36*INDEX(Assumptions!$C$89:$E$89,$B$3)</f>
        <v>5.9316</v>
      </c>
      <c r="H32" s="6" t="n">
        <f aca="false">H24*(INDEX(Assumptions!$C$26:$E$26,$B$3)*(1-H28)+(1-INDEX(Assumptions!$C$26:$E$26,$B$3)))+1.25*H30+G36*INDEX(Assumptions!$C$89:$E$89,$B$3)</f>
        <v>6.92016</v>
      </c>
      <c r="I32" s="6" t="n">
        <f aca="false">I24*(INDEX(Assumptions!$C$26:$E$26,$B$3)*(1-I28)+(1-INDEX(Assumptions!$C$26:$E$26,$B$3)))+1.25*I30+H36*INDEX(Assumptions!$C$89:$E$89,$B$3)</f>
        <v>9.2284</v>
      </c>
      <c r="J32" s="6" t="n">
        <f aca="false">J24*(INDEX(Assumptions!$C$26:$E$26,$B$3)*(1-J28)+(1-INDEX(Assumptions!$C$26:$E$26,$B$3)))+1.25*J30+I36*INDEX(Assumptions!$C$89:$E$89,$B$3)</f>
        <v>9.81912</v>
      </c>
      <c r="K32" s="6" t="n">
        <f aca="false">K24*(INDEX(Assumptions!$C$26:$E$26,$B$3)*(1-K28)+(1-INDEX(Assumptions!$C$26:$E$26,$B$3)))+1.25*K30+J36*INDEX(Assumptions!$C$89:$E$89,$B$3)</f>
        <v>8.98364812749004</v>
      </c>
      <c r="L32" s="6" t="n">
        <f aca="false">L24*(INDEX(Assumptions!$C$26:$E$26,$B$3)*(1-L28)+(1-INDEX(Assumptions!$C$26:$E$26,$B$3)))+1.25*L30+K36*INDEX(Assumptions!$C$89:$E$89,$B$3)</f>
        <v>11.4144429248133</v>
      </c>
      <c r="M32" s="6" t="n">
        <f aca="false">M24*(INDEX(Assumptions!$C$26:$E$26,$B$3)*(1-M28)+(1-INDEX(Assumptions!$C$26:$E$26,$B$3)))+1.25*M30+L36*INDEX(Assumptions!$C$89:$E$89,$B$3)</f>
        <v>12.04002</v>
      </c>
      <c r="N32" s="6" t="n">
        <f aca="false">N24*(INDEX(Assumptions!$C$26:$E$26,$B$3)*(1-N28)+(1-INDEX(Assumptions!$C$26:$E$26,$B$3)))+1.25*N30+M36*INDEX(Assumptions!$C$89:$E$89,$B$3)</f>
        <v>9.5407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0.789260137364652</v>
      </c>
      <c r="K33" s="8" t="n">
        <f aca="false">IF(K32&lt;=0,1,MAX(0,MIN(1,(K27-K31)/K32)))</f>
        <v>0.800452888357124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0.789260137364652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1.39032</v>
      </c>
      <c r="E34" s="38" t="n">
        <f aca="false">E24*INDEX(Assumptions!$C$26:$E$26,$B$3)*(1-E28)*E33</f>
        <v>1.9656</v>
      </c>
      <c r="F34" s="38" t="n">
        <f aca="false">F24*INDEX(Assumptions!$C$26:$E$26,$B$3)*(1-F28)*F33</f>
        <v>2.568</v>
      </c>
      <c r="G34" s="38" t="n">
        <f aca="false">G24*INDEX(Assumptions!$C$26:$E$26,$B$3)*(1-G28)*G33</f>
        <v>3.2508</v>
      </c>
      <c r="H34" s="38" t="n">
        <f aca="false">H24*INDEX(Assumptions!$C$26:$E$26,$B$3)*(1-H28)*H33</f>
        <v>3.762</v>
      </c>
      <c r="I34" s="38" t="n">
        <f aca="false">I24*INDEX(Assumptions!$C$26:$E$26,$B$3)*(1-I28)*I33</f>
        <v>5.0856</v>
      </c>
      <c r="J34" s="38" t="n">
        <f aca="false">J24*INDEX(Assumptions!$C$26:$E$26,$B$3)*(1-J28)*J33</f>
        <v>4.1682406374502</v>
      </c>
      <c r="K34" s="38" t="n">
        <f aca="false">K24*INDEX(Assumptions!$C$26:$E$26,$B$3)*(1-K28)*K33</f>
        <v>3.91421462406633</v>
      </c>
      <c r="L34" s="38" t="n">
        <f aca="false">L24*INDEX(Assumptions!$C$26:$E$26,$B$3)*(1-L28)*L33</f>
        <v>3.6432</v>
      </c>
      <c r="M34" s="38" t="n">
        <f aca="false">M24*INDEX(Assumptions!$C$26:$E$26,$B$3)*(1-M28)*M33</f>
        <v>3.8745</v>
      </c>
      <c r="N34" s="38" t="n">
        <f aca="false">N24*INDEX(Assumptions!$C$26:$E$26,$B$3)*(1-N28)*N33</f>
        <v>3.69</v>
      </c>
      <c r="O34" s="17" t="n">
        <f aca="false">SUM(C34:N34)</f>
        <v>38.5124752615165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1.23</v>
      </c>
      <c r="O35" s="38" t="n">
        <f aca="false">SUM(C35:N35)</f>
        <v>7.23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0.92688</v>
      </c>
      <c r="E36" s="16" t="n">
        <f aca="false">E24*(1-INDEX(Assumptions!$C$26:$E$26,$B$3))*E33</f>
        <v>1.3104</v>
      </c>
      <c r="F36" s="16" t="n">
        <f aca="false">F24*(1-INDEX(Assumptions!$C$26:$E$26,$B$3))*F33</f>
        <v>1.712</v>
      </c>
      <c r="G36" s="16" t="n">
        <f aca="false">G24*(1-INDEX(Assumptions!$C$26:$E$26,$B$3))*G33</f>
        <v>2.1672</v>
      </c>
      <c r="H36" s="16" t="n">
        <f aca="false">H24*(1-INDEX(Assumptions!$C$26:$E$26,$B$3))*H33</f>
        <v>2.508</v>
      </c>
      <c r="I36" s="16" t="n">
        <f aca="false">I24*(1-INDEX(Assumptions!$C$26:$E$26,$B$3))*I33</f>
        <v>3.3904</v>
      </c>
      <c r="J36" s="16" t="n">
        <f aca="false">J24*(1-INDEX(Assumptions!$C$26:$E$26,$B$3))*J33</f>
        <v>2.77882709163347</v>
      </c>
      <c r="K36" s="16" t="n">
        <f aca="false">K24*(1-INDEX(Assumptions!$C$26:$E$26,$B$3))*K33</f>
        <v>2.60947641604422</v>
      </c>
      <c r="L36" s="16" t="n">
        <f aca="false">L24*(1-INDEX(Assumptions!$C$26:$E$26,$B$3))*L33</f>
        <v>3.2384</v>
      </c>
      <c r="M36" s="16" t="n">
        <f aca="false">M24*(1-INDEX(Assumptions!$C$26:$E$26,$B$3))*M33</f>
        <v>3.444</v>
      </c>
      <c r="N36" s="16" t="n">
        <f aca="false">N24*(1-INDEX(Assumptions!$C$26:$E$26,$B$3))*N33</f>
        <v>3.28</v>
      </c>
      <c r="O36" s="38" t="n">
        <f aca="false">SUM(C36:N36)</f>
        <v>28.1655835076777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0.278064</v>
      </c>
      <c r="F37" s="16" t="n">
        <f aca="false">E36*INDEX(Assumptions!$C$89:$E$89,$B$3)*F33</f>
        <v>0.39312</v>
      </c>
      <c r="G37" s="16" t="n">
        <f aca="false">F36*INDEX(Assumptions!$C$89:$E$89,$B$3)*G33</f>
        <v>0.5136</v>
      </c>
      <c r="H37" s="16" t="n">
        <f aca="false">G36*INDEX(Assumptions!$C$89:$E$89,$B$3)*H33</f>
        <v>0.65016</v>
      </c>
      <c r="I37" s="16" t="n">
        <f aca="false">H36*INDEX(Assumptions!$C$89:$E$89,$B$3)*I33</f>
        <v>0.7524</v>
      </c>
      <c r="J37" s="16" t="n">
        <f aca="false">I36*INDEX(Assumptions!$C$89:$E$89,$B$3)*J33</f>
        <v>0.802772270916335</v>
      </c>
      <c r="K37" s="16" t="n">
        <f aca="false">J36*INDEX(Assumptions!$C$89:$E$89,$B$3)*K33</f>
        <v>0.66729605152291</v>
      </c>
      <c r="L37" s="16" t="n">
        <f aca="false">K36*INDEX(Assumptions!$C$89:$E$89,$B$3)*L33</f>
        <v>0.782842924813267</v>
      </c>
      <c r="M37" s="16" t="n">
        <f aca="false">L36*INDEX(Assumptions!$C$89:$E$89,$B$3)*M33</f>
        <v>0.97152</v>
      </c>
      <c r="N37" s="16" t="n">
        <f aca="false">M36*INDEX(Assumptions!$C$89:$E$89,$B$3)*N33</f>
        <v>1.0332</v>
      </c>
      <c r="O37" s="38" t="n">
        <f aca="false">SUM(C37:N37)</f>
        <v>7.08497524725251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2.3172</v>
      </c>
      <c r="E38" s="38" t="n">
        <f aca="false">E34+E35+E36</f>
        <v>3.276</v>
      </c>
      <c r="F38" s="38" t="n">
        <f aca="false">F34+F35+F36</f>
        <v>4.28</v>
      </c>
      <c r="G38" s="38" t="n">
        <f aca="false">G34+G35+G36</f>
        <v>5.418</v>
      </c>
      <c r="H38" s="38" t="n">
        <f aca="false">H34+H35+H36</f>
        <v>6.27</v>
      </c>
      <c r="I38" s="38" t="n">
        <f aca="false">I34+I35+I36</f>
        <v>8.476</v>
      </c>
      <c r="J38" s="38" t="n">
        <f aca="false">J34+J35+J36</f>
        <v>6.94706772908367</v>
      </c>
      <c r="K38" s="38" t="n">
        <f aca="false">K34+K35+K36</f>
        <v>6.52369104011056</v>
      </c>
      <c r="L38" s="38" t="n">
        <f aca="false">L34+L35+L36</f>
        <v>9.8816</v>
      </c>
      <c r="M38" s="38" t="n">
        <f aca="false">M34+M35+M36</f>
        <v>10.3185</v>
      </c>
      <c r="N38" s="38" t="n">
        <f aca="false">N34+N35+N36</f>
        <v>8.2</v>
      </c>
      <c r="O38" s="17" t="n">
        <f aca="false">SUM(C38:N38)</f>
        <v>73.9080587691942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2.3172</v>
      </c>
      <c r="E39" s="16" t="n">
        <f aca="false">IF(3&lt;IF($Q$3=1,$Q$4+1,INDEX(Assumptions!$C$215:$E$215,$D$3)),E24,E38)</f>
        <v>3.276</v>
      </c>
      <c r="F39" s="16" t="n">
        <f aca="false">IF(4&lt;IF($Q$3=1,$Q$4+1,INDEX(Assumptions!$C$215:$E$215,$D$3)),F24,F38)</f>
        <v>4.28</v>
      </c>
      <c r="G39" s="16" t="n">
        <f aca="false">IF(5&lt;IF($Q$3=1,$Q$4+1,INDEX(Assumptions!$C$215:$E$215,$D$3)),G24,G38)</f>
        <v>5.418</v>
      </c>
      <c r="H39" s="16" t="n">
        <f aca="false">IF(6&lt;IF($Q$3=1,$Q$4+1,INDEX(Assumptions!$C$215:$E$215,$D$3)),H24,H38)</f>
        <v>6.27</v>
      </c>
      <c r="I39" s="16" t="n">
        <f aca="false">IF(7&lt;IF($Q$3=1,$Q$4+1,INDEX(Assumptions!$C$215:$E$215,$D$3)),I24,I38)</f>
        <v>8.476</v>
      </c>
      <c r="J39" s="16" t="n">
        <f aca="false">IF(8&lt;IF($Q$3=1,$Q$4+1,INDEX(Assumptions!$C$215:$E$215,$D$3)),J24,J38)</f>
        <v>8.802</v>
      </c>
      <c r="K39" s="16" t="n">
        <f aca="false">IF(9&lt;IF($Q$3=1,$Q$4+1,INDEX(Assumptions!$C$215:$E$215,$D$3)),K24,K38)</f>
        <v>8.15</v>
      </c>
      <c r="L39" s="16" t="n">
        <f aca="false">IF(10&lt;IF($Q$3=1,$Q$4+1,INDEX(Assumptions!$C$215:$E$215,$D$3)),L24,L38)</f>
        <v>9.8816</v>
      </c>
      <c r="M39" s="16" t="n">
        <f aca="false">IF(11&lt;IF($Q$3=1,$Q$4+1,INDEX(Assumptions!$C$215:$E$215,$D$3)),M24,M38)</f>
        <v>10.3185</v>
      </c>
      <c r="N39" s="16" t="n">
        <f aca="false">IF(12&lt;IF($Q$3=1,$Q$4+1,INDEX(Assumptions!$C$215:$E$215,$D$3)),N24,N38)</f>
        <v>8.2</v>
      </c>
      <c r="O39" s="38" t="n">
        <f aca="false">SUM(C39:N39)</f>
        <v>77.3893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0.5793</v>
      </c>
      <c r="E40" s="16" t="n">
        <f aca="false">E38*INDEX(Assumptions!$C$74:$E$74,$B$3)</f>
        <v>0.819</v>
      </c>
      <c r="F40" s="16" t="n">
        <f aca="false">F38*INDEX(Assumptions!$C$74:$E$74,$B$3)</f>
        <v>1.07</v>
      </c>
      <c r="G40" s="16" t="n">
        <f aca="false">G38*INDEX(Assumptions!$C$74:$E$74,$B$3)</f>
        <v>1.3545</v>
      </c>
      <c r="H40" s="16" t="n">
        <f aca="false">H38*INDEX(Assumptions!$C$74:$E$74,$B$3)</f>
        <v>1.5675</v>
      </c>
      <c r="I40" s="16" t="n">
        <f aca="false">I38*INDEX(Assumptions!$C$74:$E$74,$B$3)</f>
        <v>2.119</v>
      </c>
      <c r="J40" s="16" t="n">
        <f aca="false">J38*INDEX(Assumptions!$C$74:$E$74,$B$3)</f>
        <v>1.73676693227092</v>
      </c>
      <c r="K40" s="16" t="n">
        <f aca="false">K38*INDEX(Assumptions!$C$74:$E$74,$B$3)</f>
        <v>1.63092276002764</v>
      </c>
      <c r="L40" s="16" t="n">
        <f aca="false">L38*INDEX(Assumptions!$C$74:$E$74,$B$3)</f>
        <v>2.4704</v>
      </c>
      <c r="M40" s="16" t="n">
        <f aca="false">M38*INDEX(Assumptions!$C$74:$E$74,$B$3)</f>
        <v>2.579625</v>
      </c>
      <c r="N40" s="16" t="n">
        <f aca="false">N38*INDEX(Assumptions!$C$74:$E$74,$B$3)</f>
        <v>2.05</v>
      </c>
      <c r="O40" s="38" t="n">
        <f aca="false">SUM(C40:N40)</f>
        <v>18.4770146922986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0.316575</v>
      </c>
      <c r="E41" s="16" t="n">
        <f aca="false">E10*MIN(E16,E21*E20)*E22*E23*E33</f>
        <v>1.176</v>
      </c>
      <c r="F41" s="16" t="n">
        <f aca="false">F10*MIN(F16,F21*F20)*F22*F23*F33</f>
        <v>1.68</v>
      </c>
      <c r="G41" s="16" t="n">
        <f aca="false">G10*MIN(G16,G21*G20)*G22*G23*G33</f>
        <v>2.268</v>
      </c>
      <c r="H41" s="16" t="n">
        <f aca="false">H10*MIN(H16,H21*H20)*H22*H23*H33</f>
        <v>2.52</v>
      </c>
      <c r="I41" s="16" t="n">
        <f aca="false">I10*MIN(I16,I21*I20)*I22*I23*I33</f>
        <v>3.276</v>
      </c>
      <c r="J41" s="16" t="n">
        <f aca="false">J10*MIN(J16,J21*J20)*J22*J23*J33</f>
        <v>2.68506298731455</v>
      </c>
      <c r="K41" s="16" t="n">
        <f aca="false">K10*MIN(K16,K21*K20)*K22*K23*K33</f>
        <v>2.52142659832494</v>
      </c>
      <c r="L41" s="16" t="n">
        <f aca="false">L10*MIN(L16,L21*L20)*L22*L23*L33</f>
        <v>3.696</v>
      </c>
      <c r="M41" s="16" t="n">
        <f aca="false">M10*MIN(M16,M21*M20)*M22*M23*M33</f>
        <v>4.41</v>
      </c>
      <c r="N41" s="16" t="n">
        <f aca="false">N10*MIN(N16,N21*N20)*N22*N23*N33</f>
        <v>4.2</v>
      </c>
      <c r="O41" s="38" t="n">
        <f aca="false">SUM(C41:N41)</f>
        <v>28.7490645856395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3.7572</v>
      </c>
      <c r="E42" s="6" t="n">
        <f aca="false">E31+E34+E37+E36+1.25*E35</f>
        <v>6.384384</v>
      </c>
      <c r="F42" s="6" t="n">
        <f aca="false">F31+F34+F37+F36+1.25*F35</f>
        <v>8.547104</v>
      </c>
      <c r="G42" s="6" t="n">
        <f aca="false">G31+G34+G37+G36+1.25*G35</f>
        <v>11.136384</v>
      </c>
      <c r="H42" s="6" t="n">
        <f aca="false">H31+H34+H37+H36+1.25*H35</f>
        <v>13.64568</v>
      </c>
      <c r="I42" s="6" t="n">
        <f aca="false">I31+I34+I37+I36+1.25*I35</f>
        <v>17.40496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20.966966508769</v>
      </c>
      <c r="M42" s="6" t="n">
        <f aca="false">M31+M34+M37+M36+1.25*M35</f>
        <v>24.7975736004025</v>
      </c>
      <c r="N42" s="6" t="n">
        <f aca="false">N31+N34+N37+N36+1.25*N35</f>
        <v>22.5627629248133</v>
      </c>
      <c r="O42" s="41" t="n">
        <f aca="false">AVERAGE(C42:N42)</f>
        <v>13.9335845861654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0.234825</v>
      </c>
      <c r="E43" s="39" t="n">
        <f aca="false">E42/(E25*E26)</f>
        <v>0.399024</v>
      </c>
      <c r="F43" s="39" t="n">
        <f aca="false">F42/(F25*F26)</f>
        <v>0.534194</v>
      </c>
      <c r="G43" s="39" t="n">
        <f aca="false">G42/(G25*G26)</f>
        <v>0.5568192</v>
      </c>
      <c r="H43" s="39" t="n">
        <f aca="false">H42/(H25*H26)</f>
        <v>0.682284</v>
      </c>
      <c r="I43" s="39" t="n">
        <f aca="false">I42/(I25*I26)</f>
        <v>0.870248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0.698898883625635</v>
      </c>
      <c r="M43" s="39" t="n">
        <f aca="false">M42/(M25*M26)</f>
        <v>0.826585786680084</v>
      </c>
      <c r="N43" s="39" t="n">
        <f aca="false">N42/(N25*N26)</f>
        <v>0.752092097493776</v>
      </c>
      <c r="O43" s="9" t="n">
        <f aca="false">N43</f>
        <v>0.752092097493776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2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2.17373358348968</v>
      </c>
      <c r="E48" s="6" t="n">
        <f aca="false">E24*INDEX(Assumptions!$C$31:$E$31,$B$3)/(INDEX(Assumptions!$C$56:$E$56,$B$3)*INDEX(Assumptions!$C$57:$E$57,$B$3)*INDEX(Assumptions!$C$58:$E$58,$B$3))</f>
        <v>3.07317073170732</v>
      </c>
      <c r="F48" s="6" t="n">
        <f aca="false">F24*INDEX(Assumptions!$C$31:$E$31,$B$3)/(INDEX(Assumptions!$C$56:$E$56,$B$3)*INDEX(Assumptions!$C$57:$E$57,$B$3)*INDEX(Assumptions!$C$58:$E$58,$B$3))</f>
        <v>4.01500938086304</v>
      </c>
      <c r="G48" s="6" t="n">
        <f aca="false">G24*INDEX(Assumptions!$C$31:$E$31,$B$3)/(INDEX(Assumptions!$C$56:$E$56,$B$3)*INDEX(Assumptions!$C$57:$E$57,$B$3)*INDEX(Assumptions!$C$58:$E$58,$B$3))</f>
        <v>5.08255159474672</v>
      </c>
      <c r="H48" s="6" t="n">
        <f aca="false">H24*INDEX(Assumptions!$C$31:$E$31,$B$3)/(INDEX(Assumptions!$C$56:$E$56,$B$3)*INDEX(Assumptions!$C$57:$E$57,$B$3)*INDEX(Assumptions!$C$58:$E$58,$B$3))</f>
        <v>5.88180112570356</v>
      </c>
      <c r="I48" s="6" t="n">
        <f aca="false">I24*INDEX(Assumptions!$C$31:$E$31,$B$3)/(INDEX(Assumptions!$C$56:$E$56,$B$3)*INDEX(Assumptions!$C$57:$E$57,$B$3)*INDEX(Assumptions!$C$58:$E$58,$B$3))</f>
        <v>7.95121951219512</v>
      </c>
      <c r="J48" s="6" t="n">
        <f aca="false">J24*INDEX(Assumptions!$C$31:$E$31,$B$3)/(INDEX(Assumptions!$C$56:$E$56,$B$3)*INDEX(Assumptions!$C$57:$E$57,$B$3)*INDEX(Assumptions!$C$58:$E$58,$B$3))</f>
        <v>8.25703564727955</v>
      </c>
      <c r="K48" s="6" t="n">
        <f aca="false">K24*INDEX(Assumptions!$C$31:$E$31,$B$3)/(INDEX(Assumptions!$C$56:$E$56,$B$3)*INDEX(Assumptions!$C$57:$E$57,$B$3)*INDEX(Assumptions!$C$58:$E$58,$B$3))</f>
        <v>7.64540337711069</v>
      </c>
      <c r="L48" s="6" t="n">
        <f aca="false">L24*INDEX(Assumptions!$C$31:$E$31,$B$3)/(INDEX(Assumptions!$C$56:$E$56,$B$3)*INDEX(Assumptions!$C$57:$E$57,$B$3)*INDEX(Assumptions!$C$58:$E$58,$B$3))</f>
        <v>7.59474671669794</v>
      </c>
      <c r="M48" s="6" t="n">
        <f aca="false">M24*INDEX(Assumptions!$C$31:$E$31,$B$3)/(INDEX(Assumptions!$C$56:$E$56,$B$3)*INDEX(Assumptions!$C$57:$E$57,$B$3)*INDEX(Assumptions!$C$58:$E$58,$B$3))</f>
        <v>8.07692307692308</v>
      </c>
      <c r="N48" s="6" t="n">
        <f aca="false">N24*INDEX(Assumptions!$C$31:$E$31,$B$3)/(INDEX(Assumptions!$C$56:$E$56,$B$3)*INDEX(Assumptions!$C$57:$E$57,$B$3)*INDEX(Assumptions!$C$58:$E$58,$B$3))</f>
        <v>7.69230769230769</v>
      </c>
      <c r="O48" s="41" t="n">
        <f aca="false">SUM(C48:N48)</f>
        <v>69.3200750469043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70694.2372881356</v>
      </c>
      <c r="E56" s="10" t="n">
        <f aca="false">E34*E53/(1+INDEX(Assumptions!$C$15:$E$15,$B$3)*$H$4)</f>
        <v>99945.7627118644</v>
      </c>
      <c r="F56" s="10" t="n">
        <f aca="false">F34*F53/(1+INDEX(Assumptions!$C$15:$E$15,$B$3)*$H$4)</f>
        <v>130576.271186441</v>
      </c>
      <c r="G56" s="10" t="n">
        <f aca="false">G34*G53/(1+INDEX(Assumptions!$C$15:$E$15,$B$3)*$H$4)</f>
        <v>165294.915254237</v>
      </c>
      <c r="H56" s="10" t="n">
        <f aca="false">H34*H53/(1+INDEX(Assumptions!$C$15:$E$15,$B$3)*$H$4)</f>
        <v>191288.13559322</v>
      </c>
      <c r="I56" s="10" t="n">
        <f aca="false">I34*I53/(1+INDEX(Assumptions!$C$15:$E$15,$B$3)*$H$4)</f>
        <v>258589.830508475</v>
      </c>
      <c r="J56" s="10" t="n">
        <f aca="false">J34*J53/(1+INDEX(Assumptions!$C$15:$E$15,$B$3)*$H$4)</f>
        <v>211944.439192383</v>
      </c>
      <c r="K56" s="10" t="n">
        <f aca="false">K34*K53/(1+INDEX(Assumptions!$C$15:$E$15,$B$3)*$H$4)</f>
        <v>199027.862240661</v>
      </c>
      <c r="L56" s="10" t="n">
        <f aca="false">L34*L53/(1+INDEX(Assumptions!$C$15:$E$15,$B$3)*$H$4)</f>
        <v>205830.508474576</v>
      </c>
      <c r="M56" s="10" t="n">
        <f aca="false">M34*M53/(1+INDEX(Assumptions!$C$15:$E$15,$B$3)*$H$4)</f>
        <v>218898.305084746</v>
      </c>
      <c r="N56" s="10" t="n">
        <f aca="false">N34*N53/(1+INDEX(Assumptions!$C$15:$E$15,$B$3)*$H$4)</f>
        <v>208474.576271186</v>
      </c>
      <c r="O56" s="40" t="n">
        <f aca="false">SUM(C56:N56)</f>
        <v>2021581.79295847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69491.5254237288</v>
      </c>
      <c r="O57" s="40" t="n">
        <f aca="false">SUM(C57:N57)</f>
        <v>408474.576271186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4736.51389830509</v>
      </c>
      <c r="F58" s="10" t="n">
        <f aca="false">F37*MAX(0,F53-INDEX(Assumptions!$C$18:$E$18,$B$3)*$H$3)/(1+INDEX(Assumptions!$C$15:$E$15,$B$3)*$H$4)</f>
        <v>6696.36610169492</v>
      </c>
      <c r="G58" s="10" t="n">
        <f aca="false">G37*MAX(0,G53-INDEX(Assumptions!$C$18:$E$18,$B$3)*$H$3)/(1+INDEX(Assumptions!$C$15:$E$15,$B$3)*$H$4)</f>
        <v>8748.61016949153</v>
      </c>
      <c r="H58" s="10" t="n">
        <f aca="false">H37*MAX(0,H53-INDEX(Assumptions!$C$18:$E$18,$B$3)*$H$3)/(1+INDEX(Assumptions!$C$15:$E$15,$B$3)*$H$4)</f>
        <v>11074.7593220339</v>
      </c>
      <c r="I58" s="10" t="n">
        <f aca="false">I37*MAX(0,I53-INDEX(Assumptions!$C$18:$E$18,$B$3)*$H$3)/(1+INDEX(Assumptions!$C$15:$E$15,$B$3)*$H$4)</f>
        <v>12816.3050847458</v>
      </c>
      <c r="J58" s="10" t="n">
        <f aca="false">J37*MAX(0,J53-INDEX(Assumptions!$C$18:$E$18,$B$3)*$H$3)/(1+INDEX(Assumptions!$C$15:$E$15,$B$3)*$H$4)</f>
        <v>13674.3412249308</v>
      </c>
      <c r="K58" s="10" t="n">
        <f aca="false">K37*MAX(0,K53-INDEX(Assumptions!$C$18:$E$18,$B$3)*$H$3)/(1+INDEX(Assumptions!$C$15:$E$15,$B$3)*$H$4)</f>
        <v>11366.6530810258</v>
      </c>
      <c r="L58" s="10" t="n">
        <f aca="false">L37*MAX(0,L53-INDEX(Assumptions!$C$18:$E$18,$B$3)*$H$3)/(1+INDEX(Assumptions!$C$15:$E$15,$B$3)*$H$4)</f>
        <v>17757.7081532501</v>
      </c>
      <c r="M58" s="10" t="n">
        <f aca="false">M37*MAX(0,M53-INDEX(Assumptions!$C$18:$E$18,$B$3)*$H$3)/(1+INDEX(Assumptions!$C$15:$E$15,$B$3)*$H$4)</f>
        <v>22037.586440678</v>
      </c>
      <c r="N58" s="10" t="n">
        <f aca="false">N37*MAX(0,N53-INDEX(Assumptions!$C$18:$E$18,$B$3)*$H$3)/(1+INDEX(Assumptions!$C$15:$E$15,$B$3)*$H$4)</f>
        <v>23436.7118644068</v>
      </c>
      <c r="O58" s="40" t="n">
        <f aca="false">SUM(C58:N58)</f>
        <v>136433.690933783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31341.1118644068</v>
      </c>
      <c r="E59" s="10" t="n">
        <f aca="false">E36*INDEX(Assumptions!$C$18:$E$18,$B$3)*$H$3/(1+INDEX(Assumptions!$C$15:$E$15,$B$3)*$H$4)</f>
        <v>44309.2881355932</v>
      </c>
      <c r="F59" s="10" t="n">
        <f aca="false">F36*INDEX(Assumptions!$C$18:$E$18,$B$3)*$H$3/(1+INDEX(Assumptions!$C$15:$E$15,$B$3)*$H$4)</f>
        <v>57888.813559322</v>
      </c>
      <c r="G59" s="10" t="n">
        <f aca="false">G36*INDEX(Assumptions!$C$18:$E$18,$B$3)*$H$3/(1+INDEX(Assumptions!$C$15:$E$15,$B$3)*$H$4)</f>
        <v>73280.7457627119</v>
      </c>
      <c r="H59" s="10" t="n">
        <f aca="false">H36*INDEX(Assumptions!$C$18:$E$18,$B$3)*$H$3/(1+INDEX(Assumptions!$C$15:$E$15,$B$3)*$H$4)</f>
        <v>84804.406779661</v>
      </c>
      <c r="I59" s="10" t="n">
        <f aca="false">I36*INDEX(Assumptions!$C$18:$E$18,$B$3)*$H$3/(1+INDEX(Assumptions!$C$15:$E$15,$B$3)*$H$4)</f>
        <v>114641.491525424</v>
      </c>
      <c r="J59" s="10" t="n">
        <f aca="false">J36*INDEX(Assumptions!$C$18:$E$18,$B$3)*$H$3/(1+INDEX(Assumptions!$C$15:$E$15,$B$3)*$H$4)</f>
        <v>93962.0347086232</v>
      </c>
      <c r="K59" s="10" t="n">
        <f aca="false">K36*INDEX(Assumptions!$C$18:$E$18,$B$3)*$H$3/(1+INDEX(Assumptions!$C$15:$E$15,$B$3)*$H$4)</f>
        <v>88235.6855933597</v>
      </c>
      <c r="L59" s="10" t="n">
        <f aca="false">L36*INDEX(Assumptions!$C$18:$E$18,$B$3)*$H$3/(1+INDEX(Assumptions!$C$15:$E$15,$B$3)*$H$4)</f>
        <v>109501.830508475</v>
      </c>
      <c r="M59" s="10" t="n">
        <f aca="false">M36*INDEX(Assumptions!$C$18:$E$18,$B$3)*$H$3/(1+INDEX(Assumptions!$C$15:$E$15,$B$3)*$H$4)</f>
        <v>116453.898305085</v>
      </c>
      <c r="N59" s="10" t="n">
        <f aca="false">N36*INDEX(Assumptions!$C$18:$E$18,$B$3)*$H$3/(1+INDEX(Assumptions!$C$15:$E$15,$B$3)*$H$4)</f>
        <v>110908.474576271</v>
      </c>
      <c r="O59" s="40" t="n">
        <f aca="false">SUM(C59:N59)</f>
        <v>952378.628776559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1644.12844907304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2324.4281025217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3036.79861990015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3844.24647724743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4448.76807167615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6013.99651922282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6245.30407765447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5782.68896079117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5744.37421184851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6109.07385919166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5818.16558018253</v>
      </c>
      <c r="O60" s="40" t="n">
        <f aca="false">SUM(C60:N60)</f>
        <v>52431.0377049639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6377.472</v>
      </c>
      <c r="M65" s="10" t="n">
        <f aca="false">(M34+M35)*(1-M54)*INDEX(Assumptions!$C$90:$E$90,$B$3)</f>
        <v>6599.52</v>
      </c>
      <c r="N65" s="10" t="n">
        <f aca="false">(N34+N35)*(1-N54)*INDEX(Assumptions!$C$90:$E$90,$B$3)</f>
        <v>4723.2</v>
      </c>
      <c r="O65" s="40" t="n">
        <f aca="false">SUM(C65:N65)</f>
        <v>17700.192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158604.901330429</v>
      </c>
      <c r="E66" s="40" t="n">
        <f aca="false">SUM(E56:E65)</f>
        <v>258402.231831335</v>
      </c>
      <c r="F66" s="40" t="n">
        <f aca="false">SUM(F56:F65)</f>
        <v>342469.456247019</v>
      </c>
      <c r="G66" s="40" t="n">
        <f aca="false">SUM(G56:G65)</f>
        <v>400851.387155214</v>
      </c>
      <c r="H66" s="40" t="n">
        <f aca="false">SUM(H56:H65)</f>
        <v>465774.585020829</v>
      </c>
      <c r="I66" s="40" t="n">
        <f aca="false">SUM(I56:I65)</f>
        <v>590695.784654816</v>
      </c>
      <c r="J66" s="40" t="n">
        <f aca="false">SUM(J56:J65)</f>
        <v>548935.925983253</v>
      </c>
      <c r="K66" s="40" t="n">
        <f aca="false">SUM(K56:K65)</f>
        <v>527522.696655499</v>
      </c>
      <c r="L66" s="40" t="n">
        <f aca="false">SUM(L56:L65)</f>
        <v>770847.971314251</v>
      </c>
      <c r="M66" s="40" t="n">
        <f aca="false">SUM(M56:M65)</f>
        <v>814798.444706649</v>
      </c>
      <c r="N66" s="40" t="n">
        <f aca="false">SUM(N56:N65)</f>
        <v>717125.172359844</v>
      </c>
      <c r="O66" s="11" t="n">
        <f aca="false">SUM(C66:N66)</f>
        <v>5715170.50339072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106123.484745763</v>
      </c>
      <c r="E67" s="10" t="n">
        <f aca="false">E56+E57+E58+E59</f>
        <v>148991.564745763</v>
      </c>
      <c r="F67" s="10" t="n">
        <f aca="false">F56+F57+F58+F59</f>
        <v>195161.450847458</v>
      </c>
      <c r="G67" s="10" t="n">
        <f aca="false">G56+G57+G58+G59</f>
        <v>247324.271186441</v>
      </c>
      <c r="H67" s="10" t="n">
        <f aca="false">H56+H57+H58+H59</f>
        <v>287167.301694915</v>
      </c>
      <c r="I67" s="10" t="n">
        <f aca="false">I56+I57+I58+I59</f>
        <v>386047.627118644</v>
      </c>
      <c r="J67" s="10" t="n">
        <f aca="false">J56+J57+J58+J59</f>
        <v>319580.815125937</v>
      </c>
      <c r="K67" s="10" t="n">
        <f aca="false">K56+K57+K58+K59</f>
        <v>298630.200915047</v>
      </c>
      <c r="L67" s="10" t="n">
        <f aca="false">L56+L57+L58+L59</f>
        <v>502581.57256003</v>
      </c>
      <c r="M67" s="10" t="n">
        <f aca="false">M56+M57+M58+M59</f>
        <v>526881.315254237</v>
      </c>
      <c r="N67" s="10" t="n">
        <f aca="false">N56+N57+N58+N59</f>
        <v>412311.288135593</v>
      </c>
      <c r="O67" s="40" t="n">
        <f aca="false">SUM(C67:N67)</f>
        <v>3518868.68894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9781.92</v>
      </c>
      <c r="E69" s="10" t="n">
        <f aca="false">((E34+E37)*INDEX(Assumptions!$C$91:$E$91,$B$3)+E35*(INDEX(Assumptions!$C$93:$E$93,$B$3)+IF($Q$3=1,INDEX(Assumptions!$C$282:$E$282,$B$3),0)))*$N$3</f>
        <v>13461.984</v>
      </c>
      <c r="F69" s="10" t="n">
        <f aca="false">((F34+F37)*INDEX(Assumptions!$C$91:$E$91,$B$3)+F35*(INDEX(Assumptions!$C$93:$E$93,$B$3)+IF($Q$3=1,INDEX(Assumptions!$C$282:$E$282,$B$3),0)))*$N$3</f>
        <v>17766.72</v>
      </c>
      <c r="G69" s="10" t="n">
        <f aca="false">((G34+G37)*INDEX(Assumptions!$C$91:$E$91,$B$3)+G35*(INDEX(Assumptions!$C$93:$E$93,$B$3)+IF($Q$3=1,INDEX(Assumptions!$C$282:$E$282,$B$3),0)))*$N$3</f>
        <v>22586.4</v>
      </c>
      <c r="H69" s="10" t="n">
        <f aca="false">((H34+H37)*INDEX(Assumptions!$C$91:$E$91,$B$3)+H35*(INDEX(Assumptions!$C$93:$E$93,$B$3)+IF($Q$3=1,INDEX(Assumptions!$C$282:$E$282,$B$3),0)))*$N$3</f>
        <v>26472.96</v>
      </c>
      <c r="I69" s="10" t="n">
        <f aca="false">((I34+I37)*INDEX(Assumptions!$C$91:$E$91,$B$3)+I35*(INDEX(Assumptions!$C$93:$E$93,$B$3)+IF($Q$3=1,INDEX(Assumptions!$C$282:$E$282,$B$3),0)))*$N$3</f>
        <v>35028</v>
      </c>
      <c r="J69" s="10" t="n">
        <f aca="false">((J34+J37)*INDEX(Assumptions!$C$91:$E$91,$B$3)+J35*(INDEX(Assumptions!$C$93:$E$93,$B$3)+IF($Q$3=1,INDEX(Assumptions!$C$282:$E$282,$B$3),0)))*$N$3</f>
        <v>29826.0774501992</v>
      </c>
      <c r="K69" s="10" t="n">
        <f aca="false">((K34+K37)*INDEX(Assumptions!$C$91:$E$91,$B$3)+K35*(INDEX(Assumptions!$C$93:$E$93,$B$3)+IF($Q$3=1,INDEX(Assumptions!$C$282:$E$282,$B$3),0)))*$N$3</f>
        <v>27489.0640535355</v>
      </c>
      <c r="L69" s="10" t="n">
        <f aca="false">((L34+L37)*INDEX(Assumptions!$C$91:$E$91,$B$3)+L35*(INDEX(Assumptions!$C$93:$E$93,$B$3)+IF($Q$3=1,INDEX(Assumptions!$C$282:$E$282,$B$3),0)))*$N$3</f>
        <v>55056.2575488796</v>
      </c>
      <c r="M69" s="10" t="n">
        <f aca="false">((M34+M37)*INDEX(Assumptions!$C$91:$E$91,$B$3)+M35*(INDEX(Assumptions!$C$93:$E$93,$B$3)+IF($Q$3=1,INDEX(Assumptions!$C$282:$E$282,$B$3),0)))*$N$3</f>
        <v>57576.12</v>
      </c>
      <c r="N69" s="10" t="n">
        <f aca="false">((N34+N37)*INDEX(Assumptions!$C$91:$E$91,$B$3)+N35*(INDEX(Assumptions!$C$93:$E$93,$B$3)+IF($Q$3=1,INDEX(Assumptions!$C$282:$E$282,$B$3),0)))*$N$3</f>
        <v>40024.2</v>
      </c>
      <c r="O69" s="40" t="n">
        <f aca="false">SUM(C69:N69)</f>
        <v>342269.703052614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16683.84</v>
      </c>
      <c r="E70" s="10" t="n">
        <f aca="false">(E34+E35)*E54*INDEX(Assumptions!$C$14:$E$14,$B$3)*$N$3</f>
        <v>23587.2</v>
      </c>
      <c r="F70" s="10" t="n">
        <f aca="false">(F34+F35)*F54*INDEX(Assumptions!$C$14:$E$14,$B$3)*$N$3</f>
        <v>30816</v>
      </c>
      <c r="G70" s="10" t="n">
        <f aca="false">(G34+G35)*G54*INDEX(Assumptions!$C$14:$E$14,$B$3)*$N$3</f>
        <v>39009.6</v>
      </c>
      <c r="H70" s="10" t="n">
        <f aca="false">(H34+H35)*H54*INDEX(Assumptions!$C$14:$E$14,$B$3)*$N$3</f>
        <v>45144</v>
      </c>
      <c r="I70" s="10" t="n">
        <f aca="false">(I34+I35)*I54*INDEX(Assumptions!$C$14:$E$14,$B$3)*$N$3</f>
        <v>61027.2</v>
      </c>
      <c r="J70" s="10" t="n">
        <f aca="false">(J34+J35)*J54*INDEX(Assumptions!$C$14:$E$14,$B$3)*$N$3</f>
        <v>50018.8876494024</v>
      </c>
      <c r="K70" s="10" t="n">
        <f aca="false">(K34+K35)*K54*INDEX(Assumptions!$C$14:$E$14,$B$3)*$N$3</f>
        <v>46970.575488796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327657.303138198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1853.76</v>
      </c>
      <c r="E71" s="10" t="n">
        <f aca="false">E36*INDEX(Assumptions!$C$92:$E$92,$B$3)*$N$3</f>
        <v>2620.8</v>
      </c>
      <c r="F71" s="10" t="n">
        <f aca="false">F36*INDEX(Assumptions!$C$92:$E$92,$B$3)*$N$3</f>
        <v>3424</v>
      </c>
      <c r="G71" s="10" t="n">
        <f aca="false">G36*INDEX(Assumptions!$C$92:$E$92,$B$3)*$N$3</f>
        <v>4334.4</v>
      </c>
      <c r="H71" s="10" t="n">
        <f aca="false">H36*INDEX(Assumptions!$C$92:$E$92,$B$3)*$N$3</f>
        <v>5016</v>
      </c>
      <c r="I71" s="10" t="n">
        <f aca="false">I36*INDEX(Assumptions!$C$92:$E$92,$B$3)*$N$3</f>
        <v>6780.8</v>
      </c>
      <c r="J71" s="10" t="n">
        <f aca="false">J36*INDEX(Assumptions!$C$92:$E$92,$B$3)*$N$3</f>
        <v>5557.65418326693</v>
      </c>
      <c r="K71" s="10" t="n">
        <f aca="false">K36*INDEX(Assumptions!$C$92:$E$92,$B$3)*$N$3</f>
        <v>5218.95283208845</v>
      </c>
      <c r="L71" s="10" t="n">
        <f aca="false">L36*INDEX(Assumptions!$C$92:$E$92,$B$3)*$N$3</f>
        <v>6476.8</v>
      </c>
      <c r="M71" s="10" t="n">
        <f aca="false">M36*INDEX(Assumptions!$C$92:$E$92,$B$3)*$N$3</f>
        <v>6888</v>
      </c>
      <c r="N71" s="10" t="n">
        <f aca="false">N36*INDEX(Assumptions!$C$92:$E$92,$B$3)*$N$3</f>
        <v>6560</v>
      </c>
      <c r="O71" s="40" t="n">
        <f aca="false">SUM(C71:N71)</f>
        <v>56331.1670153554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5343.43339587242</v>
      </c>
      <c r="E72" s="10" t="n">
        <f aca="false">(E46*INDEX(Assumptions!$C$94:$E$94,$B$3)+E47*INDEX(Assumptions!$C$95:$E$95,$B$3)+E48*INDEX(Assumptions!$C$96:$E$96,$B$3))*$N$3</f>
        <v>11368.2926829268</v>
      </c>
      <c r="F72" s="10" t="n">
        <f aca="false">(F46*INDEX(Assumptions!$C$94:$E$94,$B$3)+F47*INDEX(Assumptions!$C$95:$E$95,$B$3)+F48*INDEX(Assumptions!$C$96:$E$96,$B$3))*$N$3</f>
        <v>15603.7523452158</v>
      </c>
      <c r="G72" s="10" t="n">
        <f aca="false">(G46*INDEX(Assumptions!$C$94:$E$94,$B$3)+G47*INDEX(Assumptions!$C$95:$E$95,$B$3)+G48*INDEX(Assumptions!$C$96:$E$96,$B$3))*$N$3</f>
        <v>16870.6378986867</v>
      </c>
      <c r="H72" s="10" t="n">
        <f aca="false">(H46*INDEX(Assumptions!$C$94:$E$94,$B$3)+H47*INDEX(Assumptions!$C$95:$E$95,$B$3)+H48*INDEX(Assumptions!$C$96:$E$96,$B$3))*$N$3</f>
        <v>19870.4502814259</v>
      </c>
      <c r="I72" s="10" t="n">
        <f aca="false">(I46*INDEX(Assumptions!$C$94:$E$94,$B$3)+I47*INDEX(Assumptions!$C$95:$E$95,$B$3)+I48*INDEX(Assumptions!$C$96:$E$96,$B$3))*$N$3</f>
        <v>23187.8048780488</v>
      </c>
      <c r="J72" s="10" t="n">
        <f aca="false">(J46*INDEX(Assumptions!$C$94:$E$94,$B$3)+J47*INDEX(Assumptions!$C$95:$E$95,$B$3)+J48*INDEX(Assumptions!$C$96:$E$96,$B$3))*$N$3</f>
        <v>26064.2589118199</v>
      </c>
      <c r="K72" s="10" t="n">
        <f aca="false">(K46*INDEX(Assumptions!$C$94:$E$94,$B$3)+K47*INDEX(Assumptions!$C$95:$E$95,$B$3)+K48*INDEX(Assumptions!$C$96:$E$96,$B$3))*$N$3</f>
        <v>25911.3508442777</v>
      </c>
      <c r="L72" s="10" t="n">
        <f aca="false">(L46*INDEX(Assumptions!$C$94:$E$94,$B$3)+L47*INDEX(Assumptions!$C$95:$E$95,$B$3)+L48*INDEX(Assumptions!$C$96:$E$96,$B$3))*$N$3</f>
        <v>27098.6866791745</v>
      </c>
      <c r="M72" s="10" t="n">
        <f aca="false">(M46*INDEX(Assumptions!$C$94:$E$94,$B$3)+M47*INDEX(Assumptions!$C$95:$E$95,$B$3)+M48*INDEX(Assumptions!$C$96:$E$96,$B$3))*$N$3</f>
        <v>29019.2307692308</v>
      </c>
      <c r="N72" s="10" t="n">
        <f aca="false">(N46*INDEX(Assumptions!$C$94:$E$94,$B$3)+N47*INDEX(Assumptions!$C$95:$E$95,$B$3)+N48*INDEX(Assumptions!$C$96:$E$96,$B$3))*$N$3</f>
        <v>30723.0769230769</v>
      </c>
      <c r="O72" s="40" t="n">
        <f aca="false">SUM(C72:N72)</f>
        <v>234330.018761726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5287.33167139812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8259.98168321951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10916.9591274296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13054.091536863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15171.0739864916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19544.9572178537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17613.9156688223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16794.1823824626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26309.1087963809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27704.5694550769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23148.1221676923</v>
      </c>
      <c r="O75" s="40" t="n">
        <f aca="false">SUM(C75:N75)</f>
        <v>187876.043622396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1390.32</v>
      </c>
      <c r="E76" s="10" t="n">
        <f aca="false">E38*INDEX(Assumptions!$C$240:$E$240,$B$3)*INDEX(Assumptions!$C$69:$E$69,$B$3)</f>
        <v>1965.6</v>
      </c>
      <c r="F76" s="10" t="n">
        <f aca="false">F38*INDEX(Assumptions!$C$240:$E$240,$B$3)*INDEX(Assumptions!$C$69:$E$69,$B$3)</f>
        <v>2568</v>
      </c>
      <c r="G76" s="10" t="n">
        <f aca="false">G38*INDEX(Assumptions!$C$240:$E$240,$B$3)*INDEX(Assumptions!$C$69:$E$69,$B$3)</f>
        <v>3250.8</v>
      </c>
      <c r="H76" s="10" t="n">
        <f aca="false">H38*INDEX(Assumptions!$C$240:$E$240,$B$3)*INDEX(Assumptions!$C$69:$E$69,$B$3)</f>
        <v>3762</v>
      </c>
      <c r="I76" s="10" t="n">
        <f aca="false">I38*INDEX(Assumptions!$C$240:$E$240,$B$3)*INDEX(Assumptions!$C$69:$E$69,$B$3)</f>
        <v>5085.6</v>
      </c>
      <c r="J76" s="10" t="n">
        <f aca="false">J38*INDEX(Assumptions!$C$240:$E$240,$B$3)*INDEX(Assumptions!$C$69:$E$69,$B$3)</f>
        <v>4168.2406374502</v>
      </c>
      <c r="K76" s="10" t="n">
        <f aca="false">K38*INDEX(Assumptions!$C$240:$E$240,$B$3)*INDEX(Assumptions!$C$69:$E$69,$B$3)</f>
        <v>3914.21462406633</v>
      </c>
      <c r="L76" s="10" t="n">
        <f aca="false">L38*INDEX(Assumptions!$C$240:$E$240,$B$3)*INDEX(Assumptions!$C$69:$E$69,$B$3)</f>
        <v>5928.96</v>
      </c>
      <c r="M76" s="10" t="n">
        <f aca="false">M38*INDEX(Assumptions!$C$240:$E$240,$B$3)*INDEX(Assumptions!$C$69:$E$69,$B$3)</f>
        <v>6191.1</v>
      </c>
      <c r="N76" s="10" t="n">
        <f aca="false">N38*INDEX(Assumptions!$C$240:$E$240,$B$3)*INDEX(Assumptions!$C$69:$E$69,$B$3)</f>
        <v>4920</v>
      </c>
      <c r="O76" s="40" t="n">
        <f aca="false">SUM(C76:N76)</f>
        <v>44344.8352615165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40340.6050672705</v>
      </c>
      <c r="E77" s="40" t="n">
        <f aca="false">SUM(E69:E76)</f>
        <v>61739.8583661463</v>
      </c>
      <c r="F77" s="40" t="n">
        <f aca="false">SUM(F69:F76)</f>
        <v>82047.4314726454</v>
      </c>
      <c r="G77" s="40" t="n">
        <f aca="false">SUM(G69:G76)</f>
        <v>100533.92943555</v>
      </c>
      <c r="H77" s="40" t="n">
        <f aca="false">SUM(H69:H76)</f>
        <v>117340.484267917</v>
      </c>
      <c r="I77" s="40" t="n">
        <f aca="false">SUM(I69:I76)</f>
        <v>153034.362095902</v>
      </c>
      <c r="J77" s="40" t="n">
        <f aca="false">SUM(J69:J76)</f>
        <v>136105.034500961</v>
      </c>
      <c r="K77" s="40" t="n">
        <f aca="false">SUM(K69:K76)</f>
        <v>129154.340225227</v>
      </c>
      <c r="L77" s="40" t="n">
        <f aca="false">SUM(L69:L76)</f>
        <v>149725.813024435</v>
      </c>
      <c r="M77" s="40" t="n">
        <f aca="false">SUM(M69:M76)</f>
        <v>156235.020224308</v>
      </c>
      <c r="N77" s="40" t="n">
        <f aca="false">SUM(N69:N76)</f>
        <v>134231.399090769</v>
      </c>
      <c r="O77" s="11" t="n">
        <f aca="false">SUM(C77:N77)</f>
        <v>1292229.07085181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118264.296263158</v>
      </c>
      <c r="E78" s="40" t="n">
        <f aca="false">E66-E77</f>
        <v>196662.373465189</v>
      </c>
      <c r="F78" s="40" t="n">
        <f aca="false">F66-F77</f>
        <v>260422.024774373</v>
      </c>
      <c r="G78" s="40" t="n">
        <f aca="false">G66-G77</f>
        <v>300317.457719664</v>
      </c>
      <c r="H78" s="40" t="n">
        <f aca="false">H66-H77</f>
        <v>348434.100752911</v>
      </c>
      <c r="I78" s="40" t="n">
        <f aca="false">I66-I77</f>
        <v>437661.422558914</v>
      </c>
      <c r="J78" s="40" t="n">
        <f aca="false">J66-J77</f>
        <v>412830.891482292</v>
      </c>
      <c r="K78" s="40" t="n">
        <f aca="false">K66-K77</f>
        <v>398368.356430272</v>
      </c>
      <c r="L78" s="40" t="n">
        <f aca="false">L66-L77</f>
        <v>621122.158289816</v>
      </c>
      <c r="M78" s="40" t="n">
        <f aca="false">M66-M77</f>
        <v>658563.424482342</v>
      </c>
      <c r="N78" s="40" t="n">
        <f aca="false">N66-N77</f>
        <v>582893.773269074</v>
      </c>
      <c r="O78" s="11" t="n">
        <f aca="false">SUM(C78:N78)</f>
        <v>4422941.43253892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0.745653477736939</v>
      </c>
      <c r="E79" s="8" t="n">
        <f aca="false">IFERROR(E78/E66,0)</f>
        <v>0.761070723234135</v>
      </c>
      <c r="F79" s="8" t="n">
        <f aca="false">IFERROR(F78/F66,0)</f>
        <v>0.760424090452418</v>
      </c>
      <c r="G79" s="8" t="n">
        <f aca="false">IFERROR(G78/G66,0)</f>
        <v>0.749198998289553</v>
      </c>
      <c r="H79" s="8" t="n">
        <f aca="false">IFERROR(H78/H66,0)</f>
        <v>0.748074523510831</v>
      </c>
      <c r="I79" s="8" t="n">
        <f aca="false">IFERROR(I78/I66,0)</f>
        <v>0.740925251082787</v>
      </c>
      <c r="J79" s="8" t="n">
        <f aca="false">IFERROR(J78/J66,0)</f>
        <v>0.752056609781606</v>
      </c>
      <c r="K79" s="8" t="n">
        <f aca="false">IFERROR(K78/K66,0)</f>
        <v>0.755168183200331</v>
      </c>
      <c r="L79" s="8" t="n">
        <f aca="false">IFERROR(L78/L66,0)</f>
        <v>0.805764795917979</v>
      </c>
      <c r="M79" s="8" t="n">
        <f aca="false">IFERROR(M78/M66,0)</f>
        <v>0.808253168327344</v>
      </c>
      <c r="N79" s="8" t="n">
        <f aca="false">IFERROR(N78/N66,0)</f>
        <v>0.812820126437545</v>
      </c>
      <c r="O79" s="13" t="n">
        <f aca="false">IFERROR(O78/O66,0)</f>
        <v>0.773894922280071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10500</v>
      </c>
      <c r="D97" s="10" t="n">
        <f aca="false">D18</f>
        <v>10500</v>
      </c>
      <c r="E97" s="10" t="n">
        <f aca="false">E18</f>
        <v>28000</v>
      </c>
      <c r="F97" s="10" t="n">
        <f aca="false">F18</f>
        <v>35000</v>
      </c>
      <c r="G97" s="10" t="n">
        <f aca="false">G18</f>
        <v>42000</v>
      </c>
      <c r="H97" s="10" t="n">
        <f aca="false">H18</f>
        <v>42000</v>
      </c>
      <c r="I97" s="10" t="n">
        <f aca="false">I18</f>
        <v>42000</v>
      </c>
      <c r="J97" s="10" t="n">
        <f aca="false">J18</f>
        <v>42000</v>
      </c>
      <c r="K97" s="10" t="n">
        <f aca="false">K18</f>
        <v>42000</v>
      </c>
      <c r="L97" s="10" t="n">
        <f aca="false">L18</f>
        <v>56000</v>
      </c>
      <c r="M97" s="10" t="n">
        <f aca="false">M18</f>
        <v>70000</v>
      </c>
      <c r="N97" s="10" t="n">
        <f aca="false">N18</f>
        <v>70000</v>
      </c>
      <c r="O97" s="40" t="n">
        <f aca="false">SUM(C97:N97)</f>
        <v>490000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282333</v>
      </c>
      <c r="D102" s="40" t="n">
        <f aca="false">D92+SUM(D94:D101)</f>
        <v>297333</v>
      </c>
      <c r="E102" s="40" t="n">
        <f aca="false">E92+SUM(E94:E101)</f>
        <v>479833</v>
      </c>
      <c r="F102" s="40" t="n">
        <f aca="false">F92+SUM(F94:F101)</f>
        <v>336833</v>
      </c>
      <c r="G102" s="40" t="n">
        <f aca="false">G92+SUM(G94:G101)</f>
        <v>351833</v>
      </c>
      <c r="H102" s="40" t="n">
        <f aca="false">H92+SUM(H94:H101)</f>
        <v>351833</v>
      </c>
      <c r="I102" s="40" t="n">
        <f aca="false">I92+SUM(I94:I101)</f>
        <v>351833</v>
      </c>
      <c r="J102" s="40" t="n">
        <f aca="false">J92+SUM(J94:J101)</f>
        <v>351833</v>
      </c>
      <c r="K102" s="40" t="n">
        <f aca="false">K92+SUM(K94:K101)</f>
        <v>356833</v>
      </c>
      <c r="L102" s="40" t="n">
        <f aca="false">L92+SUM(L94:L101)</f>
        <v>523933</v>
      </c>
      <c r="M102" s="40" t="n">
        <f aca="false">M92+SUM(M94:M101)</f>
        <v>537933</v>
      </c>
      <c r="N102" s="40" t="n">
        <f aca="false">N92+SUM(N94:N101)</f>
        <v>537933</v>
      </c>
      <c r="O102" s="11" t="n">
        <f aca="false">SUM(C102:N102)</f>
        <v>4760296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-194931.846949089</v>
      </c>
      <c r="D103" s="40" t="n">
        <f aca="false">D78-D102</f>
        <v>-179068.703736842</v>
      </c>
      <c r="E103" s="40" t="n">
        <f aca="false">E78-E102</f>
        <v>-283170.626534811</v>
      </c>
      <c r="F103" s="40" t="n">
        <f aca="false">F78-F102</f>
        <v>-76410.9752256266</v>
      </c>
      <c r="G103" s="40" t="n">
        <f aca="false">G78-G102</f>
        <v>-51515.5422803361</v>
      </c>
      <c r="H103" s="40" t="n">
        <f aca="false">H78-H102</f>
        <v>-3398.8992470887</v>
      </c>
      <c r="I103" s="40" t="n">
        <f aca="false">I78-I102</f>
        <v>85828.4225589136</v>
      </c>
      <c r="J103" s="40" t="n">
        <f aca="false">J78-J102</f>
        <v>60997.8914822916</v>
      </c>
      <c r="K103" s="40" t="n">
        <f aca="false">K78-K102</f>
        <v>41535.3564302723</v>
      </c>
      <c r="L103" s="40" t="n">
        <f aca="false">L78-L102</f>
        <v>97189.158289816</v>
      </c>
      <c r="M103" s="40" t="n">
        <f aca="false">M78-M102</f>
        <v>120630.424482342</v>
      </c>
      <c r="N103" s="40" t="n">
        <f aca="false">N78-N102</f>
        <v>44960.7732690743</v>
      </c>
      <c r="O103" s="11" t="n">
        <f aca="false">SUM(C103:N103)</f>
        <v>-337354.567461084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-1.63613112995314</v>
      </c>
      <c r="D104" s="8" t="n">
        <f aca="false">IFERROR(D103/D66,0)</f>
        <v>-1.12902377060706</v>
      </c>
      <c r="E104" s="8" t="n">
        <f aca="false">IFERROR(E103/E66,0)</f>
        <v>-1.09585209279323</v>
      </c>
      <c r="F104" s="8" t="n">
        <f aca="false">IFERROR(F103/F66,0)</f>
        <v>-0.22311763525712</v>
      </c>
      <c r="G104" s="8" t="n">
        <f aca="false">IFERROR(G103/G66,0)</f>
        <v>-0.128515314979785</v>
      </c>
      <c r="H104" s="8" t="n">
        <f aca="false">IFERROR(H103/H66,0)</f>
        <v>-0.00729730508360972</v>
      </c>
      <c r="I104" s="8" t="n">
        <f aca="false">IFERROR(I103/I66,0)</f>
        <v>0.145300550280834</v>
      </c>
      <c r="J104" s="8" t="n">
        <f aca="false">IFERROR(J103/J66,0)</f>
        <v>0.111120239348577</v>
      </c>
      <c r="K104" s="8" t="n">
        <f aca="false">IFERROR(K103/K66,0)</f>
        <v>0.0787366244023376</v>
      </c>
      <c r="L104" s="8" t="n">
        <f aca="false">IFERROR(L103/L66,0)</f>
        <v>0.126080838124428</v>
      </c>
      <c r="M104" s="8" t="n">
        <f aca="false">IFERROR(M103/M66,0)</f>
        <v>0.148049404445994</v>
      </c>
      <c r="N104" s="8" t="n">
        <f aca="false">IFERROR(N103/N66,0)</f>
        <v>0.06269585143849</v>
      </c>
      <c r="O104" s="8" t="n">
        <f aca="false">IFERROR(O103/O66,0)</f>
        <v>-0.059027909536721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-269931.846949089</v>
      </c>
      <c r="D105" s="10" t="n">
        <f aca="false">D103-INDEX(Assumptions!$C$204:$E$204,$B$3)</f>
        <v>-254068.703736842</v>
      </c>
      <c r="E105" s="10" t="n">
        <f aca="false">E103-INDEX(Assumptions!$C$204:$E$204,$B$3)</f>
        <v>-358170.626534811</v>
      </c>
      <c r="F105" s="10" t="n">
        <f aca="false">F103-INDEX(Assumptions!$C$204:$E$204,$B$3)</f>
        <v>-151410.975225627</v>
      </c>
      <c r="G105" s="10" t="n">
        <f aca="false">G103-INDEX(Assumptions!$C$204:$E$204,$B$3)</f>
        <v>-126515.542280336</v>
      </c>
      <c r="H105" s="10" t="n">
        <f aca="false">H103-INDEX(Assumptions!$C$204:$E$204,$B$3)</f>
        <v>-78398.8992470887</v>
      </c>
      <c r="I105" s="10" t="n">
        <f aca="false">I103-INDEX(Assumptions!$C$204:$E$204,$B$3)</f>
        <v>10828.4225589136</v>
      </c>
      <c r="J105" s="10" t="n">
        <f aca="false">J103-INDEX(Assumptions!$C$204:$E$204,$B$3)</f>
        <v>-14002.1085177084</v>
      </c>
      <c r="K105" s="10" t="n">
        <f aca="false">K103-INDEX(Assumptions!$C$204:$E$204,$B$3)</f>
        <v>-33464.6435697277</v>
      </c>
      <c r="L105" s="10" t="n">
        <f aca="false">L103-INDEX(Assumptions!$C$204:$E$204,$B$3)</f>
        <v>22189.158289816</v>
      </c>
      <c r="M105" s="10" t="n">
        <f aca="false">M103-INDEX(Assumptions!$C$204:$E$204,$B$3)</f>
        <v>45630.4244823416</v>
      </c>
      <c r="N105" s="10" t="n">
        <f aca="false">N103-INDEX(Assumptions!$C$204:$E$204,$B$3)</f>
        <v>-30039.2267309257</v>
      </c>
      <c r="O105" s="40" t="n">
        <f aca="false">SUM(C105:N105)</f>
        <v>-1237354.56746108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-9027.84406779661</v>
      </c>
      <c r="E113" s="10" t="n">
        <f aca="false">((E67+IF(INDEX(Assumptions!$C$87:$E$87,$B$3)&gt;=2,D67,0)+IF(INDEX(Assumptions!$C$87:$E$87,$B$3)&gt;=3,C67,0))/INDEX(Assumptions!$C$87:$E$87,$B$3))-E67</f>
        <v>-21434.04</v>
      </c>
      <c r="F113" s="10" t="n">
        <f aca="false">((F67+IF(INDEX(Assumptions!$C$87:$E$87,$B$3)&gt;=2,E67,0)+IF(INDEX(Assumptions!$C$87:$E$87,$B$3)&gt;=3,D67,0))/INDEX(Assumptions!$C$87:$E$87,$B$3))-F67</f>
        <v>-23084.9430508474</v>
      </c>
      <c r="G113" s="10" t="n">
        <f aca="false">((G67+IF(INDEX(Assumptions!$C$87:$E$87,$B$3)&gt;=2,F67,0)+IF(INDEX(Assumptions!$C$87:$E$87,$B$3)&gt;=3,E67,0))/INDEX(Assumptions!$C$87:$E$87,$B$3))-G67</f>
        <v>-26081.4101694915</v>
      </c>
      <c r="H113" s="10" t="n">
        <f aca="false">((H67+IF(INDEX(Assumptions!$C$87:$E$87,$B$3)&gt;=2,G67,0)+IF(INDEX(Assumptions!$C$87:$E$87,$B$3)&gt;=3,F67,0))/INDEX(Assumptions!$C$87:$E$87,$B$3))-H67</f>
        <v>-19921.5152542373</v>
      </c>
      <c r="I113" s="10" t="n">
        <f aca="false">((I67+IF(INDEX(Assumptions!$C$87:$E$87,$B$3)&gt;=2,H67,0)+IF(INDEX(Assumptions!$C$87:$E$87,$B$3)&gt;=3,G67,0))/INDEX(Assumptions!$C$87:$E$87,$B$3))-I67</f>
        <v>-49440.1627118644</v>
      </c>
      <c r="J113" s="10" t="n">
        <f aca="false">((J67+IF(INDEX(Assumptions!$C$87:$E$87,$B$3)&gt;=2,I67,0)+IF(INDEX(Assumptions!$C$87:$E$87,$B$3)&gt;=3,H67,0))/INDEX(Assumptions!$C$87:$E$87,$B$3))-J67</f>
        <v>33233.4059963535</v>
      </c>
      <c r="K113" s="10" t="n">
        <f aca="false">((K67+IF(INDEX(Assumptions!$C$87:$E$87,$B$3)&gt;=2,J67,0)+IF(INDEX(Assumptions!$C$87:$E$87,$B$3)&gt;=3,I67,0))/INDEX(Assumptions!$C$87:$E$87,$B$3))-K67</f>
        <v>10475.3071054451</v>
      </c>
      <c r="L113" s="10" t="n">
        <f aca="false">((L67+IF(INDEX(Assumptions!$C$87:$E$87,$B$3)&gt;=2,K67,0)+IF(INDEX(Assumptions!$C$87:$E$87,$B$3)&gt;=3,J67,0))/INDEX(Assumptions!$C$87:$E$87,$B$3))-L67</f>
        <v>-101975.685822492</v>
      </c>
      <c r="M113" s="10" t="n">
        <f aca="false">((M67+IF(INDEX(Assumptions!$C$87:$E$87,$B$3)&gt;=2,L67,0)+IF(INDEX(Assumptions!$C$87:$E$87,$B$3)&gt;=3,K67,0))/INDEX(Assumptions!$C$87:$E$87,$B$3))-M67</f>
        <v>-12149.8713471037</v>
      </c>
      <c r="N113" s="10" t="n">
        <f aca="false">((N67+IF(INDEX(Assumptions!$C$87:$E$87,$B$3)&gt;=2,M67,0)+IF(INDEX(Assumptions!$C$87:$E$87,$B$3)&gt;=3,L67,0))/INDEX(Assumptions!$C$87:$E$87,$B$3))-N67</f>
        <v>57285.0135593221</v>
      </c>
      <c r="O113" s="40" t="n">
        <f aca="false">SUM(C113:N113)</f>
        <v>-206155.644067797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-388965.745254174</v>
      </c>
      <c r="D114" s="40" t="n">
        <f aca="false">D103+D113-D112</f>
        <v>-188096.547804638</v>
      </c>
      <c r="E114" s="40" t="n">
        <f aca="false">E103+E113-E112</f>
        <v>-404604.666534811</v>
      </c>
      <c r="F114" s="40" t="n">
        <f aca="false">F103+F113-F112</f>
        <v>-99495.9182764741</v>
      </c>
      <c r="G114" s="40" t="n">
        <f aca="false">G103+G113-G112</f>
        <v>-77596.9524498277</v>
      </c>
      <c r="H114" s="40" t="n">
        <f aca="false">H103+H113-H112</f>
        <v>-23320.414501326</v>
      </c>
      <c r="I114" s="40" t="n">
        <f aca="false">I103+I113-I112</f>
        <v>36388.2598470492</v>
      </c>
      <c r="J114" s="40" t="n">
        <f aca="false">J103+J113-J112</f>
        <v>94231.2974786451</v>
      </c>
      <c r="K114" s="40" t="n">
        <f aca="false">K103+K113-K112</f>
        <v>-1419989.33646428</v>
      </c>
      <c r="L114" s="40" t="n">
        <f aca="false">L103+L113-L112</f>
        <v>-4786.52753267554</v>
      </c>
      <c r="M114" s="40" t="n">
        <f aca="false">M103+M113-M112</f>
        <v>108480.553135238</v>
      </c>
      <c r="N114" s="40" t="n">
        <f aca="false">N103+N113-N112</f>
        <v>102245.786828396</v>
      </c>
      <c r="O114" s="11" t="n">
        <f aca="false">SUM(C114:N114)</f>
        <v>-2265510.21152888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-388965.745254174</v>
      </c>
      <c r="D115" s="40" t="n">
        <f aca="false">C115+D114</f>
        <v>-577062.293058812</v>
      </c>
      <c r="E115" s="40" t="n">
        <f aca="false">D115+E114</f>
        <v>-981666.959593623</v>
      </c>
      <c r="F115" s="40" t="n">
        <f aca="false">E115+F114</f>
        <v>-1081162.8778701</v>
      </c>
      <c r="G115" s="40" t="n">
        <f aca="false">F115+G114</f>
        <v>-1158759.83031992</v>
      </c>
      <c r="H115" s="40" t="n">
        <f aca="false">G115+H114</f>
        <v>-1182080.24482125</v>
      </c>
      <c r="I115" s="40" t="n">
        <f aca="false">H115+I114</f>
        <v>-1145691.9849742</v>
      </c>
      <c r="J115" s="40" t="n">
        <f aca="false">I115+J114</f>
        <v>-1051460.68749556</v>
      </c>
      <c r="K115" s="40" t="n">
        <f aca="false">J115+K114</f>
        <v>-2471450.02395984</v>
      </c>
      <c r="L115" s="40" t="n">
        <f aca="false">K115+L114</f>
        <v>-2476236.55149251</v>
      </c>
      <c r="M115" s="40" t="n">
        <f aca="false">L115+M114</f>
        <v>-2367755.99835728</v>
      </c>
      <c r="N115" s="40" t="n">
        <f aca="false">M115+N114</f>
        <v>-2265510.21152888</v>
      </c>
      <c r="O115" s="11" t="n">
        <f aca="false">N115</f>
        <v>-2265510.21152888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388965.745254174</v>
      </c>
      <c r="D116" s="40" t="n">
        <f aca="false">-MIN(0,MIN($C$115:D115))</f>
        <v>577062.293058812</v>
      </c>
      <c r="E116" s="40" t="n">
        <f aca="false">-MIN(0,MIN($C$115:E115))</f>
        <v>981666.959593623</v>
      </c>
      <c r="F116" s="40" t="n">
        <f aca="false">-MIN(0,MIN($C$115:F115))</f>
        <v>1081162.8778701</v>
      </c>
      <c r="G116" s="40" t="n">
        <f aca="false">-MIN(0,MIN($C$115:G115))</f>
        <v>1158759.83031992</v>
      </c>
      <c r="H116" s="40" t="n">
        <f aca="false">-MIN(0,MIN($C$115:H115))</f>
        <v>1182080.24482125</v>
      </c>
      <c r="I116" s="40" t="n">
        <f aca="false">-MIN(0,MIN($C$115:I115))</f>
        <v>1182080.24482125</v>
      </c>
      <c r="J116" s="40" t="n">
        <f aca="false">-MIN(0,MIN($C$115:J115))</f>
        <v>1182080.24482125</v>
      </c>
      <c r="K116" s="40" t="n">
        <f aca="false">-MIN(0,MIN($C$115:K115))</f>
        <v>2471450.02395984</v>
      </c>
      <c r="L116" s="40" t="n">
        <f aca="false">-MIN(0,MIN($C$115:L115))</f>
        <v>2476236.55149251</v>
      </c>
      <c r="M116" s="40" t="n">
        <f aca="false">-MIN(0,MIN($C$115:M115))</f>
        <v>2476236.55149251</v>
      </c>
      <c r="N116" s="40" t="n">
        <f aca="false">-MIN(0,MIN($C$115:N115))</f>
        <v>2476236.55149251</v>
      </c>
      <c r="O116" s="11" t="n">
        <f aca="false">MAX(C116:N116)</f>
        <v>2476236.55149251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3.0546864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4.9804176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5.3968992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7.0997808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7.08448929619314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6.11041489167301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6.51757972090289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3.0546864</v>
      </c>
      <c r="D129" s="8" t="n">
        <f aca="false">C129/INDEX(Assumptions!$C$179:$E$179,$B$3)</f>
        <v>0.2545572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4.9804176</v>
      </c>
      <c r="D130" s="8" t="n">
        <f aca="false">C130/INDEX(Assumptions!$C$179:$E$179,$B$3)</f>
        <v>0.4150348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5.3968992</v>
      </c>
      <c r="D131" s="8" t="n">
        <f aca="false">C131/INDEX(Assumptions!$C$179:$E$179,$B$3)</f>
        <v>0.4497416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7.0997808</v>
      </c>
      <c r="D132" s="8" t="n">
        <f aca="false">C132/INDEX(Assumptions!$C$179:$E$179,$B$3)</f>
        <v>0.5916484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7.08448929619314</v>
      </c>
      <c r="D133" s="8" t="n">
        <f aca="false">C133/INDEX(Assumptions!$C$179:$E$179,$B$3)</f>
        <v>0.590374108016095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6.11041489167301</v>
      </c>
      <c r="D134" s="8" t="n">
        <f aca="false">C134/INDEX(Assumptions!$C$179:$E$179,$B$3)</f>
        <v>0.509201240972751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6.51757972090289</v>
      </c>
      <c r="D135" s="8" t="n">
        <f aca="false">C135/INDEX(Assumptions!$C$179:$E$179,$B$3)</f>
        <v>0.543131643408574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3.0546864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4.9804176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7.4264928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9.91864584860558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8.34644553926057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8.7062183209029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3.0546864</v>
      </c>
      <c r="D143" s="8" t="n">
        <f aca="false">C143/INDEX(Assumptions!$C$179:$E$179,$B$3)</f>
        <v>0.2545572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4.9804176</v>
      </c>
      <c r="D144" s="8" t="n">
        <f aca="false">C144/INDEX(Assumptions!$C$179:$E$179,$B$3)</f>
        <v>0.4150348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7.4264928</v>
      </c>
      <c r="D145" s="8" t="n">
        <f aca="false">C145/INDEX(Assumptions!$C$179:$E$179,$B$3)</f>
        <v>0.6188744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9.91864584860558</v>
      </c>
      <c r="D146" s="8" t="n">
        <f aca="false">C146/INDEX(Assumptions!$C$179:$E$179,$B$3)</f>
        <v>0.826553820717131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8.34644553926057</v>
      </c>
      <c r="D147" s="8" t="n">
        <f aca="false">C147/INDEX(Assumptions!$C$179:$E$179,$B$3)</f>
        <v>0.695537128271714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8.7062183209029</v>
      </c>
      <c r="D148" s="8" t="n">
        <f aca="false">C148/INDEX(Assumptions!$C$179:$E$179,$B$3)</f>
        <v>0.725518193408575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5715170.50339072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-337354.567461084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-0.059027909536721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-1237354.56746108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2476236.55149251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523763.448507486</v>
      </c>
    </row>
    <row r="160" customFormat="false" ht="15" hidden="false" customHeight="false" outlineLevel="0" collapsed="false">
      <c r="A160" s="3" t="s">
        <v>51</v>
      </c>
      <c r="B160" s="7" t="n">
        <f aca="false">O38</f>
        <v>73.9080587691942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8.39114312819904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0.752092097493776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537933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238041.199633481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7.13091028169042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85.5709233802851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10842.5385630568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0.191912932566105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0.508188284954679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17.9325092782046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262780.356041232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-2265510.21152888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1182080.24482125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2450840.83526152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490000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87593.452013744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0.2545572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0.4150348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0.479098427485346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6.51757972090289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2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2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0.713655116329615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20.7884895856395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7.23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1862579.35604123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1592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1.3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19500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19500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52000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65000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78000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78000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78000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78000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78000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104000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130000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130000</v>
      </c>
      <c r="O18" s="40" t="n">
        <f aca="false">SUM(C18:N18)</f>
        <v>910000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1.17</v>
      </c>
      <c r="D21" s="16" t="n">
        <f aca="false">D18*INDEX(Assumptions!$C$119:$E$119,$B$3)/D19</f>
        <v>1.17</v>
      </c>
      <c r="E21" s="16" t="n">
        <f aca="false">E18*INDEX(Assumptions!$C$119:$E$119,$B$3)/E19</f>
        <v>3.12</v>
      </c>
      <c r="F21" s="16" t="n">
        <f aca="false">F18*INDEX(Assumptions!$C$119:$E$119,$B$3)/F19</f>
        <v>3.9</v>
      </c>
      <c r="G21" s="16" t="n">
        <f aca="false">G18*INDEX(Assumptions!$C$119:$E$119,$B$3)/G19</f>
        <v>4.68</v>
      </c>
      <c r="H21" s="16" t="n">
        <f aca="false">H18*INDEX(Assumptions!$C$119:$E$119,$B$3)/H19</f>
        <v>4.68</v>
      </c>
      <c r="I21" s="16" t="n">
        <f aca="false">I18*INDEX(Assumptions!$C$119:$E$119,$B$3)/I19</f>
        <v>4.68</v>
      </c>
      <c r="J21" s="16" t="n">
        <f aca="false">J18*INDEX(Assumptions!$C$119:$E$119,$B$3)/J19</f>
        <v>4.68</v>
      </c>
      <c r="K21" s="16" t="n">
        <f aca="false">K18*INDEX(Assumptions!$C$119:$E$119,$B$3)/K19</f>
        <v>4.68</v>
      </c>
      <c r="L21" s="16" t="n">
        <f aca="false">L18*INDEX(Assumptions!$C$119:$E$119,$B$3)/L19</f>
        <v>6.24</v>
      </c>
      <c r="M21" s="16" t="n">
        <f aca="false">M18*INDEX(Assumptions!$C$119:$E$119,$B$3)/M19</f>
        <v>7.8</v>
      </c>
      <c r="N21" s="16" t="n">
        <f aca="false">N18*INDEX(Assumptions!$C$119:$E$119,$B$3)/N19</f>
        <v>7.8</v>
      </c>
      <c r="O21" s="38" t="n">
        <f aca="false">SUM(C21:N21)</f>
        <v>54.6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2.58855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6.75</v>
      </c>
      <c r="H24" s="38" t="n">
        <f aca="false">H10*(H14*$F$3+(H15-H14)*$F$3*H20+MIN(H16,H21*H20))*H22*H23</f>
        <v>8.43</v>
      </c>
      <c r="I24" s="38" t="n">
        <f aca="false">I10*(I14*$F$3+(I15-I14)*$F$3*I20+MIN(I16,I21*I20))*I22*I23</f>
        <v>11.284</v>
      </c>
      <c r="J24" s="38" t="n">
        <f aca="false">J10*(J14*$F$3+(J15-J14)*$F$3*J20+MIN(J16,J21*J20))*J22*J23</f>
        <v>11.718</v>
      </c>
      <c r="K24" s="38" t="n">
        <f aca="false">K10*(K14*$F$3+(K15-K14)*$F$3*K20+MIN(K16,K21*K20))*K22*K23</f>
        <v>10.85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93.62055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2.99313</v>
      </c>
      <c r="F31" s="6" t="n">
        <f aca="false">E34+D34+E37+D37+1.25*E35</f>
        <v>4.203756</v>
      </c>
      <c r="G31" s="6" t="n">
        <f aca="false">F34+E34+F37+E37+1.25*F35</f>
        <v>5.830626</v>
      </c>
      <c r="H31" s="6" t="n">
        <f aca="false">G34+F34+G37+F37+1.25*G35</f>
        <v>8.07</v>
      </c>
      <c r="I31" s="6" t="n">
        <f aca="false">H34+G34+H37+G37+1.25*H35</f>
        <v>10.518</v>
      </c>
      <c r="J31" s="6" t="n">
        <f aca="false">I34+H34+I37+H37+1.25*I35</f>
        <v>10.6034276326491</v>
      </c>
      <c r="K31" s="6" t="n">
        <f aca="false">J34+I34+J37+I37+1.25*J35</f>
        <v>9.36774452236746</v>
      </c>
      <c r="L31" s="6" t="n">
        <f aca="false">K34+J34+K37+J37+1.25*K35</f>
        <v>10.0568404232284</v>
      </c>
      <c r="M31" s="6" t="n">
        <f aca="false">L34+K34+L37+K37+1.25*L35</f>
        <v>15.0868431167467</v>
      </c>
      <c r="N31" s="6" t="n">
        <f aca="false">M34+L34+M37+L37+1.25*M35</f>
        <v>14.2502525358245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2.82855</v>
      </c>
      <c r="E32" s="6" t="n">
        <f aca="false">E24*(INDEX(Assumptions!$C$26:$E$26,$B$3)*(1-E28)+(1-INDEX(Assumptions!$C$26:$E$26,$B$3)))+1.25*E30+D36*INDEX(Assumptions!$C$89:$E$89,$B$3)</f>
        <v>3.810626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7.35</v>
      </c>
      <c r="H32" s="6" t="n">
        <f aca="false">H24*(INDEX(Assumptions!$C$26:$E$26,$B$3)*(1-H28)+(1-INDEX(Assumptions!$C$26:$E$26,$B$3)))+1.25*H30+G36*INDEX(Assumptions!$C$89:$E$89,$B$3)</f>
        <v>9.24</v>
      </c>
      <c r="I32" s="6" t="n">
        <f aca="false">I24*(INDEX(Assumptions!$C$26:$E$26,$B$3)*(1-I28)+(1-INDEX(Assumptions!$C$26:$E$26,$B$3)))+1.25*I30+H36*INDEX(Assumptions!$C$89:$E$89,$B$3)</f>
        <v>12.2956</v>
      </c>
      <c r="J32" s="6" t="n">
        <f aca="false">J24*(INDEX(Assumptions!$C$26:$E$26,$B$3)*(1-J28)+(1-INDEX(Assumptions!$C$26:$E$26,$B$3)))+1.25*J30+I36*INDEX(Assumptions!$C$89:$E$89,$B$3)</f>
        <v>12.5419717102053</v>
      </c>
      <c r="K32" s="6" t="n">
        <f aca="false">K24*(INDEX(Assumptions!$C$26:$E$26,$B$3)*(1-K28)+(1-INDEX(Assumptions!$C$26:$E$26,$B$3)))+1.25*K30+J36*INDEX(Assumptions!$C$89:$E$89,$B$3)</f>
        <v>11.6792766432898</v>
      </c>
      <c r="L32" s="6" t="n">
        <f aca="false">L24*(INDEX(Assumptions!$C$26:$E$26,$B$3)*(1-L28)+(1-INDEX(Assumptions!$C$26:$E$26,$B$3)))+1.25*L30+K36*INDEX(Assumptions!$C$89:$E$89,$B$3)</f>
        <v>14.0623195832368</v>
      </c>
      <c r="M32" s="6" t="n">
        <f aca="false">M24*(INDEX(Assumptions!$C$26:$E$26,$B$3)*(1-M28)+(1-INDEX(Assumptions!$C$26:$E$26,$B$3)))+1.25*M30+L36*INDEX(Assumptions!$C$89:$E$89,$B$3)</f>
        <v>13.995</v>
      </c>
      <c r="N32" s="6" t="n">
        <f aca="false">N24*(INDEX(Assumptions!$C$26:$E$26,$B$3)*(1-N28)+(1-INDEX(Assumptions!$C$26:$E$26,$B$3)))+1.25*N30+M36*INDEX(Assumptions!$C$89:$E$89,$B$3)</f>
        <v>11.4475671791997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0.608510361430105</v>
      </c>
      <c r="J33" s="8" t="n">
        <f aca="false">IF(J32&lt;=0,1,MAX(0,MIN(1,(J27-J31)/J32)))</f>
        <v>0.589745578945327</v>
      </c>
      <c r="K33" s="8" t="n">
        <f aca="false">IF(K32&lt;=0,1,MAX(0,MIN(1,(K27-K31)/K32)))</f>
        <v>0.739108742885385</v>
      </c>
      <c r="L33" s="8" t="n">
        <f aca="false">IF(L32&lt;=0,1,MAX(0,MIN(1,(L27-L31)/L32)))</f>
        <v>1</v>
      </c>
      <c r="M33" s="8" t="n">
        <f aca="false">IF(M32&lt;=0,1,MAX(0,MIN(1,(M27-M31)/M32)))</f>
        <v>0.851243793015596</v>
      </c>
      <c r="N33" s="8" t="n">
        <f aca="false">IF(N32&lt;=0,1,MAX(0,MIN(1,(N27-N31)/N32)))</f>
        <v>1</v>
      </c>
      <c r="O33" s="8" t="n">
        <f aca="false">MIN(C33:N33)</f>
        <v>0.589745578945327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1.55313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4.05</v>
      </c>
      <c r="H34" s="38" t="n">
        <f aca="false">H24*INDEX(Assumptions!$C$26:$E$26,$B$3)*(1-H28)*H33</f>
        <v>5.058</v>
      </c>
      <c r="I34" s="38" t="n">
        <f aca="false">I24*INDEX(Assumptions!$C$26:$E$26,$B$3)*(1-I28)*I33</f>
        <v>4.11985855102638</v>
      </c>
      <c r="J34" s="38" t="n">
        <f aca="false">J24*INDEX(Assumptions!$C$26:$E$26,$B$3)*(1-J28)*J33</f>
        <v>4.1463832164488</v>
      </c>
      <c r="K34" s="38" t="n">
        <f aca="false">K24*INDEX(Assumptions!$C$26:$E$26,$B$3)*(1-K28)*K33</f>
        <v>4.81159791618386</v>
      </c>
      <c r="L34" s="38" t="n">
        <f aca="false">L24*INDEX(Assumptions!$C$26:$E$26,$B$3)*(1-L28)*L33</f>
        <v>4.95</v>
      </c>
      <c r="M34" s="38" t="n">
        <f aca="false">M24*INDEX(Assumptions!$C$26:$E$26,$B$3)*(1-M28)*M33</f>
        <v>4.02212692199869</v>
      </c>
      <c r="N34" s="38" t="n">
        <f aca="false">N24*INDEX(Assumptions!$C$26:$E$26,$B$3)*(1-N28)*N33</f>
        <v>4.5</v>
      </c>
      <c r="O34" s="17" t="n">
        <f aca="false">SUM(C34:N34)</f>
        <v>43.5110966056577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2.55373137904679</v>
      </c>
      <c r="N35" s="16" t="n">
        <f aca="false">N30*N33</f>
        <v>1.5</v>
      </c>
      <c r="O35" s="38" t="n">
        <f aca="false">SUM(C35:N35)</f>
        <v>7.05373137904679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1.03542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2.7</v>
      </c>
      <c r="H36" s="16" t="n">
        <f aca="false">H24*(1-INDEX(Assumptions!$C$26:$E$26,$B$3))*H33</f>
        <v>3.372</v>
      </c>
      <c r="I36" s="16" t="n">
        <f aca="false">I24*(1-INDEX(Assumptions!$C$26:$E$26,$B$3))*I33</f>
        <v>2.74657236735092</v>
      </c>
      <c r="J36" s="16" t="n">
        <f aca="false">J24*(1-INDEX(Assumptions!$C$26:$E$26,$B$3))*J33</f>
        <v>2.76425547763254</v>
      </c>
      <c r="K36" s="16" t="n">
        <f aca="false">K24*(1-INDEX(Assumptions!$C$26:$E$26,$B$3))*K33</f>
        <v>3.20773194412257</v>
      </c>
      <c r="L36" s="16" t="n">
        <f aca="false">L24*(1-INDEX(Assumptions!$C$26:$E$26,$B$3))*L33</f>
        <v>4.4</v>
      </c>
      <c r="M36" s="16" t="n">
        <f aca="false">M24*(1-INDEX(Assumptions!$C$26:$E$26,$B$3))*M33</f>
        <v>3.5752239306655</v>
      </c>
      <c r="N36" s="16" t="n">
        <f aca="false">N24*(1-INDEX(Assumptions!$C$26:$E$26,$B$3))*N33</f>
        <v>4</v>
      </c>
      <c r="O36" s="38" t="n">
        <f aca="false">SUM(C36:N36)</f>
        <v>32.0012037197715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0.310626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0.81</v>
      </c>
      <c r="I37" s="16" t="n">
        <f aca="false">H36*INDEX(Assumptions!$C$89:$E$89,$B$3)*I33</f>
        <v>0.615569081622694</v>
      </c>
      <c r="J37" s="16" t="n">
        <f aca="false">I36*INDEX(Assumptions!$C$89:$E$89,$B$3)*J33</f>
        <v>0.485933673269582</v>
      </c>
      <c r="K37" s="16" t="n">
        <f aca="false">J36*INDEX(Assumptions!$C$89:$E$89,$B$3)*K33</f>
        <v>0.612925617326107</v>
      </c>
      <c r="L37" s="16" t="n">
        <f aca="false">K36*INDEX(Assumptions!$C$89:$E$89,$B$3)*L33</f>
        <v>0.962319583236772</v>
      </c>
      <c r="M37" s="16" t="n">
        <f aca="false">L36*INDEX(Assumptions!$C$89:$E$89,$B$3)*M33</f>
        <v>1.12364180678059</v>
      </c>
      <c r="N37" s="16" t="n">
        <f aca="false">M36*INDEX(Assumptions!$C$89:$E$89,$B$3)*N33</f>
        <v>1.07256717919965</v>
      </c>
      <c r="O37" s="38" t="n">
        <f aca="false">SUM(C37:N37)</f>
        <v>7.25358294143539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2.58855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6.75</v>
      </c>
      <c r="H38" s="38" t="n">
        <f aca="false">H34+H35+H36</f>
        <v>8.43</v>
      </c>
      <c r="I38" s="38" t="n">
        <f aca="false">I34+I35+I36</f>
        <v>6.86643091837731</v>
      </c>
      <c r="J38" s="38" t="n">
        <f aca="false">J34+J35+J36</f>
        <v>6.91063869408134</v>
      </c>
      <c r="K38" s="38" t="n">
        <f aca="false">K34+K35+K36</f>
        <v>8.01932986030643</v>
      </c>
      <c r="L38" s="38" t="n">
        <f aca="false">L34+L35+L36</f>
        <v>12.35</v>
      </c>
      <c r="M38" s="38" t="n">
        <f aca="false">M34+M35+M36</f>
        <v>10.151082231711</v>
      </c>
      <c r="N38" s="38" t="n">
        <f aca="false">N34+N35+N36</f>
        <v>10</v>
      </c>
      <c r="O38" s="17" t="n">
        <f aca="false">SUM(C38:N38)</f>
        <v>82.5660317044761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2.58855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6.75</v>
      </c>
      <c r="H39" s="16" t="n">
        <f aca="false">IF(6&lt;IF($Q$3=1,$Q$4+1,INDEX(Assumptions!$C$215:$E$215,$D$3)),H24,H38)</f>
        <v>8.43</v>
      </c>
      <c r="I39" s="16" t="n">
        <f aca="false">IF(7&lt;IF($Q$3=1,$Q$4+1,INDEX(Assumptions!$C$215:$E$215,$D$3)),I24,I38)</f>
        <v>11.284</v>
      </c>
      <c r="J39" s="16" t="n">
        <f aca="false">IF(8&lt;IF($Q$3=1,$Q$4+1,INDEX(Assumptions!$C$215:$E$215,$D$3)),J24,J38)</f>
        <v>11.718</v>
      </c>
      <c r="K39" s="16" t="n">
        <f aca="false">IF(9&lt;IF($Q$3=1,$Q$4+1,INDEX(Assumptions!$C$215:$E$215,$D$3)),K24,K38)</f>
        <v>10.85</v>
      </c>
      <c r="L39" s="16" t="n">
        <f aca="false">IF(10&lt;IF($Q$3=1,$Q$4+1,INDEX(Assumptions!$C$215:$E$215,$D$3)),L24,L38)</f>
        <v>12.35</v>
      </c>
      <c r="M39" s="16" t="n">
        <f aca="false">IF(11&lt;IF($Q$3=1,$Q$4+1,INDEX(Assumptions!$C$215:$E$215,$D$3)),M24,M38)</f>
        <v>10.151082231711</v>
      </c>
      <c r="N39" s="16" t="n">
        <f aca="false">IF(12&lt;IF($Q$3=1,$Q$4+1,INDEX(Assumptions!$C$215:$E$215,$D$3)),N24,N38)</f>
        <v>10</v>
      </c>
      <c r="O39" s="38" t="n">
        <f aca="false">SUM(C39:N39)</f>
        <v>94.621632231711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0.6471375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1.6875</v>
      </c>
      <c r="H40" s="16" t="n">
        <f aca="false">H38*INDEX(Assumptions!$C$74:$E$74,$B$3)</f>
        <v>2.1075</v>
      </c>
      <c r="I40" s="16" t="n">
        <f aca="false">I38*INDEX(Assumptions!$C$74:$E$74,$B$3)</f>
        <v>1.71660772959433</v>
      </c>
      <c r="J40" s="16" t="n">
        <f aca="false">J38*INDEX(Assumptions!$C$74:$E$74,$B$3)</f>
        <v>1.72765967352034</v>
      </c>
      <c r="K40" s="16" t="n">
        <f aca="false">K38*INDEX(Assumptions!$C$74:$E$74,$B$3)</f>
        <v>2.00483246507661</v>
      </c>
      <c r="L40" s="16" t="n">
        <f aca="false">L38*INDEX(Assumptions!$C$74:$E$74,$B$3)</f>
        <v>3.0875</v>
      </c>
      <c r="M40" s="16" t="n">
        <f aca="false">M38*INDEX(Assumptions!$C$74:$E$74,$B$3)</f>
        <v>2.53777055792775</v>
      </c>
      <c r="N40" s="16" t="n">
        <f aca="false">N38*INDEX(Assumptions!$C$74:$E$74,$B$3)</f>
        <v>2.5</v>
      </c>
      <c r="O40" s="38" t="n">
        <f aca="false">SUM(C40:N40)</f>
        <v>20.641507926119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0.587925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3.6</v>
      </c>
      <c r="H41" s="16" t="n">
        <f aca="false">H10*MIN(H16,H21*H20)*H22*H23*H33</f>
        <v>4.68</v>
      </c>
      <c r="I41" s="16" t="n">
        <f aca="false">I10*MIN(I16,I21*I20)*I22*I23*I33</f>
        <v>3.70217703894076</v>
      </c>
      <c r="J41" s="16" t="n">
        <f aca="false">J10*MIN(J16,J21*J20)*J22*J23*J33</f>
        <v>3.72601256777658</v>
      </c>
      <c r="K41" s="16" t="n">
        <f aca="false">K10*MIN(K16,K21*K20)*K22*K23*K33</f>
        <v>4.3237861458795</v>
      </c>
      <c r="L41" s="16" t="n">
        <f aca="false">L10*MIN(L16,L21*L20)*L22*L23*L33</f>
        <v>6.6</v>
      </c>
      <c r="M41" s="16" t="n">
        <f aca="false">M10*MIN(M16,M21*M20)*M22*M23*M33</f>
        <v>5.36283589599826</v>
      </c>
      <c r="N41" s="16" t="n">
        <f aca="false">N10*MIN(N16,N21*N20)*N22*N23*N33</f>
        <v>6</v>
      </c>
      <c r="O41" s="38" t="n">
        <f aca="false">SUM(C41:N41)</f>
        <v>42.3827366485951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4.02855</v>
      </c>
      <c r="E42" s="6" t="n">
        <f aca="false">E31+E34+E37+E36+1.25*E35</f>
        <v>6.803756</v>
      </c>
      <c r="F42" s="6" t="n">
        <f aca="false">F31+F34+F37+F36+1.25*F35</f>
        <v>9.623756</v>
      </c>
      <c r="G42" s="6" t="n">
        <f aca="false">G31+G34+G37+G36+1.25*G35</f>
        <v>13.180626</v>
      </c>
      <c r="H42" s="6" t="n">
        <f aca="false">H31+H34+H37+H36+1.25*H35</f>
        <v>17.31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24.1191600064651</v>
      </c>
      <c r="M42" s="6" t="n">
        <f aca="false">M31+M34+M37+M36+1.25*M35</f>
        <v>27</v>
      </c>
      <c r="N42" s="6" t="n">
        <f aca="false">N31+N34+N37+N36+1.25*N35</f>
        <v>25.6978197150242</v>
      </c>
      <c r="O42" s="41" t="n">
        <f aca="false">AVERAGE(C42:N42)</f>
        <v>15.3136389767908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0.251784375</v>
      </c>
      <c r="E43" s="39" t="n">
        <f aca="false">E42/(E25*E26)</f>
        <v>0.42523475</v>
      </c>
      <c r="F43" s="39" t="n">
        <f aca="false">F42/(F25*F26)</f>
        <v>0.60148475</v>
      </c>
      <c r="G43" s="39" t="n">
        <f aca="false">G42/(G25*G26)</f>
        <v>0.6590313</v>
      </c>
      <c r="H43" s="39" t="n">
        <f aca="false">H42/(H25*H26)</f>
        <v>0.8655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0.803972000215504</v>
      </c>
      <c r="M43" s="39" t="n">
        <f aca="false">M42/(M25*M26)</f>
        <v>0.9</v>
      </c>
      <c r="N43" s="39" t="n">
        <f aca="false">N42/(N25*N26)</f>
        <v>0.856593990500806</v>
      </c>
      <c r="O43" s="9" t="n">
        <f aca="false">N43</f>
        <v>0.856593990500806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2.42828330206379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6.33208255159475</v>
      </c>
      <c r="H48" s="6" t="n">
        <f aca="false">H24*INDEX(Assumptions!$C$31:$E$31,$B$3)/(INDEX(Assumptions!$C$56:$E$56,$B$3)*INDEX(Assumptions!$C$57:$E$57,$B$3)*INDEX(Assumptions!$C$58:$E$58,$B$3))</f>
        <v>7.90806754221388</v>
      </c>
      <c r="I48" s="6" t="n">
        <f aca="false">I24*INDEX(Assumptions!$C$31:$E$31,$B$3)/(INDEX(Assumptions!$C$56:$E$56,$B$3)*INDEX(Assumptions!$C$57:$E$57,$B$3)*INDEX(Assumptions!$C$58:$E$58,$B$3))</f>
        <v>10.5853658536585</v>
      </c>
      <c r="J48" s="6" t="n">
        <f aca="false">J24*INDEX(Assumptions!$C$31:$E$31,$B$3)/(INDEX(Assumptions!$C$56:$E$56,$B$3)*INDEX(Assumptions!$C$57:$E$57,$B$3)*INDEX(Assumptions!$C$58:$E$58,$B$3))</f>
        <v>10.9924953095685</v>
      </c>
      <c r="K48" s="6" t="n">
        <f aca="false">K24*INDEX(Assumptions!$C$31:$E$31,$B$3)/(INDEX(Assumptions!$C$56:$E$56,$B$3)*INDEX(Assumptions!$C$57:$E$57,$B$3)*INDEX(Assumptions!$C$58:$E$58,$B$3))</f>
        <v>10.1782363977486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87.8241557223265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78972.7118644068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205932.203389831</v>
      </c>
      <c r="H56" s="10" t="n">
        <f aca="false">H34*H53/(1+INDEX(Assumptions!$C$15:$E$15,$B$3)*$H$4)</f>
        <v>257186.440677966</v>
      </c>
      <c r="I56" s="10" t="n">
        <f aca="false">I34*I53/(1+INDEX(Assumptions!$C$15:$E$15,$B$3)*$H$4)</f>
        <v>209484.333103036</v>
      </c>
      <c r="J56" s="10" t="n">
        <f aca="false">J34*J53/(1+INDEX(Assumptions!$C$15:$E$15,$B$3)*$H$4)</f>
        <v>210833.044904177</v>
      </c>
      <c r="K56" s="10" t="n">
        <f aca="false">K34*K53/(1+INDEX(Assumptions!$C$15:$E$15,$B$3)*$H$4)</f>
        <v>244657.521161891</v>
      </c>
      <c r="L56" s="10" t="n">
        <f aca="false">L34*L53/(1+INDEX(Assumptions!$C$15:$E$15,$B$3)*$H$4)</f>
        <v>279661.016949152</v>
      </c>
      <c r="M56" s="10" t="n">
        <f aca="false">M34*M53/(1+INDEX(Assumptions!$C$15:$E$15,$B$3)*$H$4)</f>
        <v>227238.809152468</v>
      </c>
      <c r="N56" s="10" t="n">
        <f aca="false">N34*N53/(1+INDEX(Assumptions!$C$15:$E$15,$B$3)*$H$4)</f>
        <v>254237.288135593</v>
      </c>
      <c r="O56" s="40" t="n">
        <f aca="false">SUM(C56:N56)</f>
        <v>2288542.35238937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144278.608985694</v>
      </c>
      <c r="N57" s="10" t="n">
        <f aca="false">N35*N53/(1+INDEX(Assumptions!$C$15:$E$15,$B$3)*$H$4)</f>
        <v>84745.7627118644</v>
      </c>
      <c r="O57" s="40" t="n">
        <f aca="false">SUM(C57:N57)</f>
        <v>398515.897121287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5291.17169491526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13797.4576271186</v>
      </c>
      <c r="I58" s="10" t="n">
        <f aca="false">I37*MAX(0,I53-INDEX(Assumptions!$C$18:$E$18,$B$3)*$H$3)/(1+INDEX(Assumptions!$C$15:$E$15,$B$3)*$H$4)</f>
        <v>10485.5411361154</v>
      </c>
      <c r="J58" s="10" t="n">
        <f aca="false">J37*MAX(0,J53-INDEX(Assumptions!$C$18:$E$18,$B$3)*$H$3)/(1+INDEX(Assumptions!$C$15:$E$15,$B$3)*$H$4)</f>
        <v>8277.34477349034</v>
      </c>
      <c r="K58" s="10" t="n">
        <f aca="false">K37*MAX(0,K53-INDEX(Assumptions!$C$18:$E$18,$B$3)*$H$3)/(1+INDEX(Assumptions!$C$15:$E$15,$B$3)*$H$4)</f>
        <v>10440.5126341142</v>
      </c>
      <c r="L58" s="10" t="n">
        <f aca="false">L37*MAX(0,L53-INDEX(Assumptions!$C$18:$E$18,$B$3)*$H$3)/(1+INDEX(Assumptions!$C$15:$E$15,$B$3)*$H$4)</f>
        <v>21828.8877214443</v>
      </c>
      <c r="M58" s="10" t="n">
        <f aca="false">M37*MAX(0,M53-INDEX(Assumptions!$C$18:$E$18,$B$3)*$H$3)/(1+INDEX(Assumptions!$C$15:$E$15,$B$3)*$H$4)</f>
        <v>25488.2590634127</v>
      </c>
      <c r="N58" s="10" t="n">
        <f aca="false">N37*MAX(0,N53-INDEX(Assumptions!$C$18:$E$18,$B$3)*$H$3)/(1+INDEX(Assumptions!$C$15:$E$15,$B$3)*$H$4)</f>
        <v>24329.7018332576</v>
      </c>
      <c r="O58" s="40" t="n">
        <f aca="false">SUM(C58:N58)</f>
        <v>141401.588348275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35011.2355932203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91296.6101694915</v>
      </c>
      <c r="H59" s="10" t="n">
        <f aca="false">H36*INDEX(Assumptions!$C$18:$E$18,$B$3)*$H$3/(1+INDEX(Assumptions!$C$15:$E$15,$B$3)*$H$4)</f>
        <v>114019.322033898</v>
      </c>
      <c r="I59" s="10" t="n">
        <f aca="false">I36*INDEX(Assumptions!$C$18:$E$18,$B$3)*$H$3/(1+INDEX(Assumptions!$C$15:$E$15,$B$3)*$H$4)</f>
        <v>92871.3876756795</v>
      </c>
      <c r="J59" s="10" t="n">
        <f aca="false">J36*INDEX(Assumptions!$C$18:$E$18,$B$3)*$H$3/(1+INDEX(Assumptions!$C$15:$E$15,$B$3)*$H$4)</f>
        <v>93469.3165741849</v>
      </c>
      <c r="K59" s="10" t="n">
        <f aca="false">K36*INDEX(Assumptions!$C$18:$E$18,$B$3)*$H$3/(1+INDEX(Assumptions!$C$15:$E$15,$B$3)*$H$4)</f>
        <v>108464.834381772</v>
      </c>
      <c r="L59" s="10" t="n">
        <f aca="false">L36*INDEX(Assumptions!$C$18:$E$18,$B$3)*$H$3/(1+INDEX(Assumptions!$C$15:$E$15,$B$3)*$H$4)</f>
        <v>148779.661016949</v>
      </c>
      <c r="M59" s="10" t="n">
        <f aca="false">M36*INDEX(Assumptions!$C$18:$E$18,$B$3)*$H$3/(1+INDEX(Assumptions!$C$15:$E$15,$B$3)*$H$4)</f>
        <v>120891.046469113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1082074.60035499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1836.66006250994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4789.34361783318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5981.35802938277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8006.36346424142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8314.3005205584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7698.42640792444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66426.8123911899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7632</v>
      </c>
      <c r="M65" s="10" t="n">
        <f aca="false">(M34+M35)*(1-M54)*INDEX(Assumptions!$C$90:$E$90,$B$3)</f>
        <v>6312.82396900366</v>
      </c>
      <c r="N65" s="10" t="n">
        <f aca="false">(N34+N35)*(1-N54)*INDEX(Assumptions!$C$90:$E$90,$B$3)</f>
        <v>5760</v>
      </c>
      <c r="O65" s="40" t="n">
        <f aca="false">SUM(C65:N65)</f>
        <v>19704.8239690037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170746.031248951</v>
      </c>
      <c r="E66" s="40" t="n">
        <f aca="false">SUM(E56:E65)</f>
        <v>268979.418103158</v>
      </c>
      <c r="F66" s="40" t="n">
        <f aca="false">SUM(F56:F65)</f>
        <v>375142.597532356</v>
      </c>
      <c r="G66" s="40" t="n">
        <f aca="false">SUM(G56:G65)</f>
        <v>461921.365651732</v>
      </c>
      <c r="H66" s="40" t="n">
        <f aca="false">SUM(H56:H65)</f>
        <v>565143.093622603</v>
      </c>
      <c r="I66" s="40" t="n">
        <f aca="false">SUM(I56:I65)</f>
        <v>519481.786396022</v>
      </c>
      <c r="J66" s="40" t="n">
        <f aca="false">SUM(J56:J65)</f>
        <v>544003.813552071</v>
      </c>
      <c r="K66" s="40" t="n">
        <f aca="false">SUM(K56:K65)</f>
        <v>594371.101365362</v>
      </c>
      <c r="L66" s="40" t="n">
        <f aca="false">SUM(L56:L65)</f>
        <v>891342.499919746</v>
      </c>
      <c r="M66" s="40" t="n">
        <f aca="false">SUM(M56:M65)</f>
        <v>806868.173305098</v>
      </c>
      <c r="N66" s="40" t="n">
        <f aca="false">SUM(N56:N65)</f>
        <v>805694.83249119</v>
      </c>
      <c r="O66" s="11" t="n">
        <f aca="false">SUM(C66:N66)</f>
        <v>6122836.65931988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118072.083050847</v>
      </c>
      <c r="E67" s="10" t="n">
        <f aca="false">E56+E57+E58+E59</f>
        <v>159409.815762712</v>
      </c>
      <c r="F67" s="10" t="n">
        <f aca="false">F56+F57+F58+F59</f>
        <v>227323.728813559</v>
      </c>
      <c r="G67" s="10" t="n">
        <f aca="false">G56+G57+G58+G59</f>
        <v>307449.152542373</v>
      </c>
      <c r="H67" s="10" t="n">
        <f aca="false">H56+H57+H58+H59</f>
        <v>385003.220338983</v>
      </c>
      <c r="I67" s="10" t="n">
        <f aca="false">I56+I57+I58+I59</f>
        <v>312841.261914831</v>
      </c>
      <c r="J67" s="10" t="n">
        <f aca="false">J56+J57+J58+J59</f>
        <v>312579.706251852</v>
      </c>
      <c r="K67" s="10" t="n">
        <f aca="false">K56+K57+K58+K59</f>
        <v>363562.868177777</v>
      </c>
      <c r="L67" s="10" t="n">
        <f aca="false">L56+L57+L58+L59</f>
        <v>619761.091111275</v>
      </c>
      <c r="M67" s="10" t="n">
        <f aca="false">M56+M57+M58+M59</f>
        <v>517896.723670689</v>
      </c>
      <c r="N67" s="10" t="n">
        <f aca="false">N56+N57+N58+N59</f>
        <v>498566.989968851</v>
      </c>
      <c r="O67" s="40" t="n">
        <f aca="false">SUM(C67:N67)</f>
        <v>3910534.43821392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10758.78</v>
      </c>
      <c r="E69" s="10" t="n">
        <f aca="false">((E34+E37)*INDEX(Assumptions!$C$91:$E$91,$B$3)+E35*(INDEX(Assumptions!$C$93:$E$93,$B$3)+IF($Q$3=1,INDEX(Assumptions!$C$282:$E$282,$B$3),0)))*$N$3</f>
        <v>14463.756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27900</v>
      </c>
      <c r="H69" s="10" t="n">
        <f aca="false">((H34+H37)*INDEX(Assumptions!$C$91:$E$91,$B$3)+H35*(INDEX(Assumptions!$C$93:$E$93,$B$3)+IF($Q$3=1,INDEX(Assumptions!$C$282:$E$282,$B$3),0)))*$N$3</f>
        <v>35208</v>
      </c>
      <c r="I69" s="10" t="n">
        <f aca="false">((I34+I37)*INDEX(Assumptions!$C$91:$E$91,$B$3)+I35*(INDEX(Assumptions!$C$93:$E$93,$B$3)+IF($Q$3=1,INDEX(Assumptions!$C$282:$E$282,$B$3),0)))*$N$3</f>
        <v>28412.5657958945</v>
      </c>
      <c r="J69" s="10" t="n">
        <f aca="false">((J34+J37)*INDEX(Assumptions!$C$91:$E$91,$B$3)+J35*(INDEX(Assumptions!$C$93:$E$93,$B$3)+IF($Q$3=1,INDEX(Assumptions!$C$282:$E$282,$B$3),0)))*$N$3</f>
        <v>27793.9013383103</v>
      </c>
      <c r="K69" s="10" t="n">
        <f aca="false">((K34+K37)*INDEX(Assumptions!$C$91:$E$91,$B$3)+K35*(INDEX(Assumptions!$C$93:$E$93,$B$3)+IF($Q$3=1,INDEX(Assumptions!$C$282:$E$282,$B$3),0)))*$N$3</f>
        <v>32547.1412010598</v>
      </c>
      <c r="L69" s="10" t="n">
        <f aca="false">((L34+L37)*INDEX(Assumptions!$C$91:$E$91,$B$3)+L35*(INDEX(Assumptions!$C$93:$E$93,$B$3)+IF($Q$3=1,INDEX(Assumptions!$C$282:$E$282,$B$3),0)))*$N$3</f>
        <v>63973.9174994206</v>
      </c>
      <c r="M69" s="10" t="n">
        <f aca="false">((M34+M37)*INDEX(Assumptions!$C$91:$E$91,$B$3)+M35*(INDEX(Assumptions!$C$93:$E$93,$B$3)+IF($Q$3=1,INDEX(Assumptions!$C$282:$E$282,$B$3),0)))*$N$3</f>
        <v>55135.0604736202</v>
      </c>
      <c r="N69" s="10" t="n">
        <f aca="false">((N34+N37)*INDEX(Assumptions!$C$91:$E$91,$B$3)+N35*(INDEX(Assumptions!$C$93:$E$93,$B$3)+IF($Q$3=1,INDEX(Assumptions!$C$282:$E$282,$B$3),0)))*$N$3</f>
        <v>47685.4030751979</v>
      </c>
      <c r="O69" s="40" t="n">
        <f aca="false">SUM(C69:N69)</f>
        <v>371598.525383503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18637.56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48600</v>
      </c>
      <c r="H70" s="10" t="n">
        <f aca="false">(H34+H35)*H54*INDEX(Assumptions!$C$14:$E$14,$B$3)*$N$3</f>
        <v>60696</v>
      </c>
      <c r="I70" s="10" t="n">
        <f aca="false">(I34+I35)*I54*INDEX(Assumptions!$C$14:$E$14,$B$3)*$N$3</f>
        <v>49438.3026123166</v>
      </c>
      <c r="J70" s="10" t="n">
        <f aca="false">(J34+J35)*J54*INDEX(Assumptions!$C$14:$E$14,$B$3)*$N$3</f>
        <v>49756.5985973856</v>
      </c>
      <c r="K70" s="10" t="n">
        <f aca="false">(K34+K35)*K54*INDEX(Assumptions!$C$14:$E$14,$B$3)*$N$3</f>
        <v>57739.1749942063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360467.636203909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2070.84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5400</v>
      </c>
      <c r="H71" s="10" t="n">
        <f aca="false">H36*INDEX(Assumptions!$C$92:$E$92,$B$3)*$N$3</f>
        <v>6744</v>
      </c>
      <c r="I71" s="10" t="n">
        <f aca="false">I36*INDEX(Assumptions!$C$92:$E$92,$B$3)*$N$3</f>
        <v>5493.14473470185</v>
      </c>
      <c r="J71" s="10" t="n">
        <f aca="false">J36*INDEX(Assumptions!$C$92:$E$92,$B$3)*$N$3</f>
        <v>5528.51095526507</v>
      </c>
      <c r="K71" s="10" t="n">
        <f aca="false">K36*INDEX(Assumptions!$C$92:$E$92,$B$3)*$N$3</f>
        <v>6415.46388824514</v>
      </c>
      <c r="L71" s="10" t="n">
        <f aca="false">L36*INDEX(Assumptions!$C$92:$E$92,$B$3)*$N$3</f>
        <v>8800</v>
      </c>
      <c r="M71" s="10" t="n">
        <f aca="false">M36*INDEX(Assumptions!$C$92:$E$92,$B$3)*$N$3</f>
        <v>7150.44786133101</v>
      </c>
      <c r="N71" s="10" t="n">
        <f aca="false">N36*INDEX(Assumptions!$C$92:$E$92,$B$3)*$N$3</f>
        <v>8000</v>
      </c>
      <c r="O71" s="40" t="n">
        <f aca="false">SUM(C71:N71)</f>
        <v>64002.4074395431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5407.07082551595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17183.0206378987</v>
      </c>
      <c r="H72" s="10" t="n">
        <f aca="false">(H46*INDEX(Assumptions!$C$94:$E$94,$B$3)+H47*INDEX(Assumptions!$C$95:$E$95,$B$3)+H48*INDEX(Assumptions!$C$96:$E$96,$B$3))*$N$3</f>
        <v>20377.0168855535</v>
      </c>
      <c r="I72" s="10" t="n">
        <f aca="false">(I46*INDEX(Assumptions!$C$94:$E$94,$B$3)+I47*INDEX(Assumptions!$C$95:$E$95,$B$3)+I48*INDEX(Assumptions!$C$96:$E$96,$B$3))*$N$3</f>
        <v>23846.3414634146</v>
      </c>
      <c r="J72" s="10" t="n">
        <f aca="false">(J46*INDEX(Assumptions!$C$94:$E$94,$B$3)+J47*INDEX(Assumptions!$C$95:$E$95,$B$3)+J48*INDEX(Assumptions!$C$96:$E$96,$B$3))*$N$3</f>
        <v>26748.1238273921</v>
      </c>
      <c r="K72" s="10" t="n">
        <f aca="false">(K46*INDEX(Assumptions!$C$94:$E$94,$B$3)+K47*INDEX(Assumptions!$C$95:$E$95,$B$3)+K48*INDEX(Assumptions!$C$96:$E$96,$B$3))*$N$3</f>
        <v>26544.5590994372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238956.038930582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5744.81283747524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8662.17696273452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15364.8942293809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18933.1945094934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16802.1480619846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17363.1195466727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19294.9323901101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30761.4495295538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27240.2561242128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26516.8063896489</v>
      </c>
      <c r="O75" s="40" t="n">
        <f aca="false">SUM(C75:N75)</f>
        <v>202906.640811736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1553.13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4050</v>
      </c>
      <c r="H76" s="10" t="n">
        <f aca="false">H38*INDEX(Assumptions!$C$240:$E$240,$B$3)*INDEX(Assumptions!$C$69:$E$69,$B$3)</f>
        <v>5058</v>
      </c>
      <c r="I76" s="10" t="n">
        <f aca="false">I38*INDEX(Assumptions!$C$240:$E$240,$B$3)*INDEX(Assumptions!$C$69:$E$69,$B$3)</f>
        <v>4119.85855102638</v>
      </c>
      <c r="J76" s="10" t="n">
        <f aca="false">J38*INDEX(Assumptions!$C$240:$E$240,$B$3)*INDEX(Assumptions!$C$69:$E$69,$B$3)</f>
        <v>4146.38321644881</v>
      </c>
      <c r="K76" s="10" t="n">
        <f aca="false">K38*INDEX(Assumptions!$C$240:$E$240,$B$3)*INDEX(Assumptions!$C$69:$E$69,$B$3)</f>
        <v>4811.59791618386</v>
      </c>
      <c r="L76" s="10" t="n">
        <f aca="false">L38*INDEX(Assumptions!$C$240:$E$240,$B$3)*INDEX(Assumptions!$C$69:$E$69,$B$3)</f>
        <v>7410</v>
      </c>
      <c r="M76" s="10" t="n">
        <f aca="false">M38*INDEX(Assumptions!$C$240:$E$240,$B$3)*INDEX(Assumptions!$C$69:$E$69,$B$3)</f>
        <v>6090.64933902659</v>
      </c>
      <c r="N76" s="10" t="n">
        <f aca="false">N38*INDEX(Assumptions!$C$240:$E$240,$B$3)*INDEX(Assumptions!$C$69:$E$69,$B$3)</f>
        <v>6000</v>
      </c>
      <c r="O76" s="40" t="n">
        <f aca="false">SUM(C76:N76)</f>
        <v>49539.6190226856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44172.1936629912</v>
      </c>
      <c r="E77" s="40" t="n">
        <f aca="false">SUM(E69:E76)</f>
        <v>65122.758478682</v>
      </c>
      <c r="F77" s="40" t="n">
        <f aca="false">SUM(F69:F76)</f>
        <v>92395.7081816886</v>
      </c>
      <c r="G77" s="40" t="n">
        <f aca="false">SUM(G69:G76)</f>
        <v>119925.91486728</v>
      </c>
      <c r="H77" s="40" t="n">
        <f aca="false">SUM(H69:H76)</f>
        <v>148920.211395047</v>
      </c>
      <c r="I77" s="40" t="n">
        <f aca="false">SUM(I69:I76)</f>
        <v>130492.361219339</v>
      </c>
      <c r="J77" s="40" t="n">
        <f aca="false">SUM(J69:J76)</f>
        <v>134192.637481475</v>
      </c>
      <c r="K77" s="40" t="n">
        <f aca="false">SUM(K69:K76)</f>
        <v>150208.869489242</v>
      </c>
      <c r="L77" s="40" t="n">
        <f aca="false">SUM(L69:L76)</f>
        <v>167581.104364809</v>
      </c>
      <c r="M77" s="40" t="n">
        <f aca="false">SUM(M69:M76)</f>
        <v>153934.890346033</v>
      </c>
      <c r="N77" s="40" t="n">
        <f aca="false">SUM(N69:N76)</f>
        <v>148203.425224697</v>
      </c>
      <c r="O77" s="11" t="n">
        <f aca="false">SUM(C77:N77)</f>
        <v>1386890.86779196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126573.837585959</v>
      </c>
      <c r="E78" s="40" t="n">
        <f aca="false">E66-E77</f>
        <v>203856.659624476</v>
      </c>
      <c r="F78" s="40" t="n">
        <f aca="false">F66-F77</f>
        <v>282746.889350668</v>
      </c>
      <c r="G78" s="40" t="n">
        <f aca="false">G66-G77</f>
        <v>341995.450784452</v>
      </c>
      <c r="H78" s="40" t="n">
        <f aca="false">H66-H77</f>
        <v>416222.882227556</v>
      </c>
      <c r="I78" s="40" t="n">
        <f aca="false">I66-I77</f>
        <v>388989.425176683</v>
      </c>
      <c r="J78" s="40" t="n">
        <f aca="false">J66-J77</f>
        <v>409811.176070596</v>
      </c>
      <c r="K78" s="40" t="n">
        <f aca="false">K66-K77</f>
        <v>444162.23187612</v>
      </c>
      <c r="L78" s="40" t="n">
        <f aca="false">L66-L77</f>
        <v>723761.395554937</v>
      </c>
      <c r="M78" s="40" t="n">
        <f aca="false">M66-M77</f>
        <v>652933.282959065</v>
      </c>
      <c r="N78" s="40" t="n">
        <f aca="false">N66-N77</f>
        <v>657491.407266493</v>
      </c>
      <c r="O78" s="11" t="n">
        <f aca="false">SUM(C78:N78)</f>
        <v>4735945.79152792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0.741298855733945</v>
      </c>
      <c r="E79" s="8" t="n">
        <f aca="false">IFERROR(E78/E66,0)</f>
        <v>0.757889436530395</v>
      </c>
      <c r="F79" s="8" t="n">
        <f aca="false">IFERROR(F78/F66,0)</f>
        <v>0.753705100968387</v>
      </c>
      <c r="G79" s="8" t="n">
        <f aca="false">IFERROR(G78/G66,0)</f>
        <v>0.740375908574668</v>
      </c>
      <c r="H79" s="8" t="n">
        <f aca="false">IFERROR(H78/H66,0)</f>
        <v>0.736491141667398</v>
      </c>
      <c r="I79" s="8" t="n">
        <f aca="false">IFERROR(I78/I66,0)</f>
        <v>0.748802817275563</v>
      </c>
      <c r="J79" s="8" t="n">
        <f aca="false">IFERROR(J78/J66,0)</f>
        <v>0.753324086819789</v>
      </c>
      <c r="K79" s="8" t="n">
        <f aca="false">IFERROR(K78/K66,0)</f>
        <v>0.747281001475023</v>
      </c>
      <c r="L79" s="8" t="n">
        <f aca="false">IFERROR(L78/L66,0)</f>
        <v>0.811990223309336</v>
      </c>
      <c r="M79" s="8" t="n">
        <f aca="false">IFERROR(M78/M66,0)</f>
        <v>0.809219280870276</v>
      </c>
      <c r="N79" s="8" t="n">
        <f aca="false">IFERROR(N78/N66,0)</f>
        <v>0.816055137443969</v>
      </c>
      <c r="O79" s="13" t="n">
        <f aca="false">IFERROR(O78/O66,0)</f>
        <v>0.773488834512529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19500</v>
      </c>
      <c r="D97" s="10" t="n">
        <f aca="false">D18</f>
        <v>19500</v>
      </c>
      <c r="E97" s="10" t="n">
        <f aca="false">E18</f>
        <v>52000</v>
      </c>
      <c r="F97" s="10" t="n">
        <f aca="false">F18</f>
        <v>65000</v>
      </c>
      <c r="G97" s="10" t="n">
        <f aca="false">G18</f>
        <v>78000</v>
      </c>
      <c r="H97" s="10" t="n">
        <f aca="false">H18</f>
        <v>78000</v>
      </c>
      <c r="I97" s="10" t="n">
        <f aca="false">I18</f>
        <v>78000</v>
      </c>
      <c r="J97" s="10" t="n">
        <f aca="false">J18</f>
        <v>78000</v>
      </c>
      <c r="K97" s="10" t="n">
        <f aca="false">K18</f>
        <v>78000</v>
      </c>
      <c r="L97" s="10" t="n">
        <f aca="false">L18</f>
        <v>104000</v>
      </c>
      <c r="M97" s="10" t="n">
        <f aca="false">M18</f>
        <v>130000</v>
      </c>
      <c r="N97" s="10" t="n">
        <f aca="false">N18</f>
        <v>130000</v>
      </c>
      <c r="O97" s="40" t="n">
        <f aca="false">SUM(C97:N97)</f>
        <v>910000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291333</v>
      </c>
      <c r="D102" s="40" t="n">
        <f aca="false">D92+SUM(D94:D101)</f>
        <v>306333</v>
      </c>
      <c r="E102" s="40" t="n">
        <f aca="false">E92+SUM(E94:E101)</f>
        <v>503833</v>
      </c>
      <c r="F102" s="40" t="n">
        <f aca="false">F92+SUM(F94:F101)</f>
        <v>366833</v>
      </c>
      <c r="G102" s="40" t="n">
        <f aca="false">G92+SUM(G94:G101)</f>
        <v>387833</v>
      </c>
      <c r="H102" s="40" t="n">
        <f aca="false">H92+SUM(H94:H101)</f>
        <v>387833</v>
      </c>
      <c r="I102" s="40" t="n">
        <f aca="false">I92+SUM(I94:I101)</f>
        <v>387833</v>
      </c>
      <c r="J102" s="40" t="n">
        <f aca="false">J92+SUM(J94:J101)</f>
        <v>387833</v>
      </c>
      <c r="K102" s="40" t="n">
        <f aca="false">K92+SUM(K94:K101)</f>
        <v>392833</v>
      </c>
      <c r="L102" s="40" t="n">
        <f aca="false">L92+SUM(L94:L101)</f>
        <v>571933</v>
      </c>
      <c r="M102" s="40" t="n">
        <f aca="false">M92+SUM(M94:M101)</f>
        <v>597933</v>
      </c>
      <c r="N102" s="40" t="n">
        <f aca="false">N92+SUM(N94:N101)</f>
        <v>597933</v>
      </c>
      <c r="O102" s="11" t="n">
        <f aca="false">SUM(C102:N102)</f>
        <v>5180296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-203931.846949089</v>
      </c>
      <c r="D103" s="40" t="n">
        <f aca="false">D78-D102</f>
        <v>-179759.162414041</v>
      </c>
      <c r="E103" s="40" t="n">
        <f aca="false">E78-E102</f>
        <v>-299976.340375524</v>
      </c>
      <c r="F103" s="40" t="n">
        <f aca="false">F78-F102</f>
        <v>-84086.1106493325</v>
      </c>
      <c r="G103" s="40" t="n">
        <f aca="false">G78-G102</f>
        <v>-45837.549215548</v>
      </c>
      <c r="H103" s="40" t="n">
        <f aca="false">H78-H102</f>
        <v>28389.8822275562</v>
      </c>
      <c r="I103" s="40" t="n">
        <f aca="false">I78-I102</f>
        <v>1156.42517668335</v>
      </c>
      <c r="J103" s="40" t="n">
        <f aca="false">J78-J102</f>
        <v>21978.1760705964</v>
      </c>
      <c r="K103" s="40" t="n">
        <f aca="false">K78-K102</f>
        <v>51329.2318761201</v>
      </c>
      <c r="L103" s="40" t="n">
        <f aca="false">L78-L102</f>
        <v>151828.395554937</v>
      </c>
      <c r="M103" s="40" t="n">
        <f aca="false">M78-M102</f>
        <v>55000.2829590645</v>
      </c>
      <c r="N103" s="40" t="n">
        <f aca="false">N78-N102</f>
        <v>59558.4072664933</v>
      </c>
      <c r="O103" s="11" t="n">
        <f aca="false">SUM(C103:N103)</f>
        <v>-444350.208472084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-1.71167127590694</v>
      </c>
      <c r="D104" s="8" t="n">
        <f aca="false">IFERROR(D103/D66,0)</f>
        <v>-1.05278676815597</v>
      </c>
      <c r="E104" s="8" t="n">
        <f aca="false">IFERROR(E103/E66,0)</f>
        <v>-1.11523901156065</v>
      </c>
      <c r="F104" s="8" t="n">
        <f aca="false">IFERROR(F103/F66,0)</f>
        <v>-0.22414439523115</v>
      </c>
      <c r="G104" s="8" t="n">
        <f aca="false">IFERROR(G103/G66,0)</f>
        <v>-0.0992323642593912</v>
      </c>
      <c r="H104" s="8" t="n">
        <f aca="false">IFERROR(H103/H66,0)</f>
        <v>0.0502348565308925</v>
      </c>
      <c r="I104" s="8" t="n">
        <f aca="false">IFERROR(I103/I66,0)</f>
        <v>0.0022261130360435</v>
      </c>
      <c r="J104" s="8" t="n">
        <f aca="false">IFERROR(J103/J66,0)</f>
        <v>0.0404007757355413</v>
      </c>
      <c r="K104" s="8" t="n">
        <f aca="false">IFERROR(K103/K66,0)</f>
        <v>0.0863588955758599</v>
      </c>
      <c r="L104" s="8" t="n">
        <f aca="false">IFERROR(L103/L66,0)</f>
        <v>0.17033676232044</v>
      </c>
      <c r="M104" s="8" t="n">
        <f aca="false">IFERROR(M103/M66,0)</f>
        <v>0.0681651411949638</v>
      </c>
      <c r="N104" s="8" t="n">
        <f aca="false">IFERROR(N103/N66,0)</f>
        <v>0.0739217937917513</v>
      </c>
      <c r="O104" s="8" t="n">
        <f aca="false">IFERROR(O103/O66,0)</f>
        <v>-0.0725726053455495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-278931.846949089</v>
      </c>
      <c r="D105" s="10" t="n">
        <f aca="false">D103-INDEX(Assumptions!$C$204:$E$204,$B$3)</f>
        <v>-254759.162414041</v>
      </c>
      <c r="E105" s="10" t="n">
        <f aca="false">E103-INDEX(Assumptions!$C$204:$E$204,$B$3)</f>
        <v>-374976.340375524</v>
      </c>
      <c r="F105" s="10" t="n">
        <f aca="false">F103-INDEX(Assumptions!$C$204:$E$204,$B$3)</f>
        <v>-159086.110649333</v>
      </c>
      <c r="G105" s="10" t="n">
        <f aca="false">G103-INDEX(Assumptions!$C$204:$E$204,$B$3)</f>
        <v>-120837.549215548</v>
      </c>
      <c r="H105" s="10" t="n">
        <f aca="false">H103-INDEX(Assumptions!$C$204:$E$204,$B$3)</f>
        <v>-46610.1177724438</v>
      </c>
      <c r="I105" s="10" t="n">
        <f aca="false">I103-INDEX(Assumptions!$C$204:$E$204,$B$3)</f>
        <v>-73843.5748233167</v>
      </c>
      <c r="J105" s="10" t="n">
        <f aca="false">J103-INDEX(Assumptions!$C$204:$E$204,$B$3)</f>
        <v>-53021.8239294036</v>
      </c>
      <c r="K105" s="10" t="n">
        <f aca="false">K103-INDEX(Assumptions!$C$204:$E$204,$B$3)</f>
        <v>-23670.7681238799</v>
      </c>
      <c r="L105" s="10" t="n">
        <f aca="false">L103-INDEX(Assumptions!$C$204:$E$204,$B$3)</f>
        <v>76828.3955549367</v>
      </c>
      <c r="M105" s="10" t="n">
        <f aca="false">M103-INDEX(Assumptions!$C$204:$E$204,$B$3)</f>
        <v>-19999.7170409355</v>
      </c>
      <c r="N105" s="10" t="n">
        <f aca="false">N103-INDEX(Assumptions!$C$204:$E$204,$B$3)</f>
        <v>-15441.5927335067</v>
      </c>
      <c r="O105" s="40" t="n">
        <f aca="false">SUM(C105:N105)</f>
        <v>-1344350.20847208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-15002.143220339</v>
      </c>
      <c r="E113" s="10" t="n">
        <f aca="false">((E67+IF(INDEX(Assumptions!$C$87:$E$87,$B$3)&gt;=2,D67,0)+IF(INDEX(Assumptions!$C$87:$E$87,$B$3)&gt;=3,C67,0))/INDEX(Assumptions!$C$87:$E$87,$B$3))-E67</f>
        <v>-20668.8663559322</v>
      </c>
      <c r="F113" s="10" t="n">
        <f aca="false">((F67+IF(INDEX(Assumptions!$C$87:$E$87,$B$3)&gt;=2,E67,0)+IF(INDEX(Assumptions!$C$87:$E$87,$B$3)&gt;=3,D67,0))/INDEX(Assumptions!$C$87:$E$87,$B$3))-F67</f>
        <v>-33956.9565254237</v>
      </c>
      <c r="G113" s="10" t="n">
        <f aca="false">((G67+IF(INDEX(Assumptions!$C$87:$E$87,$B$3)&gt;=2,F67,0)+IF(INDEX(Assumptions!$C$87:$E$87,$B$3)&gt;=3,E67,0))/INDEX(Assumptions!$C$87:$E$87,$B$3))-G67</f>
        <v>-40062.7118644068</v>
      </c>
      <c r="H113" s="10" t="n">
        <f aca="false">((H67+IF(INDEX(Assumptions!$C$87:$E$87,$B$3)&gt;=2,G67,0)+IF(INDEX(Assumptions!$C$87:$E$87,$B$3)&gt;=3,F67,0))/INDEX(Assumptions!$C$87:$E$87,$B$3))-H67</f>
        <v>-38777.0338983051</v>
      </c>
      <c r="I113" s="10" t="n">
        <f aca="false">((I67+IF(INDEX(Assumptions!$C$87:$E$87,$B$3)&gt;=2,H67,0)+IF(INDEX(Assumptions!$C$87:$E$87,$B$3)&gt;=3,G67,0))/INDEX(Assumptions!$C$87:$E$87,$B$3))-I67</f>
        <v>36080.9792120758</v>
      </c>
      <c r="J113" s="10" t="n">
        <f aca="false">((J67+IF(INDEX(Assumptions!$C$87:$E$87,$B$3)&gt;=2,I67,0)+IF(INDEX(Assumptions!$C$87:$E$87,$B$3)&gt;=3,H67,0))/INDEX(Assumptions!$C$87:$E$87,$B$3))-J67</f>
        <v>130.777831489802</v>
      </c>
      <c r="K113" s="10" t="n">
        <f aca="false">((K67+IF(INDEX(Assumptions!$C$87:$E$87,$B$3)&gt;=2,J67,0)+IF(INDEX(Assumptions!$C$87:$E$87,$B$3)&gt;=3,I67,0))/INDEX(Assumptions!$C$87:$E$87,$B$3))-K67</f>
        <v>-25491.5809629626</v>
      </c>
      <c r="L113" s="10" t="n">
        <f aca="false">((L67+IF(INDEX(Assumptions!$C$87:$E$87,$B$3)&gt;=2,K67,0)+IF(INDEX(Assumptions!$C$87:$E$87,$B$3)&gt;=3,J67,0))/INDEX(Assumptions!$C$87:$E$87,$B$3))-L67</f>
        <v>-128099.111466749</v>
      </c>
      <c r="M113" s="10" t="n">
        <f aca="false">((M67+IF(INDEX(Assumptions!$C$87:$E$87,$B$3)&gt;=2,L67,0)+IF(INDEX(Assumptions!$C$87:$E$87,$B$3)&gt;=3,K67,0))/INDEX(Assumptions!$C$87:$E$87,$B$3))-M67</f>
        <v>50932.1837202931</v>
      </c>
      <c r="N113" s="10" t="n">
        <f aca="false">((N67+IF(INDEX(Assumptions!$C$87:$E$87,$B$3)&gt;=2,M67,0)+IF(INDEX(Assumptions!$C$87:$E$87,$B$3)&gt;=3,L67,0))/INDEX(Assumptions!$C$87:$E$87,$B$3))-N67</f>
        <v>9664.86685091886</v>
      </c>
      <c r="O113" s="40" t="n">
        <f aca="false">SUM(C113:N113)</f>
        <v>-249283.494984426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-397965.745254174</v>
      </c>
      <c r="D114" s="40" t="n">
        <f aca="false">D103+D113-D112</f>
        <v>-194761.30563438</v>
      </c>
      <c r="E114" s="40" t="n">
        <f aca="false">E103+E113-E112</f>
        <v>-420645.206731457</v>
      </c>
      <c r="F114" s="40" t="n">
        <f aca="false">F103+F113-F112</f>
        <v>-118043.067174756</v>
      </c>
      <c r="G114" s="40" t="n">
        <f aca="false">G103+G113-G112</f>
        <v>-85900.2610799548</v>
      </c>
      <c r="H114" s="40" t="n">
        <f aca="false">H103+H113-H112</f>
        <v>-10387.1516707489</v>
      </c>
      <c r="I114" s="40" t="n">
        <f aca="false">I103+I113-I112</f>
        <v>37237.4043887592</v>
      </c>
      <c r="J114" s="40" t="n">
        <f aca="false">J103+J113-J112</f>
        <v>22108.9539020862</v>
      </c>
      <c r="K114" s="40" t="n">
        <f aca="false">K103+K113-K112</f>
        <v>-1446162.34908684</v>
      </c>
      <c r="L114" s="40" t="n">
        <f aca="false">L103+L113-L112</f>
        <v>23729.2840881879</v>
      </c>
      <c r="M114" s="40" t="n">
        <f aca="false">M103+M113-M112</f>
        <v>105932.466679358</v>
      </c>
      <c r="N114" s="40" t="n">
        <f aca="false">N103+N113-N112</f>
        <v>69223.2741174122</v>
      </c>
      <c r="O114" s="11" t="n">
        <f aca="false">SUM(C114:N114)</f>
        <v>-2415633.70345651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-397965.745254174</v>
      </c>
      <c r="D115" s="40" t="n">
        <f aca="false">C115+D114</f>
        <v>-592727.050888553</v>
      </c>
      <c r="E115" s="40" t="n">
        <f aca="false">D115+E114</f>
        <v>-1013372.25762001</v>
      </c>
      <c r="F115" s="40" t="n">
        <f aca="false">E115+F114</f>
        <v>-1131415.32479477</v>
      </c>
      <c r="G115" s="40" t="n">
        <f aca="false">F115+G114</f>
        <v>-1217315.58587472</v>
      </c>
      <c r="H115" s="40" t="n">
        <f aca="false">G115+H114</f>
        <v>-1227702.73754547</v>
      </c>
      <c r="I115" s="40" t="n">
        <f aca="false">H115+I114</f>
        <v>-1190465.33315671</v>
      </c>
      <c r="J115" s="40" t="n">
        <f aca="false">I115+J114</f>
        <v>-1168356.37925462</v>
      </c>
      <c r="K115" s="40" t="n">
        <f aca="false">J115+K114</f>
        <v>-2614518.72834147</v>
      </c>
      <c r="L115" s="40" t="n">
        <f aca="false">K115+L114</f>
        <v>-2590789.44425328</v>
      </c>
      <c r="M115" s="40" t="n">
        <f aca="false">L115+M114</f>
        <v>-2484856.97757392</v>
      </c>
      <c r="N115" s="40" t="n">
        <f aca="false">M115+N114</f>
        <v>-2415633.70345651</v>
      </c>
      <c r="O115" s="11" t="n">
        <f aca="false">N115</f>
        <v>-2415633.70345651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397965.745254174</v>
      </c>
      <c r="D116" s="40" t="n">
        <f aca="false">-MIN(0,MIN($C$115:D115))</f>
        <v>592727.050888553</v>
      </c>
      <c r="E116" s="40" t="n">
        <f aca="false">-MIN(0,MIN($C$115:E115))</f>
        <v>1013372.25762001</v>
      </c>
      <c r="F116" s="40" t="n">
        <f aca="false">-MIN(0,MIN($C$115:F115))</f>
        <v>1131415.32479477</v>
      </c>
      <c r="G116" s="40" t="n">
        <f aca="false">-MIN(0,MIN($C$115:G115))</f>
        <v>1217315.58587472</v>
      </c>
      <c r="H116" s="40" t="n">
        <f aca="false">-MIN(0,MIN($C$115:H115))</f>
        <v>1227702.73754547</v>
      </c>
      <c r="I116" s="40" t="n">
        <f aca="false">-MIN(0,MIN($C$115:I115))</f>
        <v>1227702.73754547</v>
      </c>
      <c r="J116" s="40" t="n">
        <f aca="false">-MIN(0,MIN($C$115:J115))</f>
        <v>1227702.73754547</v>
      </c>
      <c r="K116" s="40" t="n">
        <f aca="false">-MIN(0,MIN($C$115:K115))</f>
        <v>2614518.72834147</v>
      </c>
      <c r="L116" s="40" t="n">
        <f aca="false">-MIN(0,MIN($C$115:L115))</f>
        <v>2614518.72834147</v>
      </c>
      <c r="M116" s="40" t="n">
        <f aca="false">-MIN(0,MIN($C$115:M115))</f>
        <v>2614518.72834147</v>
      </c>
      <c r="N116" s="40" t="n">
        <f aca="false">-MIN(0,MIN($C$115:N115))</f>
        <v>2614518.72834147</v>
      </c>
      <c r="O116" s="11" t="n">
        <f aca="false">MAX(C116:N116)</f>
        <v>2614518.72834147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3.2341926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5.5895634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6.82116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7.20105644816032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6.56871613356344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7.55724887410732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7.55122497732109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3.2341926</v>
      </c>
      <c r="D129" s="8" t="n">
        <f aca="false">C129/INDEX(Assumptions!$C$179:$E$179,$B$3)</f>
        <v>0.26951605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5.5895634</v>
      </c>
      <c r="D130" s="8" t="n">
        <f aca="false">C130/INDEX(Assumptions!$C$179:$E$179,$B$3)</f>
        <v>0.46579695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6.82116</v>
      </c>
      <c r="D131" s="8" t="n">
        <f aca="false">C131/INDEX(Assumptions!$C$179:$E$179,$B$3)</f>
        <v>0.56843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7.20105644816032</v>
      </c>
      <c r="D132" s="8" t="n">
        <f aca="false">C132/INDEX(Assumptions!$C$179:$E$179,$B$3)</f>
        <v>0.600088037346693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6.56871613356344</v>
      </c>
      <c r="D133" s="8" t="n">
        <f aca="false">C133/INDEX(Assumptions!$C$179:$E$179,$B$3)</f>
        <v>0.547393011130287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7.55724887410732</v>
      </c>
      <c r="D134" s="8" t="n">
        <f aca="false">C134/INDEX(Assumptions!$C$179:$E$179,$B$3)</f>
        <v>0.629770739508943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7.55122497732109</v>
      </c>
      <c r="D135" s="8" t="n">
        <f aca="false">C135/INDEX(Assumptions!$C$179:$E$179,$B$3)</f>
        <v>0.629268748110091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3.2341926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5.5895634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9.52044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8.8366399487604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9.79110150707069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10.0591220811983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3.2341926</v>
      </c>
      <c r="D143" s="8" t="n">
        <f aca="false">C143/INDEX(Assumptions!$C$179:$E$179,$B$3)</f>
        <v>0.26951605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5.5895634</v>
      </c>
      <c r="D144" s="8" t="n">
        <f aca="false">C144/INDEX(Assumptions!$C$179:$E$179,$B$3)</f>
        <v>0.46579695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9.52044</v>
      </c>
      <c r="D145" s="8" t="n">
        <f aca="false">C145/INDEX(Assumptions!$C$179:$E$179,$B$3)</f>
        <v>0.79337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8.8366399487604</v>
      </c>
      <c r="D146" s="8" t="n">
        <f aca="false">C146/INDEX(Assumptions!$C$179:$E$179,$B$3)</f>
        <v>0.7363866623967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9.79110150707069</v>
      </c>
      <c r="D147" s="8" t="n">
        <f aca="false">C147/INDEX(Assumptions!$C$179:$E$179,$B$3)</f>
        <v>0.815925125589224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10.0591220811983</v>
      </c>
      <c r="D148" s="8" t="n">
        <f aca="false">C148/INDEX(Assumptions!$C$179:$E$179,$B$3)</f>
        <v>0.83826017343319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6122836.65931988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-444350.208472084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-0.0725726053455495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-1344350.20847208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2614518.72834147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385481.271658533</v>
      </c>
    </row>
    <row r="160" customFormat="false" ht="15" hidden="false" customHeight="false" outlineLevel="0" collapsed="false">
      <c r="A160" s="3" t="s">
        <v>51</v>
      </c>
      <c r="B160" s="7" t="n">
        <f aca="false">O38</f>
        <v>82.5660317044761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9.04958028407934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0.856593990500806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41761.2997587531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597933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8.57383731803008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102.886047816361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14087.2506597157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0.249344336676969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0.580432744095855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22.9858779874616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266387.085780495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-2415633.70345651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1227702.73754547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2876035.61902269</v>
      </c>
    </row>
    <row r="187" customFormat="false" ht="15" hidden="false" customHeight="false" outlineLevel="0" collapsed="false">
      <c r="A187" s="3" t="s">
        <v>78</v>
      </c>
      <c r="B187" s="11" t="n">
        <f aca="false">O97</f>
        <v>910000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88795.6952601648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0.26951605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0.46579695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0.530037648013716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7.55122497732109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12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0.781893929328641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29.7148116485951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7.05373137904679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2034186.08578049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1593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v>0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72000</v>
      </c>
      <c r="D56" s="10" t="n">
        <f aca="false">D34*D53/(1+INDEX(Assumptions!$C$15:$E$15,$B$3)*$H$4)</f>
        <v>88303.5</v>
      </c>
      <c r="E56" s="10" t="n">
        <f aca="false">E34*E53/(1+INDEX(Assumptions!$C$15:$E$15,$B$3)*$H$4)</f>
        <v>126000</v>
      </c>
      <c r="F56" s="10" t="n">
        <f aca="false">F34*F53/(1+INDEX(Assumptions!$C$15:$E$15,$B$3)*$H$4)</f>
        <v>180000</v>
      </c>
      <c r="G56" s="10" t="n">
        <f aca="false">G34*G53/(1+INDEX(Assumptions!$C$15:$E$15,$B$3)*$H$4)</f>
        <v>230040</v>
      </c>
      <c r="H56" s="10" t="n">
        <f aca="false">H34*H53/(1+INDEX(Assumptions!$C$15:$E$15,$B$3)*$H$4)</f>
        <v>264600</v>
      </c>
      <c r="I56" s="10" t="n">
        <f aca="false">I34*I53/(1+INDEX(Assumptions!$C$15:$E$15,$B$3)*$H$4)</f>
        <v>277259.863965806</v>
      </c>
      <c r="J56" s="10" t="n">
        <f aca="false">J34*J53/(1+INDEX(Assumptions!$C$15:$E$15,$B$3)*$H$4)</f>
        <v>248173.032872182</v>
      </c>
      <c r="K56" s="10" t="n">
        <f aca="false">K34*K53/(1+INDEX(Assumptions!$C$15:$E$15,$B$3)*$H$4)</f>
        <v>262753.864563727</v>
      </c>
      <c r="L56" s="10" t="n">
        <f aca="false">L34*L53/(1+INDEX(Assumptions!$C$15:$E$15,$B$3)*$H$4)</f>
        <v>290400</v>
      </c>
      <c r="M56" s="10" t="n">
        <f aca="false">M34*M53/(1+INDEX(Assumptions!$C$15:$E$15,$B$3)*$H$4)</f>
        <v>296030.770068405</v>
      </c>
      <c r="N56" s="10" t="n">
        <f aca="false">N34*N53/(1+INDEX(Assumptions!$C$15:$E$15,$B$3)*$H$4)</f>
        <v>300000</v>
      </c>
      <c r="O56" s="40" t="n">
        <f aca="false">SUM(C56:N56)</f>
        <v>2635561.03147012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200000</v>
      </c>
      <c r="M57" s="10" t="n">
        <f aca="false">M35*M53/(1+INDEX(Assumptions!$C$15:$E$15,$B$3)*$H$4)</f>
        <v>187956.044487876</v>
      </c>
      <c r="N57" s="10" t="n">
        <f aca="false">N35*N53/(1+INDEX(Assumptions!$C$15:$E$15,$B$3)*$H$4)</f>
        <v>100000</v>
      </c>
      <c r="O57" s="40" t="n">
        <f aca="false">SUM(C57:N57)</f>
        <v>487956.044487876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4824</v>
      </c>
      <c r="E58" s="10" t="n">
        <f aca="false">E37*MAX(0,E53-INDEX(Assumptions!$C$18:$E$18,$B$3)*$H$3)/(1+INDEX(Assumptions!$C$15:$E$15,$B$3)*$H$4)</f>
        <v>5916.3345</v>
      </c>
      <c r="F58" s="10" t="n">
        <f aca="false">F37*MAX(0,F53-INDEX(Assumptions!$C$18:$E$18,$B$3)*$H$3)/(1+INDEX(Assumptions!$C$15:$E$15,$B$3)*$H$4)</f>
        <v>8442</v>
      </c>
      <c r="G58" s="10" t="n">
        <f aca="false">G37*MAX(0,G53-INDEX(Assumptions!$C$18:$E$18,$B$3)*$H$3)/(1+INDEX(Assumptions!$C$15:$E$15,$B$3)*$H$4)</f>
        <v>12060</v>
      </c>
      <c r="H58" s="10" t="n">
        <f aca="false">H37*MAX(0,H53-INDEX(Assumptions!$C$18:$E$18,$B$3)*$H$3)/(1+INDEX(Assumptions!$C$15:$E$15,$B$3)*$H$4)</f>
        <v>15412.68</v>
      </c>
      <c r="I58" s="10" t="n">
        <f aca="false">I37*MAX(0,I53-INDEX(Assumptions!$C$18:$E$18,$B$3)*$H$3)/(1+INDEX(Assumptions!$C$15:$E$15,$B$3)*$H$4)</f>
        <v>13819.4959524252</v>
      </c>
      <c r="J58" s="10" t="n">
        <f aca="false">J37*MAX(0,J53-INDEX(Assumptions!$C$18:$E$18,$B$3)*$H$3)/(1+INDEX(Assumptions!$C$15:$E$15,$B$3)*$H$4)</f>
        <v>12481.4929320615</v>
      </c>
      <c r="K58" s="10" t="n">
        <f aca="false">K37*MAX(0,K53-INDEX(Assumptions!$C$18:$E$18,$B$3)*$H$3)/(1+INDEX(Assumptions!$C$15:$E$15,$B$3)*$H$4)</f>
        <v>12774.7496267066</v>
      </c>
      <c r="L58" s="10" t="n">
        <f aca="false">L37*MAX(0,L53-INDEX(Assumptions!$C$18:$E$18,$B$3)*$H$3)/(1+INDEX(Assumptions!$C$15:$E$15,$B$3)*$H$4)</f>
        <v>23443.4836938525</v>
      </c>
      <c r="M58" s="10" t="n">
        <f aca="false">M37*MAX(0,M53-INDEX(Assumptions!$C$18:$E$18,$B$3)*$H$3)/(1+INDEX(Assumptions!$C$15:$E$15,$B$3)*$H$4)</f>
        <v>29219.7970409208</v>
      </c>
      <c r="N58" s="10" t="n">
        <f aca="false">N37*MAX(0,N53-INDEX(Assumptions!$C$18:$E$18,$B$3)*$H$3)/(1+INDEX(Assumptions!$C$15:$E$15,$B$3)*$H$4)</f>
        <v>31695.0277819905</v>
      </c>
      <c r="O58" s="40" t="n">
        <f aca="false">SUM(C58:N58)</f>
        <v>170089.061527957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31920</v>
      </c>
      <c r="D59" s="10" t="n">
        <f aca="false">D36*INDEX(Assumptions!$C$18:$E$18,$B$3)*$H$3/(1+INDEX(Assumptions!$C$15:$E$15,$B$3)*$H$4)</f>
        <v>39147.885</v>
      </c>
      <c r="E59" s="10" t="n">
        <f aca="false">E36*INDEX(Assumptions!$C$18:$E$18,$B$3)*$H$3/(1+INDEX(Assumptions!$C$15:$E$15,$B$3)*$H$4)</f>
        <v>55860</v>
      </c>
      <c r="F59" s="10" t="n">
        <f aca="false">F36*INDEX(Assumptions!$C$18:$E$18,$B$3)*$H$3/(1+INDEX(Assumptions!$C$15:$E$15,$B$3)*$H$4)</f>
        <v>79800</v>
      </c>
      <c r="G59" s="10" t="n">
        <f aca="false">G36*INDEX(Assumptions!$C$18:$E$18,$B$3)*$H$3/(1+INDEX(Assumptions!$C$15:$E$15,$B$3)*$H$4)</f>
        <v>101984.4</v>
      </c>
      <c r="H59" s="10" t="n">
        <f aca="false">H36*INDEX(Assumptions!$C$18:$E$18,$B$3)*$H$3/(1+INDEX(Assumptions!$C$15:$E$15,$B$3)*$H$4)</f>
        <v>117306</v>
      </c>
      <c r="I59" s="10" t="n">
        <f aca="false">I36*INDEX(Assumptions!$C$18:$E$18,$B$3)*$H$3/(1+INDEX(Assumptions!$C$15:$E$15,$B$3)*$H$4)</f>
        <v>122918.539691507</v>
      </c>
      <c r="J59" s="10" t="n">
        <f aca="false">J36*INDEX(Assumptions!$C$18:$E$18,$B$3)*$H$3/(1+INDEX(Assumptions!$C$15:$E$15,$B$3)*$H$4)</f>
        <v>110023.377906668</v>
      </c>
      <c r="K59" s="10" t="n">
        <f aca="false">K36*INDEX(Assumptions!$C$18:$E$18,$B$3)*$H$3/(1+INDEX(Assumptions!$C$15:$E$15,$B$3)*$H$4)</f>
        <v>116487.546623252</v>
      </c>
      <c r="L59" s="10" t="n">
        <f aca="false">L36*INDEX(Assumptions!$C$18:$E$18,$B$3)*$H$3/(1+INDEX(Assumptions!$C$15:$E$15,$B$3)*$H$4)</f>
        <v>154492.8</v>
      </c>
      <c r="M59" s="10" t="n">
        <f aca="false">M36*INDEX(Assumptions!$C$18:$E$18,$B$3)*$H$3/(1+INDEX(Assumptions!$C$15:$E$15,$B$3)*$H$4)</f>
        <v>157488.369676391</v>
      </c>
      <c r="N59" s="10" t="n">
        <f aca="false">N36*INDEX(Assumptions!$C$18:$E$18,$B$3)*$H$3/(1+INDEX(Assumptions!$C$15:$E$15,$B$3)*$H$4)</f>
        <v>159600</v>
      </c>
      <c r="O59" s="40" t="n">
        <f aca="false">SUM(C59:N59)</f>
        <v>1247028.91889782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1674.49643527205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2053.66522183396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2930.36876172608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4186.24108818011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5350.01611069418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6153.77439962476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8272.0123902439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8590.16671294559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7953.85806754221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8104.5627467167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8791.10628517824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8372.48217636022</v>
      </c>
      <c r="O60" s="40" t="n">
        <f aca="false">SUM(C60:N60)</f>
        <v>72432.750396318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34000</v>
      </c>
      <c r="F61" s="10" t="n">
        <f aca="false">F46*INDEX(Assumptions!$C$21:$E$21,$B$3)*$H$3/(1+INDEX(Assumptions!$C$15:$E$15,$B$3)*$H$4)</f>
        <v>68000</v>
      </c>
      <c r="G61" s="10" t="n">
        <f aca="false">G46*INDEX(Assumptions!$C$21:$E$21,$B$3)*$H$3/(1+INDEX(Assumptions!$C$15:$E$15,$B$3)*$H$4)</f>
        <v>102000</v>
      </c>
      <c r="H61" s="10" t="n">
        <f aca="false">H46*INDEX(Assumptions!$C$21:$E$21,$B$3)*$H$3/(1+INDEX(Assumptions!$C$15:$E$15,$B$3)*$H$4)</f>
        <v>136000</v>
      </c>
      <c r="I61" s="10" t="n">
        <f aca="false">I46*INDEX(Assumptions!$C$21:$E$21,$B$3)*$H$3/(1+INDEX(Assumptions!$C$15:$E$15,$B$3)*$H$4)</f>
        <v>170000</v>
      </c>
      <c r="J61" s="10" t="n">
        <f aca="false">J46*INDEX(Assumptions!$C$21:$E$21,$B$3)*$H$3/(1+INDEX(Assumptions!$C$15:$E$15,$B$3)*$H$4)</f>
        <v>204000</v>
      </c>
      <c r="K61" s="10" t="n">
        <f aca="false">K46*INDEX(Assumptions!$C$21:$E$21,$B$3)*$H$3/(1+INDEX(Assumptions!$C$15:$E$15,$B$3)*$H$4)</f>
        <v>204000</v>
      </c>
      <c r="L61" s="10" t="n">
        <f aca="false">L46*INDEX(Assumptions!$C$21:$E$21,$B$3)*$H$3/(1+INDEX(Assumptions!$C$15:$E$15,$B$3)*$H$4)</f>
        <v>204000</v>
      </c>
      <c r="M61" s="10" t="n">
        <f aca="false">M46*INDEX(Assumptions!$C$21:$E$21,$B$3)*$H$3/(1+INDEX(Assumptions!$C$15:$E$15,$B$3)*$H$4)</f>
        <v>204000</v>
      </c>
      <c r="N61" s="10" t="n">
        <f aca="false">N46*INDEX(Assumptions!$C$21:$E$21,$B$3)*$H$3/(1+INDEX(Assumptions!$C$15:$E$15,$B$3)*$H$4)</f>
        <v>204000</v>
      </c>
      <c r="O61" s="40" t="n">
        <f aca="false">SUM(C61:N61)</f>
        <v>1530000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34993</v>
      </c>
      <c r="D62" s="10" t="n">
        <f aca="false">D47*INDEX(Assumptions!$C$22:$E$22,$B$3)*$H$3/(1+INDEX(Assumptions!$C$15:$E$15,$B$3)*$H$4)</f>
        <v>59988</v>
      </c>
      <c r="E62" s="10" t="n">
        <f aca="false">E47*INDEX(Assumptions!$C$22:$E$22,$B$3)*$H$3/(1+INDEX(Assumptions!$C$15:$E$15,$B$3)*$H$4)</f>
        <v>89982</v>
      </c>
      <c r="F62" s="10" t="n">
        <f aca="false">F47*INDEX(Assumptions!$C$22:$E$22,$B$3)*$H$3/(1+INDEX(Assumptions!$C$15:$E$15,$B$3)*$H$4)</f>
        <v>97480.5</v>
      </c>
      <c r="G62" s="10" t="n">
        <f aca="false">G47*INDEX(Assumptions!$C$22:$E$22,$B$3)*$H$3/(1+INDEX(Assumptions!$C$15:$E$15,$B$3)*$H$4)</f>
        <v>67486.5</v>
      </c>
      <c r="H62" s="10" t="n">
        <f aca="false">H47*INDEX(Assumptions!$C$22:$E$22,$B$3)*$H$3/(1+INDEX(Assumptions!$C$15:$E$15,$B$3)*$H$4)</f>
        <v>59988</v>
      </c>
      <c r="I62" s="10" t="n">
        <f aca="false">I47*INDEX(Assumptions!$C$22:$E$22,$B$3)*$H$3/(1+INDEX(Assumptions!$C$15:$E$15,$B$3)*$H$4)</f>
        <v>52489.5</v>
      </c>
      <c r="J62" s="10" t="n">
        <f aca="false">J47*INDEX(Assumptions!$C$22:$E$22,$B$3)*$H$3/(1+INDEX(Assumptions!$C$15:$E$15,$B$3)*$H$4)</f>
        <v>44991</v>
      </c>
      <c r="K62" s="10" t="n">
        <f aca="false">K47*INDEX(Assumptions!$C$22:$E$22,$B$3)*$H$3/(1+INDEX(Assumptions!$C$15:$E$15,$B$3)*$H$4)</f>
        <v>44991</v>
      </c>
      <c r="L62" s="10" t="n">
        <f aca="false">L47*INDEX(Assumptions!$C$22:$E$22,$B$3)*$H$3/(1+INDEX(Assumptions!$C$15:$E$15,$B$3)*$H$4)</f>
        <v>59988</v>
      </c>
      <c r="M62" s="10" t="n">
        <f aca="false">M47*INDEX(Assumptions!$C$22:$E$22,$B$3)*$H$3/(1+INDEX(Assumptions!$C$15:$E$15,$B$3)*$H$4)</f>
        <v>82483.5</v>
      </c>
      <c r="N62" s="10" t="n">
        <f aca="false">N47*INDEX(Assumptions!$C$22:$E$22,$B$3)*$H$3/(1+INDEX(Assumptions!$C$15:$E$15,$B$3)*$H$4)</f>
        <v>104979</v>
      </c>
      <c r="O62" s="40" t="n">
        <f aca="false">SUM(C62:N62)</f>
        <v>799840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23984</v>
      </c>
      <c r="M63" s="10" t="n">
        <f aca="false">M50*INDEX(Assumptions!$C$83:$E$83,$B$3)/(1+INDEX(Assumptions!$C$15:$E$15,$B$3)*$H$4)</f>
        <v>23984</v>
      </c>
      <c r="N63" s="10" t="n">
        <f aca="false">N50*INDEX(Assumptions!$C$83:$E$83,$B$3)/(1+INDEX(Assumptions!$C$15:$E$15,$B$3)*$H$4)</f>
        <v>23984</v>
      </c>
      <c r="O63" s="40" t="n">
        <f aca="false">SUM(C63:N63)</f>
        <v>71952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2379.762</v>
      </c>
      <c r="F64" s="10" t="n">
        <f aca="false">F51*INDEX(Assumptions!$C$23:$E$23,$B$3)/(1+INDEX(Assumptions!$C$15:$E$15,$B$3)*$H$4)</f>
        <v>4759.524</v>
      </c>
      <c r="G64" s="10" t="n">
        <f aca="false">G51*INDEX(Assumptions!$C$23:$E$23,$B$3)/(1+INDEX(Assumptions!$C$15:$E$15,$B$3)*$H$4)</f>
        <v>7139.286</v>
      </c>
      <c r="H64" s="10" t="n">
        <f aca="false">H51*INDEX(Assumptions!$C$23:$E$23,$B$3)/(1+INDEX(Assumptions!$C$15:$E$15,$B$3)*$H$4)</f>
        <v>9519.048</v>
      </c>
      <c r="I64" s="10" t="n">
        <f aca="false">I51*INDEX(Assumptions!$C$23:$E$23,$B$3)/(1+INDEX(Assumptions!$C$15:$E$15,$B$3)*$H$4)</f>
        <v>11898.81</v>
      </c>
      <c r="J64" s="10" t="n">
        <f aca="false">J51*INDEX(Assumptions!$C$23:$E$23,$B$3)/(1+INDEX(Assumptions!$C$15:$E$15,$B$3)*$H$4)</f>
        <v>14278.572</v>
      </c>
      <c r="K64" s="10" t="n">
        <f aca="false">K51*INDEX(Assumptions!$C$23:$E$23,$B$3)/(1+INDEX(Assumptions!$C$15:$E$15,$B$3)*$H$4)</f>
        <v>14278.572</v>
      </c>
      <c r="L64" s="10" t="n">
        <f aca="false">L51*INDEX(Assumptions!$C$23:$E$23,$B$3)/(1+INDEX(Assumptions!$C$15:$E$15,$B$3)*$H$4)</f>
        <v>14278.572</v>
      </c>
      <c r="M64" s="10" t="n">
        <f aca="false">M51*INDEX(Assumptions!$C$23:$E$23,$B$3)/(1+INDEX(Assumptions!$C$15:$E$15,$B$3)*$H$4)</f>
        <v>14278.572</v>
      </c>
      <c r="N64" s="10" t="n">
        <f aca="false">N51*INDEX(Assumptions!$C$23:$E$23,$B$3)/(1+INDEX(Assumptions!$C$15:$E$15,$B$3)*$H$4)</f>
        <v>14278.572</v>
      </c>
      <c r="O64" s="40" t="n">
        <f aca="false">SUM(C64:N64)</f>
        <v>107089.29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140587.496435272</v>
      </c>
      <c r="D66" s="40" t="n">
        <f aca="false">SUM(D56:D65)</f>
        <v>194317.050221834</v>
      </c>
      <c r="E66" s="40" t="n">
        <f aca="false">SUM(E56:E65)</f>
        <v>317068.465261726</v>
      </c>
      <c r="F66" s="40" t="n">
        <f aca="false">SUM(F56:F65)</f>
        <v>442668.26508818</v>
      </c>
      <c r="G66" s="40" t="n">
        <f aca="false">SUM(G56:G65)</f>
        <v>526060.202110694</v>
      </c>
      <c r="H66" s="40" t="n">
        <f aca="false">SUM(H56:H65)</f>
        <v>608979.502399625</v>
      </c>
      <c r="I66" s="40" t="n">
        <f aca="false">SUM(I56:I65)</f>
        <v>656658.221999982</v>
      </c>
      <c r="J66" s="40" t="n">
        <f aca="false">SUM(J56:J65)</f>
        <v>642537.642423857</v>
      </c>
      <c r="K66" s="40" t="n">
        <f aca="false">SUM(K56:K65)</f>
        <v>663239.590881228</v>
      </c>
      <c r="L66" s="40" t="n">
        <f aca="false">SUM(L56:L65)</f>
        <v>985753.178440569</v>
      </c>
      <c r="M66" s="40" t="n">
        <f aca="false">SUM(M56:M65)</f>
        <v>1011201.56968838</v>
      </c>
      <c r="N66" s="40" t="n">
        <f aca="false">SUM(N56:N65)</f>
        <v>952669.081958351</v>
      </c>
      <c r="O66" s="11" t="n">
        <f aca="false">SUM(C66:N66)</f>
        <v>7141740.2669097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103920</v>
      </c>
      <c r="D67" s="10" t="n">
        <f aca="false">D56+D57+D58+D59</f>
        <v>132275.385</v>
      </c>
      <c r="E67" s="10" t="n">
        <f aca="false">E56+E57+E58+E59</f>
        <v>187776.3345</v>
      </c>
      <c r="F67" s="10" t="n">
        <f aca="false">F56+F57+F58+F59</f>
        <v>268242</v>
      </c>
      <c r="G67" s="10" t="n">
        <f aca="false">G56+G57+G58+G59</f>
        <v>344084.4</v>
      </c>
      <c r="H67" s="10" t="n">
        <f aca="false">H56+H57+H58+H59</f>
        <v>397318.68</v>
      </c>
      <c r="I67" s="10" t="n">
        <f aca="false">I56+I57+I58+I59</f>
        <v>413997.899609738</v>
      </c>
      <c r="J67" s="10" t="n">
        <f aca="false">J56+J57+J58+J59</f>
        <v>370677.903710911</v>
      </c>
      <c r="K67" s="10" t="n">
        <f aca="false">K56+K57+K58+K59</f>
        <v>392016.160813686</v>
      </c>
      <c r="L67" s="10" t="n">
        <f aca="false">L56+L57+L58+L59</f>
        <v>668336.283693853</v>
      </c>
      <c r="M67" s="10" t="n">
        <f aca="false">M56+M57+M58+M59</f>
        <v>670694.981273593</v>
      </c>
      <c r="N67" s="10" t="n">
        <f aca="false">N56+N57+N58+N59</f>
        <v>591295.027781991</v>
      </c>
      <c r="O67" s="40" t="n">
        <f aca="false">SUM(C67:N67)</f>
        <v>4540635.05638377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28707.3245334538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29205.1470967187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26608.0446253519</v>
      </c>
      <c r="O75" s="40" t="n">
        <f aca="false">SUM(C75:N75)</f>
        <v>200472.912744198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159405.370680263</v>
      </c>
      <c r="M77" s="40" t="n">
        <f aca="false">SUM(M69:M76)</f>
        <v>162118.302888598</v>
      </c>
      <c r="N77" s="40" t="n">
        <f aca="false">SUM(N69:N76)</f>
        <v>148963.998866843</v>
      </c>
      <c r="O77" s="11" t="n">
        <f aca="false">SUM(C77:N77)</f>
        <v>1366855.42391308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108846.703354597</v>
      </c>
      <c r="D78" s="40" t="n">
        <f aca="false">D66-D77</f>
        <v>152060.650856703</v>
      </c>
      <c r="E78" s="40" t="n">
        <f aca="false">E66-E77</f>
        <v>252055.664586794</v>
      </c>
      <c r="F78" s="40" t="n">
        <f aca="false">F66-F77</f>
        <v>350272.556906492</v>
      </c>
      <c r="G78" s="40" t="n">
        <f aca="false">G66-G77</f>
        <v>411217.655197936</v>
      </c>
      <c r="H78" s="40" t="n">
        <f aca="false">H66-H77</f>
        <v>475601.156868143</v>
      </c>
      <c r="I78" s="40" t="n">
        <f aca="false">I66-I77</f>
        <v>514448.585685459</v>
      </c>
      <c r="J78" s="40" t="n">
        <f aca="false">J66-J77</f>
        <v>508034.34185627</v>
      </c>
      <c r="K78" s="40" t="n">
        <f aca="false">K66-K77</f>
        <v>523211.370032626</v>
      </c>
      <c r="L78" s="40" t="n">
        <f aca="false">L66-L77</f>
        <v>826347.807760306</v>
      </c>
      <c r="M78" s="40" t="n">
        <f aca="false">M66-M77</f>
        <v>849083.266799784</v>
      </c>
      <c r="N78" s="40" t="n">
        <f aca="false">N66-N77</f>
        <v>803705.083091507</v>
      </c>
      <c r="O78" s="11" t="n">
        <f aca="false">SUM(C78:N78)</f>
        <v>5774884.84299662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0.774227481920562</v>
      </c>
      <c r="D79" s="8" t="n">
        <f aca="false">IFERROR(D78/D66,0)</f>
        <v>0.782538900642581</v>
      </c>
      <c r="E79" s="8" t="n">
        <f aca="false">IFERROR(E78/E66,0)</f>
        <v>0.794956585728995</v>
      </c>
      <c r="F79" s="8" t="n">
        <f aca="false">IFERROR(F78/F66,0)</f>
        <v>0.791275509295243</v>
      </c>
      <c r="G79" s="8" t="n">
        <f aca="false">IFERROR(G78/G66,0)</f>
        <v>0.781693147567562</v>
      </c>
      <c r="H79" s="8" t="n">
        <f aca="false">IFERROR(H78/H66,0)</f>
        <v>0.780980566659604</v>
      </c>
      <c r="I79" s="8" t="n">
        <f aca="false">IFERROR(I78/I66,0)</f>
        <v>0.7834343170464</v>
      </c>
      <c r="J79" s="8" t="n">
        <f aca="false">IFERROR(J78/J66,0)</f>
        <v>0.790668605717484</v>
      </c>
      <c r="K79" s="8" t="n">
        <f aca="false">IFERROR(K78/K66,0)</f>
        <v>0.788872343005715</v>
      </c>
      <c r="L79" s="8" t="n">
        <f aca="false">IFERROR(L78/L66,0)</f>
        <v>0.838290787017865</v>
      </c>
      <c r="M79" s="8" t="n">
        <f aca="false">IFERROR(M78/M66,0)</f>
        <v>0.839677560094614</v>
      </c>
      <c r="N79" s="8" t="n">
        <f aca="false">IFERROR(N78/N66,0)</f>
        <v>0.843635107207818</v>
      </c>
      <c r="O79" s="13" t="n">
        <f aca="false">IFERROR(O78/O66,0)</f>
        <v>0.808610314457076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-177986.296645403</v>
      </c>
      <c r="D103" s="40" t="n">
        <f aca="false">D78-D102</f>
        <v>-149772.349143297</v>
      </c>
      <c r="E103" s="40" t="n">
        <f aca="false">E78-E102</f>
        <v>-239777.335413206</v>
      </c>
      <c r="F103" s="40" t="n">
        <f aca="false">F78-F102</f>
        <v>-1560.44309350848</v>
      </c>
      <c r="G103" s="40" t="n">
        <f aca="false">G78-G102</f>
        <v>41384.6551979362</v>
      </c>
      <c r="H103" s="40" t="n">
        <f aca="false">H78-H102</f>
        <v>105768.156868143</v>
      </c>
      <c r="I103" s="40" t="n">
        <f aca="false">I78-I102</f>
        <v>144615.585685459</v>
      </c>
      <c r="J103" s="40" t="n">
        <f aca="false">J78-J102</f>
        <v>138201.34185627</v>
      </c>
      <c r="K103" s="40" t="n">
        <f aca="false">K78-K102</f>
        <v>148378.370032626</v>
      </c>
      <c r="L103" s="40" t="n">
        <f aca="false">L78-L102</f>
        <v>278414.807760306</v>
      </c>
      <c r="M103" s="40" t="n">
        <f aca="false">M78-M102</f>
        <v>281150.266799784</v>
      </c>
      <c r="N103" s="40" t="n">
        <f aca="false">N78-N102</f>
        <v>235772.083091507</v>
      </c>
      <c r="O103" s="11" t="n">
        <f aca="false">SUM(C103:N103)</f>
        <v>804588.842996617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-1.26601796858478</v>
      </c>
      <c r="D104" s="8" t="n">
        <f aca="false">IFERROR(D103/D66,0)</f>
        <v>-0.770762776464111</v>
      </c>
      <c r="E104" s="8" t="n">
        <f aca="false">IFERROR(E103/E66,0)</f>
        <v>-0.756232049804386</v>
      </c>
      <c r="F104" s="8" t="n">
        <f aca="false">IFERROR(F103/F66,0)</f>
        <v>-0.00352508462109349</v>
      </c>
      <c r="G104" s="8" t="n">
        <f aca="false">IFERROR(G103/G66,0)</f>
        <v>0.0786690478235949</v>
      </c>
      <c r="H104" s="8" t="n">
        <f aca="false">IFERROR(H103/H66,0)</f>
        <v>0.173680980150191</v>
      </c>
      <c r="I104" s="8" t="n">
        <f aca="false">IFERROR(I103/I66,0)</f>
        <v>0.220229612362127</v>
      </c>
      <c r="J104" s="8" t="n">
        <f aca="false">IFERROR(J103/J66,0)</f>
        <v>0.21508676337612</v>
      </c>
      <c r="K104" s="8" t="n">
        <f aca="false">IFERROR(K103/K66,0)</f>
        <v>0.223717600807696</v>
      </c>
      <c r="L104" s="8" t="n">
        <f aca="false">IFERROR(L103/L66,0)</f>
        <v>0.282438660964553</v>
      </c>
      <c r="M104" s="8" t="n">
        <f aca="false">IFERROR(M103/M66,0)</f>
        <v>0.278035829084428</v>
      </c>
      <c r="N104" s="8" t="n">
        <f aca="false">IFERROR(N103/N66,0)</f>
        <v>0.247485813863974</v>
      </c>
      <c r="O104" s="8" t="n">
        <f aca="false">IFERROR(O103/O66,0)</f>
        <v>0.112660053842139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-252986.296645403</v>
      </c>
      <c r="D105" s="10" t="n">
        <f aca="false">D103-INDEX(Assumptions!$C$204:$E$204,$B$3)</f>
        <v>-224772.349143297</v>
      </c>
      <c r="E105" s="10" t="n">
        <f aca="false">E103-INDEX(Assumptions!$C$204:$E$204,$B$3)</f>
        <v>-314777.335413206</v>
      </c>
      <c r="F105" s="10" t="n">
        <f aca="false">F103-INDEX(Assumptions!$C$204:$E$204,$B$3)</f>
        <v>-76560.4430935085</v>
      </c>
      <c r="G105" s="10" t="n">
        <f aca="false">G103-INDEX(Assumptions!$C$204:$E$204,$B$3)</f>
        <v>-33615.3448020638</v>
      </c>
      <c r="H105" s="10" t="n">
        <f aca="false">H103-INDEX(Assumptions!$C$204:$E$204,$B$3)</f>
        <v>30768.1568681425</v>
      </c>
      <c r="I105" s="10" t="n">
        <f aca="false">I103-INDEX(Assumptions!$C$204:$E$204,$B$3)</f>
        <v>69615.5856854594</v>
      </c>
      <c r="J105" s="10" t="n">
        <f aca="false">J103-INDEX(Assumptions!$C$204:$E$204,$B$3)</f>
        <v>63201.3418562699</v>
      </c>
      <c r="K105" s="10" t="n">
        <f aca="false">K103-INDEX(Assumptions!$C$204:$E$204,$B$3)</f>
        <v>73378.3700326259</v>
      </c>
      <c r="L105" s="10" t="n">
        <f aca="false">L103-INDEX(Assumptions!$C$204:$E$204,$B$3)</f>
        <v>203414.807760306</v>
      </c>
      <c r="M105" s="10" t="n">
        <f aca="false">M103-INDEX(Assumptions!$C$204:$E$204,$B$3)</f>
        <v>206150.266799784</v>
      </c>
      <c r="N105" s="10" t="n">
        <f aca="false">N103-INDEX(Assumptions!$C$204:$E$204,$B$3)</f>
        <v>160772.083091507</v>
      </c>
      <c r="O105" s="40" t="n">
        <f aca="false">SUM(C105:N105)</f>
        <v>-95411.1570033834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-51960</v>
      </c>
      <c r="D113" s="10" t="n">
        <f aca="false">((D67+IF(INDEX(Assumptions!$C$87:$E$87,$B$3)&gt;=2,C67,0)+IF(INDEX(Assumptions!$C$87:$E$87,$B$3)&gt;=3,0,0))/INDEX(Assumptions!$C$87:$E$87,$B$3))-D67</f>
        <v>-14177.6925</v>
      </c>
      <c r="E113" s="10" t="n">
        <f aca="false">((E67+IF(INDEX(Assumptions!$C$87:$E$87,$B$3)&gt;=2,D67,0)+IF(INDEX(Assumptions!$C$87:$E$87,$B$3)&gt;=3,C67,0))/INDEX(Assumptions!$C$87:$E$87,$B$3))-E67</f>
        <v>-27750.47475</v>
      </c>
      <c r="F113" s="10" t="n">
        <f aca="false">((F67+IF(INDEX(Assumptions!$C$87:$E$87,$B$3)&gt;=2,E67,0)+IF(INDEX(Assumptions!$C$87:$E$87,$B$3)&gt;=3,D67,0))/INDEX(Assumptions!$C$87:$E$87,$B$3))-F67</f>
        <v>-40232.83275</v>
      </c>
      <c r="G113" s="10" t="n">
        <f aca="false">((G67+IF(INDEX(Assumptions!$C$87:$E$87,$B$3)&gt;=2,F67,0)+IF(INDEX(Assumptions!$C$87:$E$87,$B$3)&gt;=3,E67,0))/INDEX(Assumptions!$C$87:$E$87,$B$3))-G67</f>
        <v>-37921.2</v>
      </c>
      <c r="H113" s="10" t="n">
        <f aca="false">((H67+IF(INDEX(Assumptions!$C$87:$E$87,$B$3)&gt;=2,G67,0)+IF(INDEX(Assumptions!$C$87:$E$87,$B$3)&gt;=3,F67,0))/INDEX(Assumptions!$C$87:$E$87,$B$3))-H67</f>
        <v>-26617.14</v>
      </c>
      <c r="I113" s="10" t="n">
        <f aca="false">((I67+IF(INDEX(Assumptions!$C$87:$E$87,$B$3)&gt;=2,H67,0)+IF(INDEX(Assumptions!$C$87:$E$87,$B$3)&gt;=3,G67,0))/INDEX(Assumptions!$C$87:$E$87,$B$3))-I67</f>
        <v>-8339.60980486899</v>
      </c>
      <c r="J113" s="10" t="n">
        <f aca="false">((J67+IF(INDEX(Assumptions!$C$87:$E$87,$B$3)&gt;=2,I67,0)+IF(INDEX(Assumptions!$C$87:$E$87,$B$3)&gt;=3,H67,0))/INDEX(Assumptions!$C$87:$E$87,$B$3))-J67</f>
        <v>21659.9979494134</v>
      </c>
      <c r="K113" s="10" t="n">
        <f aca="false">((K67+IF(INDEX(Assumptions!$C$87:$E$87,$B$3)&gt;=2,J67,0)+IF(INDEX(Assumptions!$C$87:$E$87,$B$3)&gt;=3,I67,0))/INDEX(Assumptions!$C$87:$E$87,$B$3))-K67</f>
        <v>-10669.1285513871</v>
      </c>
      <c r="L113" s="10" t="n">
        <f aca="false">((L67+IF(INDEX(Assumptions!$C$87:$E$87,$B$3)&gt;=2,K67,0)+IF(INDEX(Assumptions!$C$87:$E$87,$B$3)&gt;=3,J67,0))/INDEX(Assumptions!$C$87:$E$87,$B$3))-L67</f>
        <v>-138160.061440084</v>
      </c>
      <c r="M113" s="10" t="n">
        <f aca="false">((M67+IF(INDEX(Assumptions!$C$87:$E$87,$B$3)&gt;=2,L67,0)+IF(INDEX(Assumptions!$C$87:$E$87,$B$3)&gt;=3,K67,0))/INDEX(Assumptions!$C$87:$E$87,$B$3))-M67</f>
        <v>-1179.34878987027</v>
      </c>
      <c r="N113" s="10" t="n">
        <f aca="false">((N67+IF(INDEX(Assumptions!$C$87:$E$87,$B$3)&gt;=2,M67,0)+IF(INDEX(Assumptions!$C$87:$E$87,$B$3)&gt;=3,L67,0))/INDEX(Assumptions!$C$87:$E$87,$B$3))-N67</f>
        <v>39699.9767458014</v>
      </c>
      <c r="O113" s="40" t="n">
        <f aca="false">SUM(C113:N113)</f>
        <v>-295647.513890995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-379946.296645403</v>
      </c>
      <c r="D114" s="40" t="n">
        <f aca="false">D103+D113-D112</f>
        <v>-163950.041643297</v>
      </c>
      <c r="E114" s="40" t="n">
        <f aca="false">E103+E113-E112</f>
        <v>-367527.810163206</v>
      </c>
      <c r="F114" s="40" t="n">
        <f aca="false">F103+F113-F112</f>
        <v>-41793.2758435085</v>
      </c>
      <c r="G114" s="40" t="n">
        <f aca="false">G103+G113-G112</f>
        <v>3463.45519793616</v>
      </c>
      <c r="H114" s="40" t="n">
        <f aca="false">H103+H113-H112</f>
        <v>79151.0168681425</v>
      </c>
      <c r="I114" s="40" t="n">
        <f aca="false">I103+I113-I112</f>
        <v>136275.97588059</v>
      </c>
      <c r="J114" s="40" t="n">
        <f aca="false">J103+J113-J112</f>
        <v>159861.339805683</v>
      </c>
      <c r="K114" s="40" t="n">
        <f aca="false">K103+K113-K112</f>
        <v>-1334290.75851876</v>
      </c>
      <c r="L114" s="40" t="n">
        <f aca="false">L103+L113-L112</f>
        <v>140254.746320223</v>
      </c>
      <c r="M114" s="40" t="n">
        <f aca="false">M103+M113-M112</f>
        <v>279970.918009914</v>
      </c>
      <c r="N114" s="40" t="n">
        <f aca="false">N103+N113-N112</f>
        <v>275472.059837309</v>
      </c>
      <c r="O114" s="11" t="n">
        <f aca="false">SUM(C114:N114)</f>
        <v>-1213058.67089438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-379946.296645403</v>
      </c>
      <c r="D115" s="40" t="n">
        <f aca="false">C115+D114</f>
        <v>-543896.3382887</v>
      </c>
      <c r="E115" s="40" t="n">
        <f aca="false">D115+E114</f>
        <v>-911424.148451906</v>
      </c>
      <c r="F115" s="40" t="n">
        <f aca="false">E115+F114</f>
        <v>-953217.424295415</v>
      </c>
      <c r="G115" s="40" t="n">
        <f aca="false">F115+G114</f>
        <v>-949753.969097479</v>
      </c>
      <c r="H115" s="40" t="n">
        <f aca="false">G115+H114</f>
        <v>-870602.952229336</v>
      </c>
      <c r="I115" s="40" t="n">
        <f aca="false">H115+I114</f>
        <v>-734326.976348746</v>
      </c>
      <c r="J115" s="40" t="n">
        <f aca="false">I115+J114</f>
        <v>-574465.636543062</v>
      </c>
      <c r="K115" s="40" t="n">
        <f aca="false">J115+K114</f>
        <v>-1908756.39506182</v>
      </c>
      <c r="L115" s="40" t="n">
        <f aca="false">K115+L114</f>
        <v>-1768501.6487416</v>
      </c>
      <c r="M115" s="40" t="n">
        <f aca="false">L115+M114</f>
        <v>-1488530.73073169</v>
      </c>
      <c r="N115" s="40" t="n">
        <f aca="false">M115+N114</f>
        <v>-1213058.67089438</v>
      </c>
      <c r="O115" s="11" t="n">
        <f aca="false">N115</f>
        <v>-1213058.67089438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379946.296645403</v>
      </c>
      <c r="D116" s="40" t="n">
        <f aca="false">-MIN(0,MIN($C$115:D115))</f>
        <v>543896.3382887</v>
      </c>
      <c r="E116" s="40" t="n">
        <f aca="false">-MIN(0,MIN($C$115:E115))</f>
        <v>911424.148451906</v>
      </c>
      <c r="F116" s="40" t="n">
        <f aca="false">-MIN(0,MIN($C$115:F115))</f>
        <v>953217.424295415</v>
      </c>
      <c r="G116" s="40" t="n">
        <f aca="false">-MIN(0,MIN($C$115:G115))</f>
        <v>953217.424295415</v>
      </c>
      <c r="H116" s="40" t="n">
        <f aca="false">-MIN(0,MIN($C$115:H115))</f>
        <v>953217.424295415</v>
      </c>
      <c r="I116" s="40" t="n">
        <f aca="false">-MIN(0,MIN($C$115:I115))</f>
        <v>953217.424295415</v>
      </c>
      <c r="J116" s="40" t="n">
        <f aca="false">-MIN(0,MIN($C$115:J115))</f>
        <v>953217.424295415</v>
      </c>
      <c r="K116" s="40" t="n">
        <f aca="false">-MIN(0,MIN($C$115:K115))</f>
        <v>1908756.39506182</v>
      </c>
      <c r="L116" s="40" t="n">
        <f aca="false">-MIN(0,MIN($C$115:L115))</f>
        <v>1908756.39506182</v>
      </c>
      <c r="M116" s="40" t="n">
        <f aca="false">-MIN(0,MIN($C$115:M115))</f>
        <v>1908756.39506182</v>
      </c>
      <c r="N116" s="40" t="n">
        <f aca="false">-MIN(0,MIN($C$115:N115))</f>
        <v>1908756.39506182</v>
      </c>
      <c r="O116" s="11" t="n">
        <f aca="false">MAX(C116:N116)</f>
        <v>1908756.39506182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0</v>
      </c>
      <c r="J119" s="10" t="n">
        <f aca="false">IF(J116&gt;=1000000,1,0)</f>
        <v>0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7141740.2669097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804588.842996617</v>
      </c>
    </row>
    <row r="154" customFormat="false" ht="15" hidden="false" customHeight="false" outlineLevel="0" collapsed="false">
      <c r="A154" s="3" t="s">
        <v>45</v>
      </c>
      <c r="B154" s="9" t="n">
        <f aca="false">O104</f>
        <v>0.112660053842139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-95411.1570033834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1908756.39506182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1091243.60493818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50955.9725758524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294145.357332983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5.3730235893243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64.4762830718915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0.175180932447024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0.446068319046259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17.3517440836368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795337.157651597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5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-1213058.67089438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9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953217.424295415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265112.385883866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2479136.1576516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1594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-0.1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0.9</v>
      </c>
      <c r="M23" s="16" t="n">
        <f aca="false">IF(11&gt;=IF($Q$3=1,$Q$4+1,INDEX(Assumptions!$C$105:$E$105,$B$3)),1+$L$4,1)</f>
        <v>0.9</v>
      </c>
      <c r="N23" s="16" t="n">
        <f aca="false">IF(12&gt;=IF($Q$3=1,$Q$4+1,INDEX(Assumptions!$C$105:$E$105,$B$3)),1+$L$4,1)</f>
        <v>0.9</v>
      </c>
      <c r="O23" s="38" t="n">
        <f aca="false">AVERAGE(C23:N23)</f>
        <v>0.975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8.712</v>
      </c>
      <c r="M24" s="38" t="n">
        <f aca="false">M10*(M14*$F$3+(M15-M14)*$F$3*M20+MIN(M16,M21*M20))*M22*M23</f>
        <v>9.45</v>
      </c>
      <c r="N24" s="38" t="n">
        <f aca="false">N10*(N14*$F$3+(N15-N14)*$F$3*N20+MIN(N16,N21*N20))*N22*N23</f>
        <v>9</v>
      </c>
      <c r="O24" s="17" t="n">
        <f aca="false">SUM(C24:N24)</f>
        <v>83.494875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1.35</v>
      </c>
      <c r="O30" s="38" t="n">
        <f aca="false">SUM(C30:N30)</f>
        <v>7.35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13.5610369741953</v>
      </c>
      <c r="N31" s="6" t="n">
        <f aca="false">M34+L34+M37+L37+1.25*M35</f>
        <v>13.8441862152124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12.0310462152124</v>
      </c>
      <c r="M32" s="6" t="n">
        <f aca="false">M24*(INDEX(Assumptions!$C$26:$E$26,$B$3)*(1-M28)+(1-INDEX(Assumptions!$C$26:$E$26,$B$3)))+1.25*M30+L36*INDEX(Assumptions!$C$89:$E$89,$B$3)</f>
        <v>12.82794</v>
      </c>
      <c r="N32" s="6" t="n">
        <f aca="false">N24*(INDEX(Assumptions!$C$26:$E$26,$B$3)*(1-N28)+(1-INDEX(Assumptions!$C$26:$E$26,$B$3)))+1.25*N30+M36*INDEX(Assumptions!$C$89:$E$89,$B$3)</f>
        <v>10.4715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3.9204</v>
      </c>
      <c r="M34" s="38" t="n">
        <f aca="false">M24*INDEX(Assumptions!$C$26:$E$26,$B$3)*(1-M28)*M33</f>
        <v>4.2525</v>
      </c>
      <c r="N34" s="38" t="n">
        <f aca="false">N24*INDEX(Assumptions!$C$26:$E$26,$B$3)*(1-N28)*N33</f>
        <v>4.05</v>
      </c>
      <c r="O34" s="17" t="n">
        <f aca="false">SUM(C34:N34)</f>
        <v>41.3750710233619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1.35</v>
      </c>
      <c r="O35" s="38" t="n">
        <f aca="false">SUM(C35:N35)</f>
        <v>7.35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3.4848</v>
      </c>
      <c r="M36" s="16" t="n">
        <f aca="false">M24*(1-INDEX(Assumptions!$C$26:$E$26,$B$3))*M33</f>
        <v>3.78</v>
      </c>
      <c r="N36" s="16" t="n">
        <f aca="false">N24*(1-INDEX(Assumptions!$C$26:$E$26,$B$3))*N33</f>
        <v>3.6</v>
      </c>
      <c r="O36" s="38" t="n">
        <f aca="false">SUM(C36:N36)</f>
        <v>30.2995806822413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1.04544</v>
      </c>
      <c r="N37" s="16" t="n">
        <f aca="false">M36*INDEX(Assumptions!$C$89:$E$89,$B$3)*N33</f>
        <v>1.134</v>
      </c>
      <c r="O37" s="38" t="n">
        <f aca="false">SUM(C37:N37)</f>
        <v>7.3204978078091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10.4052</v>
      </c>
      <c r="M38" s="38" t="n">
        <f aca="false">M34+M35+M36</f>
        <v>11.0325</v>
      </c>
      <c r="N38" s="38" t="n">
        <f aca="false">N34+N35+N36</f>
        <v>9</v>
      </c>
      <c r="O38" s="17" t="n">
        <f aca="false">SUM(C38:N38)</f>
        <v>79.0246517056032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10.4052</v>
      </c>
      <c r="M39" s="16" t="n">
        <f aca="false">IF(11&lt;IF($Q$3=1,$Q$4+1,INDEX(Assumptions!$C$215:$E$215,$D$3)),M24,M38)</f>
        <v>11.0325</v>
      </c>
      <c r="N39" s="16" t="n">
        <f aca="false">IF(12&lt;IF($Q$3=1,$Q$4+1,INDEX(Assumptions!$C$215:$E$215,$D$3)),N24,N38)</f>
        <v>9</v>
      </c>
      <c r="O39" s="38" t="n">
        <f aca="false">SUM(C39:N39)</f>
        <v>86.770575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2.6013</v>
      </c>
      <c r="M40" s="16" t="n">
        <f aca="false">M38*INDEX(Assumptions!$C$74:$E$74,$B$3)</f>
        <v>2.758125</v>
      </c>
      <c r="N40" s="16" t="n">
        <f aca="false">N38*INDEX(Assumptions!$C$74:$E$74,$B$3)</f>
        <v>2.25</v>
      </c>
      <c r="O40" s="38" t="n">
        <f aca="false">SUM(C40:N40)</f>
        <v>19.7561629264008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4.752</v>
      </c>
      <c r="M41" s="16" t="n">
        <f aca="false">M10*MIN(M16,M21*M20)*M22*M23*M33</f>
        <v>5.67</v>
      </c>
      <c r="N41" s="16" t="n">
        <f aca="false">N10*MIN(N16,N21*N20)*N22*N23*N33</f>
        <v>5.4</v>
      </c>
      <c r="O41" s="38" t="n">
        <f aca="false">SUM(C41:N41)</f>
        <v>37.2851284394963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21.8030239863466</v>
      </c>
      <c r="M42" s="6" t="n">
        <f aca="false">M31+M34+M37+M36+1.25*M35</f>
        <v>26.3889769741953</v>
      </c>
      <c r="N42" s="6" t="n">
        <f aca="false">N31+N34+N37+N36+1.25*N35</f>
        <v>24.3156862152124</v>
      </c>
      <c r="O42" s="41" t="n">
        <f aca="false">AVERAGE(C42:N42)</f>
        <v>14.7839872646462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0.726767466211555</v>
      </c>
      <c r="M43" s="39" t="n">
        <f aca="false">M42/(M25*M26)</f>
        <v>0.879632565806509</v>
      </c>
      <c r="N43" s="39" t="n">
        <f aca="false">N42/(N25*N26)</f>
        <v>0.810522873840414</v>
      </c>
      <c r="O43" s="9" t="n">
        <f aca="false">N43</f>
        <v>0.810522873840414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8.17260787992495</v>
      </c>
      <c r="M48" s="6" t="n">
        <f aca="false">M24*INDEX(Assumptions!$C$31:$E$31,$B$3)/(INDEX(Assumptions!$C$56:$E$56,$B$3)*INDEX(Assumptions!$C$57:$E$57,$B$3)*INDEX(Assumptions!$C$58:$E$58,$B$3))</f>
        <v>8.86491557223265</v>
      </c>
      <c r="N48" s="6" t="n">
        <f aca="false">N24*INDEX(Assumptions!$C$31:$E$31,$B$3)/(INDEX(Assumptions!$C$56:$E$56,$B$3)*INDEX(Assumptions!$C$57:$E$57,$B$3)*INDEX(Assumptions!$C$58:$E$58,$B$3))</f>
        <v>8.44277673545966</v>
      </c>
      <c r="O48" s="41" t="n">
        <f aca="false">SUM(C48:N48)</f>
        <v>78.3253986866792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221491.525423729</v>
      </c>
      <c r="M56" s="10" t="n">
        <f aca="false">M34*M53/(1+INDEX(Assumptions!$C$15:$E$15,$B$3)*$H$4)</f>
        <v>240254.237288136</v>
      </c>
      <c r="N56" s="10" t="n">
        <f aca="false">N34*N53/(1+INDEX(Assumptions!$C$15:$E$15,$B$3)*$H$4)</f>
        <v>228813.559322034</v>
      </c>
      <c r="O56" s="40" t="n">
        <f aca="false">SUM(C56:N56)</f>
        <v>2172873.10288281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76271.186440678</v>
      </c>
      <c r="O57" s="40" t="n">
        <f aca="false">SUM(C57:N57)</f>
        <v>415254.237288136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23714.3593220339</v>
      </c>
      <c r="N58" s="10" t="n">
        <f aca="false">N37*MAX(0,N53-INDEX(Assumptions!$C$18:$E$18,$B$3)*$H$3)/(1+INDEX(Assumptions!$C$15:$E$15,$B$3)*$H$4)</f>
        <v>25723.220338983</v>
      </c>
      <c r="O58" s="40" t="n">
        <f aca="false">SUM(C58:N58)</f>
        <v>141958.119241564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117833.491525424</v>
      </c>
      <c r="M59" s="10" t="n">
        <f aca="false">M36*INDEX(Assumptions!$C$18:$E$18,$B$3)*$H$3/(1+INDEX(Assumptions!$C$15:$E$15,$B$3)*$H$4)</f>
        <v>127815.254237288</v>
      </c>
      <c r="N59" s="10" t="n">
        <f aca="false">N36*INDEX(Assumptions!$C$18:$E$18,$B$3)*$H$3/(1+INDEX(Assumptions!$C$15:$E$15,$B$3)*$H$4)</f>
        <v>121728.813559322</v>
      </c>
      <c r="O59" s="40" t="n">
        <f aca="false">SUM(C59:N59)</f>
        <v>1024536.66883172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6181.44616275002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6705.08106496645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6385.79149044424</v>
      </c>
      <c r="O60" s="40" t="n">
        <f aca="false">SUM(C60:N60)</f>
        <v>59242.3180300784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6643.584</v>
      </c>
      <c r="M65" s="10" t="n">
        <f aca="false">(M34+M35)*(1-M54)*INDEX(Assumptions!$C$90:$E$90,$B$3)</f>
        <v>6962.4</v>
      </c>
      <c r="N65" s="10" t="n">
        <f aca="false">(N34+N35)*(1-N54)*INDEX(Assumptions!$C$90:$E$90,$B$3)</f>
        <v>5184</v>
      </c>
      <c r="O65" s="40" t="n">
        <f aca="false">SUM(C65:N65)</f>
        <v>18789.984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797653.484140591</v>
      </c>
      <c r="M66" s="40" t="n">
        <f aca="false">SUM(M56:M65)</f>
        <v>850151.392929373</v>
      </c>
      <c r="N66" s="40" t="n">
        <f aca="false">SUM(N56:N65)</f>
        <v>758379.089795529</v>
      </c>
      <c r="O66" s="11" t="n">
        <f aca="false">SUM(C66:N66)</f>
        <v>5958825.01502007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528683.901435468</v>
      </c>
      <c r="M67" s="10" t="n">
        <f aca="false">M56+M57+M58+M59</f>
        <v>561275.376271187</v>
      </c>
      <c r="N67" s="10" t="n">
        <f aca="false">N56+N57+N58+N59</f>
        <v>452536.779661017</v>
      </c>
      <c r="O67" s="40" t="n">
        <f aca="false">SUM(C67:N67)</f>
        <v>3754622.12824423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57277.4772912745</v>
      </c>
      <c r="M69" s="10" t="n">
        <f aca="false">((M34+M37)*INDEX(Assumptions!$C$91:$E$91,$B$3)+M35*(INDEX(Assumptions!$C$93:$E$93,$B$3)+IF($Q$3=1,INDEX(Assumptions!$C$282:$E$282,$B$3),0)))*$N$3</f>
        <v>60287.64</v>
      </c>
      <c r="N69" s="10" t="n">
        <f aca="false">((N34+N37)*INDEX(Assumptions!$C$91:$E$91,$B$3)+N35*(INDEX(Assumptions!$C$93:$E$93,$B$3)+IF($Q$3=1,INDEX(Assumptions!$C$282:$E$282,$B$3),0)))*$N$3</f>
        <v>43929</v>
      </c>
      <c r="O69" s="40" t="n">
        <f aca="false">SUM(C69:N69)</f>
        <v>361998.412987026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6969.6</v>
      </c>
      <c r="M71" s="10" t="n">
        <f aca="false">M36*INDEX(Assumptions!$C$92:$E$92,$B$3)*$N$3</f>
        <v>7560</v>
      </c>
      <c r="N71" s="10" t="n">
        <f aca="false">N36*INDEX(Assumptions!$C$92:$E$92,$B$3)*$N$3</f>
        <v>7200</v>
      </c>
      <c r="O71" s="40" t="n">
        <f aca="false">SUM(C71:N71)</f>
        <v>60599.1613644826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27243.1519699812</v>
      </c>
      <c r="M72" s="10" t="n">
        <f aca="false">(M46*INDEX(Assumptions!$C$94:$E$94,$B$3)+M47*INDEX(Assumptions!$C$95:$E$95,$B$3)+M48*INDEX(Assumptions!$C$96:$E$96,$B$3))*$N$3</f>
        <v>29216.2288930582</v>
      </c>
      <c r="N72" s="10" t="n">
        <f aca="false">(N46*INDEX(Assumptions!$C$94:$E$94,$B$3)+N47*INDEX(Assumptions!$C$95:$E$95,$B$3)+N48*INDEX(Assumptions!$C$96:$E$96,$B$3))*$N$3</f>
        <v>30910.6941838649</v>
      </c>
      <c r="O72" s="40" t="n">
        <f aca="false">SUM(C72:N72)</f>
        <v>236581.34967167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27308.6831903604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29014.5243931332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24728.9310191745</v>
      </c>
      <c r="O75" s="40" t="n">
        <f aca="false">SUM(C75:N75)</f>
        <v>197004.535091342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6243.12</v>
      </c>
      <c r="M76" s="10" t="n">
        <f aca="false">M38*INDEX(Assumptions!$C$240:$E$240,$B$3)*INDEX(Assumptions!$C$69:$E$69,$B$3)</f>
        <v>6619.5</v>
      </c>
      <c r="N76" s="10" t="n">
        <f aca="false">N38*INDEX(Assumptions!$C$240:$E$240,$B$3)*INDEX(Assumptions!$C$69:$E$69,$B$3)</f>
        <v>5400</v>
      </c>
      <c r="O76" s="40" t="n">
        <f aca="false">SUM(C76:N76)</f>
        <v>47414.7910233619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153898.032451616</v>
      </c>
      <c r="M77" s="40" t="n">
        <f aca="false">SUM(M69:M76)</f>
        <v>161553.893286191</v>
      </c>
      <c r="N77" s="40" t="n">
        <f aca="false">SUM(N69:N76)</f>
        <v>141024.625203039</v>
      </c>
      <c r="O77" s="11" t="n">
        <f aca="false">SUM(C77:N77)</f>
        <v>1352844.30241823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643755.451688975</v>
      </c>
      <c r="M78" s="40" t="n">
        <f aca="false">M66-M77</f>
        <v>688597.499643182</v>
      </c>
      <c r="N78" s="40" t="n">
        <f aca="false">N66-N77</f>
        <v>617354.46459249</v>
      </c>
      <c r="O78" s="11" t="n">
        <f aca="false">SUM(C78:N78)</f>
        <v>4605980.71260184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0.807061542998926</v>
      </c>
      <c r="M79" s="8" t="n">
        <f aca="false">IFERROR(M78/M66,0)</f>
        <v>0.809970442170866</v>
      </c>
      <c r="N79" s="8" t="n">
        <f aca="false">IFERROR(N78/N66,0)</f>
        <v>0.814044681478412</v>
      </c>
      <c r="O79" s="13" t="n">
        <f aca="false">IFERROR(O78/O66,0)</f>
        <v>0.772967942671888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95822.4516889751</v>
      </c>
      <c r="M103" s="40" t="n">
        <f aca="false">M78-M102</f>
        <v>120664.499643182</v>
      </c>
      <c r="N103" s="40" t="n">
        <f aca="false">N78-N102</f>
        <v>49421.4645924895</v>
      </c>
      <c r="O103" s="11" t="n">
        <f aca="false">SUM(C103:N103)</f>
        <v>-364315.287398158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0.120130424544207</v>
      </c>
      <c r="M104" s="8" t="n">
        <f aca="false">IFERROR(M103/M66,0)</f>
        <v>0.141932955290948</v>
      </c>
      <c r="N104" s="8" t="n">
        <f aca="false">IFERROR(N103/N66,0)</f>
        <v>0.0651672300271548</v>
      </c>
      <c r="O104" s="8" t="n">
        <f aca="false">IFERROR(O103/O66,0)</f>
        <v>-0.0611387792861594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20822.4516889751</v>
      </c>
      <c r="M105" s="10" t="n">
        <f aca="false">M103-INDEX(Assumptions!$C$204:$E$204,$B$3)</f>
        <v>45664.4996431819</v>
      </c>
      <c r="N105" s="10" t="n">
        <f aca="false">N103-INDEX(Assumptions!$C$204:$E$204,$B$3)</f>
        <v>-25578.5354075105</v>
      </c>
      <c r="O105" s="40" t="n">
        <f aca="false">SUM(C105:N105)</f>
        <v>-1264315.28739816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-98233.4080000707</v>
      </c>
      <c r="M113" s="10" t="n">
        <f aca="false">((M67+IF(INDEX(Assumptions!$C$87:$E$87,$B$3)&gt;=2,L67,0)+IF(INDEX(Assumptions!$C$87:$E$87,$B$3)&gt;=3,K67,0))/INDEX(Assumptions!$C$87:$E$87,$B$3))-M67</f>
        <v>-16295.7374178591</v>
      </c>
      <c r="N113" s="10" t="n">
        <f aca="false">((N67+IF(INDEX(Assumptions!$C$87:$E$87,$B$3)&gt;=2,M67,0)+IF(INDEX(Assumptions!$C$87:$E$87,$B$3)&gt;=3,L67,0))/INDEX(Assumptions!$C$87:$E$87,$B$3))-N67</f>
        <v>54369.2983050848</v>
      </c>
      <c r="O113" s="40" t="n">
        <f aca="false">SUM(C113:N113)</f>
        <v>-226268.389830508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-2410.95631109562</v>
      </c>
      <c r="M114" s="40" t="n">
        <f aca="false">M103+M113-M112</f>
        <v>104368.762225323</v>
      </c>
      <c r="N114" s="40" t="n">
        <f aca="false">N103+N113-N112</f>
        <v>103790.762897574</v>
      </c>
      <c r="O114" s="11" t="n">
        <f aca="false">SUM(C114:N114)</f>
        <v>-2312583.67722867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-2520743.20235156</v>
      </c>
      <c r="M115" s="40" t="n">
        <f aca="false">L115+M114</f>
        <v>-2416374.44012624</v>
      </c>
      <c r="N115" s="40" t="n">
        <f aca="false">M115+N114</f>
        <v>-2312583.67722867</v>
      </c>
      <c r="O115" s="11" t="n">
        <f aca="false">N115</f>
        <v>-2312583.67722867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2520743.20235156</v>
      </c>
      <c r="M116" s="40" t="n">
        <f aca="false">-MIN(0,MIN($C$115:M115))</f>
        <v>2520743.20235156</v>
      </c>
      <c r="N116" s="40" t="n">
        <f aca="false">-MIN(0,MIN($C$115:N115))</f>
        <v>2520743.20235156</v>
      </c>
      <c r="O116" s="11" t="n">
        <f aca="false">MAX(C116:N116)</f>
        <v>2520743.20235156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6.66506614361703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7.10325583191045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6.66506614361703</v>
      </c>
      <c r="D134" s="8" t="n">
        <f aca="false">C134/INDEX(Assumptions!$C$179:$E$179,$B$3)</f>
        <v>0.555422178634753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7.10325583191045</v>
      </c>
      <c r="D135" s="8" t="n">
        <f aca="false">C135/INDEX(Assumptions!$C$179:$E$179,$B$3)</f>
        <v>0.591937985992538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8.88686065629476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9.50270803191046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8.88686065629476</v>
      </c>
      <c r="D147" s="8" t="n">
        <f aca="false">C147/INDEX(Assumptions!$C$179:$E$179,$B$3)</f>
        <v>0.740571721357897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9.50270803191046</v>
      </c>
      <c r="D148" s="8" t="n">
        <f aca="false">C148/INDEX(Assumptions!$C$179:$E$179,$B$3)</f>
        <v>0.791892335992538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5958825.01502007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-364315.287398158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-0.0611387792861594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-1264315.28739816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2520743.20235156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479256.797648437</v>
      </c>
    </row>
    <row r="160" customFormat="false" ht="15" hidden="false" customHeight="false" outlineLevel="0" collapsed="false">
      <c r="A160" s="3" t="s">
        <v>51</v>
      </c>
      <c r="B160" s="7" t="n">
        <f aca="false">O38</f>
        <v>79.0246517056032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8.7219627842672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0.810522873840414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238857.737431473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7.82484272805037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93.8981127366044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12293.4178747784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0.217593496383577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0.544761741682463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20.3572403703866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265908.415924647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-2312583.67722867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2663910.79102336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88636.1386415489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0.509795674180607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7.10325583191045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3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0.749819744423904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26.1928784394962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7.35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1949707.41592465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1595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-0.2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0.8</v>
      </c>
      <c r="M23" s="16" t="n">
        <f aca="false">IF(11&gt;=IF($Q$3=1,$Q$4+1,INDEX(Assumptions!$C$105:$E$105,$B$3)),1+$L$4,1)</f>
        <v>0.8</v>
      </c>
      <c r="N23" s="16" t="n">
        <f aca="false">IF(12&gt;=IF($Q$3=1,$Q$4+1,INDEX(Assumptions!$C$105:$E$105,$B$3)),1+$L$4,1)</f>
        <v>0.8</v>
      </c>
      <c r="O23" s="38" t="n">
        <f aca="false">AVERAGE(C23:N23)</f>
        <v>0.95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7.744</v>
      </c>
      <c r="M24" s="38" t="n">
        <f aca="false">M10*(M14*$F$3+(M15-M14)*$F$3*M20+MIN(M16,M21*M20))*M22*M23</f>
        <v>8.4</v>
      </c>
      <c r="N24" s="38" t="n">
        <f aca="false">N10*(N14*$F$3+(N15-N14)*$F$3*N20+MIN(N16,N21*N20))*N22*N23</f>
        <v>8</v>
      </c>
      <c r="O24" s="17" t="n">
        <f aca="false">SUM(C24:N24)</f>
        <v>80.476875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</v>
      </c>
      <c r="O30" s="38" t="n">
        <f aca="false">SUM(C30:N30)</f>
        <v>7.2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13.1254369741953</v>
      </c>
      <c r="N31" s="6" t="n">
        <f aca="false">M34+L34+M37+L37+1.25*M35</f>
        <v>12.8199262152124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11.2082462152124</v>
      </c>
      <c r="M32" s="6" t="n">
        <f aca="false">M24*(INDEX(Assumptions!$C$26:$E$26,$B$3)*(1-M28)+(1-INDEX(Assumptions!$C$26:$E$26,$B$3)))+1.25*M30+L36*INDEX(Assumptions!$C$89:$E$89,$B$3)</f>
        <v>11.81928</v>
      </c>
      <c r="N32" s="6" t="n">
        <f aca="false">N24*(INDEX(Assumptions!$C$26:$E$26,$B$3)*(1-N28)+(1-INDEX(Assumptions!$C$26:$E$26,$B$3)))+1.25*N30+M36*INDEX(Assumptions!$C$89:$E$89,$B$3)</f>
        <v>9.308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3.4848</v>
      </c>
      <c r="M34" s="38" t="n">
        <f aca="false">M24*INDEX(Assumptions!$C$26:$E$26,$B$3)*(1-M28)*M33</f>
        <v>3.78</v>
      </c>
      <c r="N34" s="38" t="n">
        <f aca="false">N24*INDEX(Assumptions!$C$26:$E$26,$B$3)*(1-N28)*N33</f>
        <v>3.6</v>
      </c>
      <c r="O34" s="17" t="n">
        <f aca="false">SUM(C34:N34)</f>
        <v>40.0169710233619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</v>
      </c>
      <c r="O35" s="38" t="n">
        <f aca="false">SUM(C35:N35)</f>
        <v>7.2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3.0976</v>
      </c>
      <c r="M36" s="16" t="n">
        <f aca="false">M24*(1-INDEX(Assumptions!$C$26:$E$26,$B$3))*M33</f>
        <v>3.36</v>
      </c>
      <c r="N36" s="16" t="n">
        <f aca="false">N24*(1-INDEX(Assumptions!$C$26:$E$26,$B$3))*N33</f>
        <v>3.2</v>
      </c>
      <c r="O36" s="38" t="n">
        <f aca="false">SUM(C36:N36)</f>
        <v>29.0923806822413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0.92928</v>
      </c>
      <c r="N37" s="16" t="n">
        <f aca="false">M36*INDEX(Assumptions!$C$89:$E$89,$B$3)*N33</f>
        <v>1.008</v>
      </c>
      <c r="O37" s="38" t="n">
        <f aca="false">SUM(C37:N37)</f>
        <v>7.0783378078091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9.5824</v>
      </c>
      <c r="M38" s="38" t="n">
        <f aca="false">M34+M35+M36</f>
        <v>10.14</v>
      </c>
      <c r="N38" s="38" t="n">
        <f aca="false">N34+N35+N36</f>
        <v>8</v>
      </c>
      <c r="O38" s="17" t="n">
        <f aca="false">SUM(C38:N38)</f>
        <v>76.3093517056032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9.5824</v>
      </c>
      <c r="M39" s="16" t="n">
        <f aca="false">IF(11&lt;IF($Q$3=1,$Q$4+1,INDEX(Assumptions!$C$215:$E$215,$D$3)),M24,M38)</f>
        <v>10.14</v>
      </c>
      <c r="N39" s="16" t="n">
        <f aca="false">IF(12&lt;IF($Q$3=1,$Q$4+1,INDEX(Assumptions!$C$215:$E$215,$D$3)),N24,N38)</f>
        <v>8</v>
      </c>
      <c r="O39" s="38" t="n">
        <f aca="false">SUM(C39:N39)</f>
        <v>84.055275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2.3956</v>
      </c>
      <c r="M40" s="16" t="n">
        <f aca="false">M38*INDEX(Assumptions!$C$74:$E$74,$B$3)</f>
        <v>2.535</v>
      </c>
      <c r="N40" s="16" t="n">
        <f aca="false">N38*INDEX(Assumptions!$C$74:$E$74,$B$3)</f>
        <v>2</v>
      </c>
      <c r="O40" s="38" t="n">
        <f aca="false">SUM(C40:N40)</f>
        <v>19.0773379264008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4.224</v>
      </c>
      <c r="M41" s="16" t="n">
        <f aca="false">M10*MIN(M16,M21*M20)*M22*M23*M33</f>
        <v>5.04</v>
      </c>
      <c r="N41" s="16" t="n">
        <f aca="false">N10*MIN(N16,N21*N20)*N22*N23*N33</f>
        <v>4.8</v>
      </c>
      <c r="O41" s="38" t="n">
        <f aca="false">SUM(C41:N41)</f>
        <v>35.5271284394963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20.9802239863466</v>
      </c>
      <c r="M42" s="6" t="n">
        <f aca="false">M31+M34+M37+M36+1.25*M35</f>
        <v>24.9447169741953</v>
      </c>
      <c r="N42" s="6" t="n">
        <f aca="false">N31+N34+N37+N36+1.25*N35</f>
        <v>22.1279262152124</v>
      </c>
      <c r="O42" s="41" t="n">
        <f aca="false">AVERAGE(C42:N42)</f>
        <v>14.4127522646462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0.699340799544888</v>
      </c>
      <c r="M43" s="39" t="n">
        <f aca="false">M42/(M25*M26)</f>
        <v>0.831490565806509</v>
      </c>
      <c r="N43" s="39" t="n">
        <f aca="false">N42/(N25*N26)</f>
        <v>0.737597540507081</v>
      </c>
      <c r="O43" s="9" t="n">
        <f aca="false">N43</f>
        <v>0.737597540507081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7.26454033771107</v>
      </c>
      <c r="M48" s="6" t="n">
        <f aca="false">M24*INDEX(Assumptions!$C$31:$E$31,$B$3)/(INDEX(Assumptions!$C$56:$E$56,$B$3)*INDEX(Assumptions!$C$57:$E$57,$B$3)*INDEX(Assumptions!$C$58:$E$58,$B$3))</f>
        <v>7.87992495309568</v>
      </c>
      <c r="N48" s="6" t="n">
        <f aca="false">N24*INDEX(Assumptions!$C$31:$E$31,$B$3)/(INDEX(Assumptions!$C$56:$E$56,$B$3)*INDEX(Assumptions!$C$57:$E$57,$B$3)*INDEX(Assumptions!$C$58:$E$58,$B$3))</f>
        <v>7.5046904315197</v>
      </c>
      <c r="O48" s="41" t="n">
        <f aca="false">SUM(C48:N48)</f>
        <v>75.4942542213884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196881.355932203</v>
      </c>
      <c r="M56" s="10" t="n">
        <f aca="false">M34*M53/(1+INDEX(Assumptions!$C$15:$E$15,$B$3)*$H$4)</f>
        <v>213559.322033898</v>
      </c>
      <c r="N56" s="10" t="n">
        <f aca="false">N34*N53/(1+INDEX(Assumptions!$C$15:$E$15,$B$3)*$H$4)</f>
        <v>203389.830508475</v>
      </c>
      <c r="O56" s="40" t="n">
        <f aca="false">SUM(C56:N56)</f>
        <v>2096144.28932349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67796.6101694915</v>
      </c>
      <c r="O57" s="40" t="n">
        <f aca="false">SUM(C57:N57)</f>
        <v>406779.661016949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21079.4305084746</v>
      </c>
      <c r="N58" s="10" t="n">
        <f aca="false">N37*MAX(0,N53-INDEX(Assumptions!$C$18:$E$18,$B$3)*$H$3)/(1+INDEX(Assumptions!$C$15:$E$15,$B$3)*$H$4)</f>
        <v>22865.0847457627</v>
      </c>
      <c r="O58" s="40" t="n">
        <f aca="false">SUM(C58:N58)</f>
        <v>136465.054834785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104740.881355932</v>
      </c>
      <c r="M59" s="10" t="n">
        <f aca="false">M36*INDEX(Assumptions!$C$18:$E$18,$B$3)*$H$3/(1+INDEX(Assumptions!$C$15:$E$15,$B$3)*$H$4)</f>
        <v>113613.559322034</v>
      </c>
      <c r="N59" s="10" t="n">
        <f aca="false">N36*INDEX(Assumptions!$C$18:$E$18,$B$3)*$H$3/(1+INDEX(Assumptions!$C$15:$E$15,$B$3)*$H$4)</f>
        <v>108203.389830508</v>
      </c>
      <c r="O59" s="40" t="n">
        <f aca="false">SUM(C59:N59)</f>
        <v>983716.940018159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5494.61881133336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5960.07205774796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5676.2591026171</v>
      </c>
      <c r="O60" s="40" t="n">
        <f aca="false">SUM(C60:N60)</f>
        <v>57100.9492836161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6225.408</v>
      </c>
      <c r="M65" s="10" t="n">
        <f aca="false">(M34+M35)*(1-M54)*INDEX(Assumptions!$C$90:$E$90,$B$3)</f>
        <v>6508.8</v>
      </c>
      <c r="N65" s="10" t="n">
        <f aca="false">(N34+N35)*(1-N54)*INDEX(Assumptions!$C$90:$E$90,$B$3)</f>
        <v>4608</v>
      </c>
      <c r="O65" s="40" t="n">
        <f aca="false">SUM(C65:N65)</f>
        <v>17342.208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758845.701128158</v>
      </c>
      <c r="M66" s="40" t="n">
        <f aca="false">SUM(M56:M65)</f>
        <v>805421.244939104</v>
      </c>
      <c r="N66" s="40" t="n">
        <f aca="false">SUM(N56:N65)</f>
        <v>706811.693000922</v>
      </c>
      <c r="O66" s="11" t="n">
        <f aca="false">SUM(C66:N66)</f>
        <v>5823719.68722276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490981.121774451</v>
      </c>
      <c r="M67" s="10" t="n">
        <f aca="false">M56+M57+M58+M59</f>
        <v>517743.837288136</v>
      </c>
      <c r="N67" s="10" t="n">
        <f aca="false">N56+N57+N58+N59</f>
        <v>402254.915254237</v>
      </c>
      <c r="O67" s="40" t="n">
        <f aca="false">SUM(C67:N67)</f>
        <v>3623105.94519338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54663.8772912745</v>
      </c>
      <c r="M69" s="10" t="n">
        <f aca="false">((M34+M37)*INDEX(Assumptions!$C$91:$E$91,$B$3)+M35*(INDEX(Assumptions!$C$93:$E$93,$B$3)+IF($Q$3=1,INDEX(Assumptions!$C$282:$E$282,$B$3),0)))*$N$3</f>
        <v>56755.68</v>
      </c>
      <c r="N69" s="10" t="n">
        <f aca="false">((N34+N37)*INDEX(Assumptions!$C$91:$E$91,$B$3)+N35*(INDEX(Assumptions!$C$93:$E$93,$B$3)+IF($Q$3=1,INDEX(Assumptions!$C$282:$E$282,$B$3),0)))*$N$3</f>
        <v>39048</v>
      </c>
      <c r="O69" s="40" t="n">
        <f aca="false">SUM(C69:N69)</f>
        <v>350971.852987026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6195.2</v>
      </c>
      <c r="M71" s="10" t="n">
        <f aca="false">M36*INDEX(Assumptions!$C$92:$E$92,$B$3)*$N$3</f>
        <v>6720</v>
      </c>
      <c r="N71" s="10" t="n">
        <f aca="false">N36*INDEX(Assumptions!$C$92:$E$92,$B$3)*$N$3</f>
        <v>6400</v>
      </c>
      <c r="O71" s="40" t="n">
        <f aca="false">SUM(C71:N71)</f>
        <v>58184.7613644826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27016.1350844278</v>
      </c>
      <c r="M72" s="10" t="n">
        <f aca="false">(M46*INDEX(Assumptions!$C$94:$E$94,$B$3)+M47*INDEX(Assumptions!$C$95:$E$95,$B$3)+M48*INDEX(Assumptions!$C$96:$E$96,$B$3))*$N$3</f>
        <v>28969.9812382739</v>
      </c>
      <c r="N72" s="10" t="n">
        <f aca="false">(N46*INDEX(Assumptions!$C$94:$E$94,$B$3)+N47*INDEX(Assumptions!$C$95:$E$95,$B$3)+N48*INDEX(Assumptions!$C$96:$E$96,$B$3))*$N$3</f>
        <v>30676.1726078799</v>
      </c>
      <c r="O72" s="40" t="n">
        <f aca="false">SUM(C72:N72)</f>
        <v>235873.563555347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25884.6195112669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27353.2316205629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22752.9199548218</v>
      </c>
      <c r="O75" s="40" t="n">
        <f aca="false">SUM(C75:N75)</f>
        <v>191943.167575325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5749.44</v>
      </c>
      <c r="M76" s="10" t="n">
        <f aca="false">M38*INDEX(Assumptions!$C$240:$E$240,$B$3)*INDEX(Assumptions!$C$69:$E$69,$B$3)</f>
        <v>6084</v>
      </c>
      <c r="N76" s="10" t="n">
        <f aca="false">N38*INDEX(Assumptions!$C$240:$E$240,$B$3)*INDEX(Assumptions!$C$69:$E$69,$B$3)</f>
        <v>4800</v>
      </c>
      <c r="O76" s="40" t="n">
        <f aca="false">SUM(C76:N76)</f>
        <v>45785.6110233619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148365.271886969</v>
      </c>
      <c r="M77" s="40" t="n">
        <f aca="false">SUM(M69:M76)</f>
        <v>154738.892858837</v>
      </c>
      <c r="N77" s="40" t="n">
        <f aca="false">SUM(N69:N76)</f>
        <v>132533.092562702</v>
      </c>
      <c r="O77" s="11" t="n">
        <f aca="false">SUM(C77:N77)</f>
        <v>1332005.00878589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610480.429241189</v>
      </c>
      <c r="M78" s="40" t="n">
        <f aca="false">M66-M77</f>
        <v>650682.352080267</v>
      </c>
      <c r="N78" s="40" t="n">
        <f aca="false">N66-N77</f>
        <v>574278.600438221</v>
      </c>
      <c r="O78" s="11" t="n">
        <f aca="false">SUM(C78:N78)</f>
        <v>4491714.67843687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0.804485586903374</v>
      </c>
      <c r="M79" s="8" t="n">
        <f aca="false">IFERROR(M78/M66,0)</f>
        <v>0.80787830736879</v>
      </c>
      <c r="N79" s="8" t="n">
        <f aca="false">IFERROR(N78/N66,0)</f>
        <v>0.812491652479597</v>
      </c>
      <c r="O79" s="13" t="n">
        <f aca="false">IFERROR(O78/O66,0)</f>
        <v>0.771279340297181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62547.4292411885</v>
      </c>
      <c r="M103" s="40" t="n">
        <f aca="false">M78-M102</f>
        <v>82749.3520802672</v>
      </c>
      <c r="N103" s="40" t="n">
        <f aca="false">N78-N102</f>
        <v>6345.60043822054</v>
      </c>
      <c r="O103" s="11" t="n">
        <f aca="false">SUM(C103:N103)</f>
        <v>-478581.321563128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0.0824244364146765</v>
      </c>
      <c r="M104" s="8" t="n">
        <f aca="false">IFERROR(M103/M66,0)</f>
        <v>0.10274046357757</v>
      </c>
      <c r="N104" s="8" t="n">
        <f aca="false">IFERROR(N103/N66,0)</f>
        <v>0.00897778078808929</v>
      </c>
      <c r="O104" s="8" t="n">
        <f aca="false">IFERROR(O103/O66,0)</f>
        <v>-0.0821779459291517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-12452.5707588115</v>
      </c>
      <c r="M105" s="10" t="n">
        <f aca="false">M103-INDEX(Assumptions!$C$204:$E$204,$B$3)</f>
        <v>7749.35208026716</v>
      </c>
      <c r="N105" s="10" t="n">
        <f aca="false">N103-INDEX(Assumptions!$C$204:$E$204,$B$3)</f>
        <v>-68654.3995617795</v>
      </c>
      <c r="O105" s="40" t="n">
        <f aca="false">SUM(C105:N105)</f>
        <v>-1378581.32156313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-79382.0181695623</v>
      </c>
      <c r="M113" s="10" t="n">
        <f aca="false">((M67+IF(INDEX(Assumptions!$C$87:$E$87,$B$3)&gt;=2,L67,0)+IF(INDEX(Assumptions!$C$87:$E$87,$B$3)&gt;=3,K67,0))/INDEX(Assumptions!$C$87:$E$87,$B$3))-M67</f>
        <v>-13381.3577568421</v>
      </c>
      <c r="N113" s="10" t="n">
        <f aca="false">((N67+IF(INDEX(Assumptions!$C$87:$E$87,$B$3)&gt;=2,M67,0)+IF(INDEX(Assumptions!$C$87:$E$87,$B$3)&gt;=3,L67,0))/INDEX(Assumptions!$C$87:$E$87,$B$3))-N67</f>
        <v>57744.4610169492</v>
      </c>
      <c r="O113" s="40" t="n">
        <f aca="false">SUM(C113:N113)</f>
        <v>-201127.457627119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-16834.5889283739</v>
      </c>
      <c r="M114" s="40" t="n">
        <f aca="false">M103+M113-M112</f>
        <v>69367.9943234251</v>
      </c>
      <c r="N114" s="40" t="n">
        <f aca="false">N103+N113-N112</f>
        <v>64090.0614551697</v>
      </c>
      <c r="O114" s="11" t="n">
        <f aca="false">SUM(C114:N114)</f>
        <v>-2401708.77919025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-2535166.83496884</v>
      </c>
      <c r="M115" s="40" t="n">
        <f aca="false">L115+M114</f>
        <v>-2465798.84064542</v>
      </c>
      <c r="N115" s="40" t="n">
        <f aca="false">M115+N114</f>
        <v>-2401708.77919025</v>
      </c>
      <c r="O115" s="11" t="n">
        <f aca="false">N115</f>
        <v>-2401708.77919025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2535166.83496884</v>
      </c>
      <c r="M116" s="40" t="n">
        <f aca="false">-MIN(0,MIN($C$115:M115))</f>
        <v>2535166.83496884</v>
      </c>
      <c r="N116" s="40" t="n">
        <f aca="false">-MIN(0,MIN($C$115:N115))</f>
        <v>2535166.83496884</v>
      </c>
      <c r="O116" s="11" t="n">
        <f aca="false">MAX(C116:N116)</f>
        <v>2535166.83496884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6.45597814361703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6.36460963191046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6.45597814361703</v>
      </c>
      <c r="D134" s="8" t="n">
        <f aca="false">C134/INDEX(Assumptions!$C$179:$E$179,$B$3)</f>
        <v>0.537998178634753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6.36460963191046</v>
      </c>
      <c r="D135" s="8" t="n">
        <f aca="false">C135/INDEX(Assumptions!$C$179:$E$179,$B$3)</f>
        <v>0.530384135992538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8.67777265629476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8.49745603191046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8.67777265629476</v>
      </c>
      <c r="D147" s="8" t="n">
        <f aca="false">C147/INDEX(Assumptions!$C$179:$E$179,$B$3)</f>
        <v>0.723147721357896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8.49745603191046</v>
      </c>
      <c r="D148" s="8" t="n">
        <f aca="false">C148/INDEX(Assumptions!$C$179:$E$179,$B$3)</f>
        <v>0.708121335992538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5823719.68722276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-478581.321563128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-0.0821779459291517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-1378581.32156313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2535166.83496884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464833.165031159</v>
      </c>
    </row>
    <row r="160" customFormat="false" ht="15" hidden="false" customHeight="false" outlineLevel="0" collapsed="false">
      <c r="A160" s="3" t="s">
        <v>51</v>
      </c>
      <c r="B160" s="7" t="n">
        <f aca="false">O38</f>
        <v>76.3093517056032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8.2694127842672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0.737597540507081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237837.065183983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7.84911255541798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94.1893506650157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13177.8842607018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0.233248551414422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0.573105327063109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20.3095094433751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151642.381759676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-2401708.77919025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2662281.61102336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50547.4605865587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0.498513124180607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6.36460963191046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2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0.744011744423904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24.4348784394963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7.2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1835441.38175968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1596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0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2.5</v>
      </c>
      <c r="E15" s="16" t="n">
        <f aca="false">E14+(INDEX(Assumptions!$C$25:$E$25,E$9)*(1-(INDEX(Assumptions!$C$27:$E$27,$B$3)+INDEX(Assumptions!$C$28:$E$28,$B$3)+INDEX(Assumptions!$C$31:$E$31,$B$3)))-E14)*MIN(1,(3-1)/6)*$N$4</f>
        <v>2.5</v>
      </c>
      <c r="F15" s="16" t="n">
        <f aca="false">F14+(INDEX(Assumptions!$C$25:$E$25,F$9)*(1-(INDEX(Assumptions!$C$27:$E$27,$B$3)+INDEX(Assumptions!$C$28:$E$28,$B$3)+INDEX(Assumptions!$C$31:$E$31,$B$3)))-F14)*MIN(1,(4-1)/6)*$N$4</f>
        <v>2.5</v>
      </c>
      <c r="G15" s="16" t="n">
        <f aca="false">G14+(INDEX(Assumptions!$C$25:$E$25,G$9)*(1-(INDEX(Assumptions!$C$27:$E$27,$B$3)+INDEX(Assumptions!$C$28:$E$28,$B$3)+INDEX(Assumptions!$C$31:$E$31,$B$3)))-G14)*MIN(1,(5-1)/6)*$N$4</f>
        <v>2.5</v>
      </c>
      <c r="H15" s="16" t="n">
        <f aca="false">H14+(INDEX(Assumptions!$C$25:$E$25,H$9)*(1-(INDEX(Assumptions!$C$27:$E$27,$B$3)+INDEX(Assumptions!$C$28:$E$28,$B$3)+INDEX(Assumptions!$C$31:$E$31,$B$3)))-H14)*MIN(1,(6-1)/6)*$N$4</f>
        <v>2.5</v>
      </c>
      <c r="I15" s="16" t="n">
        <f aca="false">I14+(INDEX(Assumptions!$C$25:$E$25,I$9)*(1-(INDEX(Assumptions!$C$27:$E$27,$B$3)+INDEX(Assumptions!$C$28:$E$28,$B$3)+INDEX(Assumptions!$C$31:$E$31,$B$3)))-I14)*MIN(1,(7-1)/6)*$N$4</f>
        <v>2.5</v>
      </c>
      <c r="J15" s="16" t="n">
        <f aca="false">J14+(INDEX(Assumptions!$C$25:$E$25,J$9)*(1-(INDEX(Assumptions!$C$27:$E$27,$B$3)+INDEX(Assumptions!$C$28:$E$28,$B$3)+INDEX(Assumptions!$C$31:$E$31,$B$3)))-J14)*MIN(1,(8-1)/6)*$N$4</f>
        <v>2.5</v>
      </c>
      <c r="K15" s="16" t="n">
        <f aca="false">K14+(INDEX(Assumptions!$C$25:$E$25,K$9)*(1-(INDEX(Assumptions!$C$27:$E$27,$B$3)+INDEX(Assumptions!$C$28:$E$28,$B$3)+INDEX(Assumptions!$C$31:$E$31,$B$3)))-K14)*MIN(1,(9-1)/6)*$N$4</f>
        <v>2.5</v>
      </c>
      <c r="L15" s="16" t="n">
        <f aca="false">L14+(INDEX(Assumptions!$C$25:$E$25,L$9)*(1-(INDEX(Assumptions!$C$27:$E$27,$B$3)+INDEX(Assumptions!$C$28:$E$28,$B$3)+INDEX(Assumptions!$C$31:$E$31,$B$3)))-L14)*MIN(1,(10-1)/6)*$N$4</f>
        <v>2.5</v>
      </c>
      <c r="M15" s="16" t="n">
        <f aca="false">M14+(INDEX(Assumptions!$C$25:$E$25,M$9)*(1-(INDEX(Assumptions!$C$27:$E$27,$B$3)+INDEX(Assumptions!$C$28:$E$28,$B$3)+INDEX(Assumptions!$C$31:$E$31,$B$3)))-M14)*MIN(1,(11-1)/6)*$N$4</f>
        <v>2.5</v>
      </c>
      <c r="N15" s="16" t="n">
        <f aca="false">N14+(INDEX(Assumptions!$C$25:$E$25,N$9)*(1-(INDEX(Assumptions!$C$27:$E$27,$B$3)+INDEX(Assumptions!$C$28:$E$28,$B$3)+INDEX(Assumptions!$C$31:$E$31,$B$3)))-N14)*MIN(1,(12-1)/6)*$N$4</f>
        <v>2.5</v>
      </c>
      <c r="O15" s="38" t="n">
        <f aca="false">SUM(C15:N15)</f>
        <v>30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3.5</v>
      </c>
      <c r="E17" s="16" t="n">
        <f aca="false">E15+E16</f>
        <v>4.5</v>
      </c>
      <c r="F17" s="16" t="n">
        <f aca="false">F15+F16</f>
        <v>5.5</v>
      </c>
      <c r="G17" s="16" t="n">
        <f aca="false">G15+G16</f>
        <v>6.5</v>
      </c>
      <c r="H17" s="16" t="n">
        <f aca="false">H15+H16</f>
        <v>7.5</v>
      </c>
      <c r="I17" s="16" t="n">
        <f aca="false">I15+I16</f>
        <v>8.5</v>
      </c>
      <c r="J17" s="16" t="n">
        <f aca="false">J15+J16</f>
        <v>8.5</v>
      </c>
      <c r="K17" s="16" t="n">
        <f aca="false">K15+K16</f>
        <v>8.5</v>
      </c>
      <c r="L17" s="16" t="n">
        <f aca="false">L15+L16</f>
        <v>8.5</v>
      </c>
      <c r="M17" s="16" t="n">
        <f aca="false">M15+M16</f>
        <v>8.5</v>
      </c>
      <c r="N17" s="16" t="n">
        <f aca="false">N15+N16</f>
        <v>8.5</v>
      </c>
      <c r="O17" s="38" t="n">
        <f aca="false">SUM(C17:N17)</f>
        <v>81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2.32725</v>
      </c>
      <c r="E24" s="38" t="n">
        <f aca="false">E10*(E14*$F$3+(E15-E14)*$F$3*E20+MIN(E16,E21*E20))*E22*E23</f>
        <v>3.15</v>
      </c>
      <c r="F24" s="38" t="n">
        <f aca="false">F10*(F14*$F$3+(F15-F14)*$F$3*F20+MIN(F16,F21*F20))*F22*F23</f>
        <v>4.4</v>
      </c>
      <c r="G24" s="38" t="n">
        <f aca="false">G10*(G14*$F$3+(G15-G14)*$F$3*G20+MIN(G16,G21*G20))*G22*G23</f>
        <v>5.49</v>
      </c>
      <c r="H24" s="38" t="n">
        <f aca="false">H10*(H14*$F$3+(H15-H14)*$F$3*H20+MIN(H16,H21*H20))*H22*H23</f>
        <v>6.1</v>
      </c>
      <c r="I24" s="38" t="n">
        <f aca="false">I10*(I14*$F$3+(I15-I14)*$F$3*I20+MIN(I16,I21*I20))*I22*I23</f>
        <v>7.93</v>
      </c>
      <c r="J24" s="38" t="n">
        <f aca="false">J10*(J14*$F$3+(J15-J14)*$F$3*J20+MIN(J16,J21*J20))*J22*J23</f>
        <v>8.235</v>
      </c>
      <c r="K24" s="38" t="n">
        <f aca="false">K10*(K14*$F$3+(K15-K14)*$F$3*K20+MIN(K16,K21*K20))*K22*K23</f>
        <v>7.625</v>
      </c>
      <c r="L24" s="38" t="n">
        <f aca="false">L10*(L14*$F$3+(L15-L14)*$F$3*L20+MIN(L16,L21*L20))*L22*L23</f>
        <v>8.03</v>
      </c>
      <c r="M24" s="38" t="n">
        <f aca="false">M10*(M14*$F$3+(M15-M14)*$F$3*M20+MIN(M16,M21*M20))*M22*M23</f>
        <v>8.925</v>
      </c>
      <c r="N24" s="38" t="n">
        <f aca="false">N10*(N14*$F$3+(N15-N14)*$F$3*N20+MIN(N16,N21*N20))*N22*N23</f>
        <v>8.5</v>
      </c>
      <c r="O24" s="17" t="n">
        <f aca="false">SUM(C24:N24)</f>
        <v>72.71225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1.275</v>
      </c>
      <c r="O30" s="38" t="n">
        <f aca="false">SUM(C30:N30)</f>
        <v>7.275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2.83635</v>
      </c>
      <c r="F31" s="6" t="n">
        <f aca="false">E34+D34+E37+D37+1.25*E35</f>
        <v>3.80562</v>
      </c>
      <c r="G31" s="6" t="n">
        <f aca="false">F34+E34+F37+E37+1.25*F35</f>
        <v>5.18727</v>
      </c>
      <c r="H31" s="6" t="n">
        <f aca="false">G34+F34+G37+F37+1.25*G35</f>
        <v>6.84</v>
      </c>
      <c r="I31" s="6" t="n">
        <f aca="false">H34+G34+H37+G37+1.25*H35</f>
        <v>8.1408</v>
      </c>
      <c r="J31" s="6" t="n">
        <f aca="false">I34+H34+I37+H37+1.25*I35</f>
        <v>9.8088</v>
      </c>
      <c r="K31" s="6" t="n">
        <f aca="false">J34+I34+J37+I37+1.25*J35</f>
        <v>10.7441163346614</v>
      </c>
      <c r="L31" s="6" t="n">
        <f aca="false">K34+J34+K37+J37+1.25*K35</f>
        <v>9.90829300414129</v>
      </c>
      <c r="M31" s="6" t="n">
        <f aca="false">L34+K34+L37+K37+1.25*L35</f>
        <v>12.7981887682375</v>
      </c>
      <c r="N31" s="6" t="n">
        <f aca="false">M34+L34+M37+L37+1.25*M35</f>
        <v>13.1238620987576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2.56725</v>
      </c>
      <c r="E32" s="6" t="n">
        <f aca="false">E24*(INDEX(Assumptions!$C$26:$E$26,$B$3)*(1-E28)+(1-INDEX(Assumptions!$C$26:$E$26,$B$3)))+1.25*E30+D36*INDEX(Assumptions!$C$89:$E$89,$B$3)</f>
        <v>3.42927</v>
      </c>
      <c r="F32" s="6" t="n">
        <f aca="false">F24*(INDEX(Assumptions!$C$26:$E$26,$B$3)*(1-F28)+(1-INDEX(Assumptions!$C$26:$E$26,$B$3)))+1.25*F30+E36*INDEX(Assumptions!$C$89:$E$89,$B$3)</f>
        <v>4.778</v>
      </c>
      <c r="G32" s="6" t="n">
        <f aca="false">G24*(INDEX(Assumptions!$C$26:$E$26,$B$3)*(1-G28)+(1-INDEX(Assumptions!$C$26:$E$26,$B$3)))+1.25*G30+F36*INDEX(Assumptions!$C$89:$E$89,$B$3)</f>
        <v>6.018</v>
      </c>
      <c r="H32" s="6" t="n">
        <f aca="false">H24*(INDEX(Assumptions!$C$26:$E$26,$B$3)*(1-H28)+(1-INDEX(Assumptions!$C$26:$E$26,$B$3)))+1.25*H30+G36*INDEX(Assumptions!$C$89:$E$89,$B$3)</f>
        <v>6.7588</v>
      </c>
      <c r="I32" s="6" t="n">
        <f aca="false">I24*(INDEX(Assumptions!$C$26:$E$26,$B$3)*(1-I28)+(1-INDEX(Assumptions!$C$26:$E$26,$B$3)))+1.25*I30+H36*INDEX(Assumptions!$C$89:$E$89,$B$3)</f>
        <v>8.662</v>
      </c>
      <c r="J32" s="6" t="n">
        <f aca="false">J24*(INDEX(Assumptions!$C$26:$E$26,$B$3)*(1-J28)+(1-INDEX(Assumptions!$C$26:$E$26,$B$3)))+1.25*J30+I36*INDEX(Assumptions!$C$89:$E$89,$B$3)</f>
        <v>9.1866</v>
      </c>
      <c r="K32" s="6" t="n">
        <f aca="false">K24*(INDEX(Assumptions!$C$26:$E$26,$B$3)*(1-K28)+(1-INDEX(Assumptions!$C$26:$E$26,$B$3)))+1.25*K30+J36*INDEX(Assumptions!$C$89:$E$89,$B$3)</f>
        <v>8.50612509960159</v>
      </c>
      <c r="L32" s="6" t="n">
        <f aca="false">L24*(INDEX(Assumptions!$C$26:$E$26,$B$3)*(1-L28)+(1-INDEX(Assumptions!$C$26:$E$26,$B$3)))+1.25*L30+K36*INDEX(Assumptions!$C$89:$E$89,$B$3)</f>
        <v>11.3560120987576</v>
      </c>
      <c r="M32" s="6" t="n">
        <f aca="false">M24*(INDEX(Assumptions!$C$26:$E$26,$B$3)*(1-M28)+(1-INDEX(Assumptions!$C$26:$E$26,$B$3)))+1.25*M30+L36*INDEX(Assumptions!$C$89:$E$89,$B$3)</f>
        <v>12.29985</v>
      </c>
      <c r="N32" s="6" t="n">
        <f aca="false">N24*(INDEX(Assumptions!$C$26:$E$26,$B$3)*(1-N28)+(1-INDEX(Assumptions!$C$26:$E$26,$B$3)))+1.25*N30+M36*INDEX(Assumptions!$C$89:$E$89,$B$3)</f>
        <v>9.88975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0.891646528639541</v>
      </c>
      <c r="K33" s="8" t="n">
        <f aca="false">IF(K32&lt;=0,1,MAX(0,MIN(1,(K27-K31)/K32)))</f>
        <v>0.853018687166791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0.853018687166791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1.39635</v>
      </c>
      <c r="E34" s="38" t="n">
        <f aca="false">E24*INDEX(Assumptions!$C$26:$E$26,$B$3)*(1-E28)*E33</f>
        <v>1.89</v>
      </c>
      <c r="F34" s="38" t="n">
        <f aca="false">F24*INDEX(Assumptions!$C$26:$E$26,$B$3)*(1-F28)*F33</f>
        <v>2.64</v>
      </c>
      <c r="G34" s="38" t="n">
        <f aca="false">G24*INDEX(Assumptions!$C$26:$E$26,$B$3)*(1-G28)*G33</f>
        <v>3.294</v>
      </c>
      <c r="H34" s="38" t="n">
        <f aca="false">H24*INDEX(Assumptions!$C$26:$E$26,$B$3)*(1-H28)*H33</f>
        <v>3.66</v>
      </c>
      <c r="I34" s="38" t="n">
        <f aca="false">I24*INDEX(Assumptions!$C$26:$E$26,$B$3)*(1-I28)*I33</f>
        <v>4.758</v>
      </c>
      <c r="J34" s="38" t="n">
        <f aca="false">J24*INDEX(Assumptions!$C$26:$E$26,$B$3)*(1-J28)*J33</f>
        <v>4.40562549800797</v>
      </c>
      <c r="K34" s="38" t="n">
        <f aca="false">K24*INDEX(Assumptions!$C$26:$E$26,$B$3)*(1-K28)*K33</f>
        <v>3.90256049378807</v>
      </c>
      <c r="L34" s="38" t="n">
        <f aca="false">L24*INDEX(Assumptions!$C$26:$E$26,$B$3)*(1-L28)*L33</f>
        <v>3.6135</v>
      </c>
      <c r="M34" s="38" t="n">
        <f aca="false">M24*INDEX(Assumptions!$C$26:$E$26,$B$3)*(1-M28)*M33</f>
        <v>4.01625</v>
      </c>
      <c r="N34" s="38" t="n">
        <f aca="false">N24*INDEX(Assumptions!$C$26:$E$26,$B$3)*(1-N28)*N33</f>
        <v>3.825</v>
      </c>
      <c r="O34" s="17" t="n">
        <f aca="false">SUM(C34:N34)</f>
        <v>38.601285991796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1.275</v>
      </c>
      <c r="O35" s="38" t="n">
        <f aca="false">SUM(C35:N35)</f>
        <v>7.275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0.9309</v>
      </c>
      <c r="E36" s="16" t="n">
        <f aca="false">E24*(1-INDEX(Assumptions!$C$26:$E$26,$B$3))*E33</f>
        <v>1.26</v>
      </c>
      <c r="F36" s="16" t="n">
        <f aca="false">F24*(1-INDEX(Assumptions!$C$26:$E$26,$B$3))*F33</f>
        <v>1.76</v>
      </c>
      <c r="G36" s="16" t="n">
        <f aca="false">G24*(1-INDEX(Assumptions!$C$26:$E$26,$B$3))*G33</f>
        <v>2.196</v>
      </c>
      <c r="H36" s="16" t="n">
        <f aca="false">H24*(1-INDEX(Assumptions!$C$26:$E$26,$B$3))*H33</f>
        <v>2.44</v>
      </c>
      <c r="I36" s="16" t="n">
        <f aca="false">I24*(1-INDEX(Assumptions!$C$26:$E$26,$B$3))*I33</f>
        <v>3.172</v>
      </c>
      <c r="J36" s="16" t="n">
        <f aca="false">J24*(1-INDEX(Assumptions!$C$26:$E$26,$B$3))*J33</f>
        <v>2.93708366533865</v>
      </c>
      <c r="K36" s="16" t="n">
        <f aca="false">K24*(1-INDEX(Assumptions!$C$26:$E$26,$B$3))*K33</f>
        <v>2.60170699585871</v>
      </c>
      <c r="L36" s="16" t="n">
        <f aca="false">L24*(1-INDEX(Assumptions!$C$26:$E$26,$B$3))*L33</f>
        <v>3.212</v>
      </c>
      <c r="M36" s="16" t="n">
        <f aca="false">M24*(1-INDEX(Assumptions!$C$26:$E$26,$B$3))*M33</f>
        <v>3.57</v>
      </c>
      <c r="N36" s="16" t="n">
        <f aca="false">N24*(1-INDEX(Assumptions!$C$26:$E$26,$B$3))*N33</f>
        <v>3.4</v>
      </c>
      <c r="O36" s="38" t="n">
        <f aca="false">SUM(C36:N36)</f>
        <v>28.2796906611974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0.27927</v>
      </c>
      <c r="F37" s="16" t="n">
        <f aca="false">E36*INDEX(Assumptions!$C$89:$E$89,$B$3)*F33</f>
        <v>0.378</v>
      </c>
      <c r="G37" s="16" t="n">
        <f aca="false">F36*INDEX(Assumptions!$C$89:$E$89,$B$3)*G33</f>
        <v>0.528</v>
      </c>
      <c r="H37" s="16" t="n">
        <f aca="false">G36*INDEX(Assumptions!$C$89:$E$89,$B$3)*H33</f>
        <v>0.6588</v>
      </c>
      <c r="I37" s="16" t="n">
        <f aca="false">H36*INDEX(Assumptions!$C$89:$E$89,$B$3)*I33</f>
        <v>0.732</v>
      </c>
      <c r="J37" s="16" t="n">
        <f aca="false">I36*INDEX(Assumptions!$C$89:$E$89,$B$3)*J33</f>
        <v>0.848490836653387</v>
      </c>
      <c r="K37" s="16" t="n">
        <f aca="false">J36*INDEX(Assumptions!$C$89:$E$89,$B$3)*K33</f>
        <v>0.75161617569186</v>
      </c>
      <c r="L37" s="16" t="n">
        <f aca="false">K36*INDEX(Assumptions!$C$89:$E$89,$B$3)*L33</f>
        <v>0.780512098757614</v>
      </c>
      <c r="M37" s="16" t="n">
        <f aca="false">L36*INDEX(Assumptions!$C$89:$E$89,$B$3)*M33</f>
        <v>0.9636</v>
      </c>
      <c r="N37" s="16" t="n">
        <f aca="false">M36*INDEX(Assumptions!$C$89:$E$89,$B$3)*N33</f>
        <v>1.071</v>
      </c>
      <c r="O37" s="38" t="n">
        <f aca="false">SUM(C37:N37)</f>
        <v>7.23128911110286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2.32725</v>
      </c>
      <c r="E38" s="38" t="n">
        <f aca="false">E34+E35+E36</f>
        <v>3.15</v>
      </c>
      <c r="F38" s="38" t="n">
        <f aca="false">F34+F35+F36</f>
        <v>4.4</v>
      </c>
      <c r="G38" s="38" t="n">
        <f aca="false">G34+G35+G36</f>
        <v>5.49</v>
      </c>
      <c r="H38" s="38" t="n">
        <f aca="false">H34+H35+H36</f>
        <v>6.1</v>
      </c>
      <c r="I38" s="38" t="n">
        <f aca="false">I34+I35+I36</f>
        <v>7.93</v>
      </c>
      <c r="J38" s="38" t="n">
        <f aca="false">J34+J35+J36</f>
        <v>7.34270916334662</v>
      </c>
      <c r="K38" s="38" t="n">
        <f aca="false">K34+K35+K36</f>
        <v>6.50426748964678</v>
      </c>
      <c r="L38" s="38" t="n">
        <f aca="false">L34+L35+L36</f>
        <v>9.8255</v>
      </c>
      <c r="M38" s="38" t="n">
        <f aca="false">M34+M35+M36</f>
        <v>10.58625</v>
      </c>
      <c r="N38" s="38" t="n">
        <f aca="false">N34+N35+N36</f>
        <v>8.5</v>
      </c>
      <c r="O38" s="17" t="n">
        <f aca="false">SUM(C38:N38)</f>
        <v>74.1559766529934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2.32725</v>
      </c>
      <c r="E39" s="16" t="n">
        <f aca="false">IF(3&lt;IF($Q$3=1,$Q$4+1,INDEX(Assumptions!$C$215:$E$215,$D$3)),E24,E38)</f>
        <v>3.15</v>
      </c>
      <c r="F39" s="16" t="n">
        <f aca="false">IF(4&lt;IF($Q$3=1,$Q$4+1,INDEX(Assumptions!$C$215:$E$215,$D$3)),F24,F38)</f>
        <v>4.4</v>
      </c>
      <c r="G39" s="16" t="n">
        <f aca="false">IF(5&lt;IF($Q$3=1,$Q$4+1,INDEX(Assumptions!$C$215:$E$215,$D$3)),G24,G38)</f>
        <v>5.49</v>
      </c>
      <c r="H39" s="16" t="n">
        <f aca="false">IF(6&lt;IF($Q$3=1,$Q$4+1,INDEX(Assumptions!$C$215:$E$215,$D$3)),H24,H38)</f>
        <v>6.1</v>
      </c>
      <c r="I39" s="16" t="n">
        <f aca="false">IF(7&lt;IF($Q$3=1,$Q$4+1,INDEX(Assumptions!$C$215:$E$215,$D$3)),I24,I38)</f>
        <v>7.93</v>
      </c>
      <c r="J39" s="16" t="n">
        <f aca="false">IF(8&lt;IF($Q$3=1,$Q$4+1,INDEX(Assumptions!$C$215:$E$215,$D$3)),J24,J38)</f>
        <v>8.235</v>
      </c>
      <c r="K39" s="16" t="n">
        <f aca="false">IF(9&lt;IF($Q$3=1,$Q$4+1,INDEX(Assumptions!$C$215:$E$215,$D$3)),K24,K38)</f>
        <v>7.625</v>
      </c>
      <c r="L39" s="16" t="n">
        <f aca="false">IF(10&lt;IF($Q$3=1,$Q$4+1,INDEX(Assumptions!$C$215:$E$215,$D$3)),L24,L38)</f>
        <v>9.8255</v>
      </c>
      <c r="M39" s="16" t="n">
        <f aca="false">IF(11&lt;IF($Q$3=1,$Q$4+1,INDEX(Assumptions!$C$215:$E$215,$D$3)),M24,M38)</f>
        <v>10.58625</v>
      </c>
      <c r="N39" s="16" t="n">
        <f aca="false">IF(12&lt;IF($Q$3=1,$Q$4+1,INDEX(Assumptions!$C$215:$E$215,$D$3)),N24,N38)</f>
        <v>8.5</v>
      </c>
      <c r="O39" s="38" t="n">
        <f aca="false">SUM(C39:N39)</f>
        <v>76.169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0.5818125</v>
      </c>
      <c r="E40" s="16" t="n">
        <f aca="false">E38*INDEX(Assumptions!$C$74:$E$74,$B$3)</f>
        <v>0.7875</v>
      </c>
      <c r="F40" s="16" t="n">
        <f aca="false">F38*INDEX(Assumptions!$C$74:$E$74,$B$3)</f>
        <v>1.1</v>
      </c>
      <c r="G40" s="16" t="n">
        <f aca="false">G38*INDEX(Assumptions!$C$74:$E$74,$B$3)</f>
        <v>1.3725</v>
      </c>
      <c r="H40" s="16" t="n">
        <f aca="false">H38*INDEX(Assumptions!$C$74:$E$74,$B$3)</f>
        <v>1.525</v>
      </c>
      <c r="I40" s="16" t="n">
        <f aca="false">I38*INDEX(Assumptions!$C$74:$E$74,$B$3)</f>
        <v>1.9825</v>
      </c>
      <c r="J40" s="16" t="n">
        <f aca="false">J38*INDEX(Assumptions!$C$74:$E$74,$B$3)</f>
        <v>1.83567729083665</v>
      </c>
      <c r="K40" s="16" t="n">
        <f aca="false">K38*INDEX(Assumptions!$C$74:$E$74,$B$3)</f>
        <v>1.6260668724117</v>
      </c>
      <c r="L40" s="16" t="n">
        <f aca="false">L38*INDEX(Assumptions!$C$74:$E$74,$B$3)</f>
        <v>2.456375</v>
      </c>
      <c r="M40" s="16" t="n">
        <f aca="false">M38*INDEX(Assumptions!$C$74:$E$74,$B$3)</f>
        <v>2.6465625</v>
      </c>
      <c r="N40" s="16" t="n">
        <f aca="false">N38*INDEX(Assumptions!$C$74:$E$74,$B$3)</f>
        <v>2.125</v>
      </c>
      <c r="O40" s="38" t="n">
        <f aca="false">SUM(C40:N40)</f>
        <v>18.5389941632484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4.68</v>
      </c>
      <c r="J41" s="16" t="n">
        <f aca="false">J10*MIN(J16,J21*J20)*J22*J23*J33</f>
        <v>4.33340212918817</v>
      </c>
      <c r="K41" s="16" t="n">
        <f aca="false">K10*MIN(K16,K21*K20)*K22*K23*K33</f>
        <v>3.83858409225056</v>
      </c>
      <c r="L41" s="16" t="n">
        <f aca="false">L10*MIN(L16,L21*L20)*L22*L23*L33</f>
        <v>5.28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41.5242362214387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3.76725</v>
      </c>
      <c r="E42" s="6" t="n">
        <f aca="false">E31+E34+E37+E36+1.25*E35</f>
        <v>6.26562</v>
      </c>
      <c r="F42" s="6" t="n">
        <f aca="false">F31+F34+F37+F36+1.25*F35</f>
        <v>8.58362</v>
      </c>
      <c r="G42" s="6" t="n">
        <f aca="false">G31+G34+G37+G36+1.25*G35</f>
        <v>11.20527</v>
      </c>
      <c r="H42" s="6" t="n">
        <f aca="false">H31+H34+H37+H36+1.25*H35</f>
        <v>13.5988</v>
      </c>
      <c r="I42" s="6" t="n">
        <f aca="false">I31+I34+I37+I36+1.25*I35</f>
        <v>16.8028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21.2643051028989</v>
      </c>
      <c r="M42" s="6" t="n">
        <f aca="false">M31+M34+M37+M36+1.25*M35</f>
        <v>25.0980387682375</v>
      </c>
      <c r="N42" s="6" t="n">
        <f aca="false">N31+N34+N37+N36+1.25*N35</f>
        <v>23.0136120987576</v>
      </c>
      <c r="O42" s="41" t="n">
        <f aca="false">AVERAGE(C42:N42)</f>
        <v>13.9666096641578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0.235453125</v>
      </c>
      <c r="E43" s="39" t="n">
        <f aca="false">E42/(E25*E26)</f>
        <v>0.39160125</v>
      </c>
      <c r="F43" s="39" t="n">
        <f aca="false">F42/(F25*F26)</f>
        <v>0.53647625</v>
      </c>
      <c r="G43" s="39" t="n">
        <f aca="false">G42/(G25*G26)</f>
        <v>0.5602635</v>
      </c>
      <c r="H43" s="39" t="n">
        <f aca="false">H42/(H25*H26)</f>
        <v>0.67994</v>
      </c>
      <c r="I43" s="39" t="n">
        <f aca="false">I42/(I25*I26)</f>
        <v>0.84014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0.70881017009663</v>
      </c>
      <c r="M43" s="39" t="n">
        <f aca="false">M42/(M25*M26)</f>
        <v>0.836601292274585</v>
      </c>
      <c r="N43" s="39" t="n">
        <f aca="false">N42/(N25*N26)</f>
        <v>0.767120403291921</v>
      </c>
      <c r="O43" s="9" t="n">
        <f aca="false">N43</f>
        <v>0.767120403291921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2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2.18316135084428</v>
      </c>
      <c r="E48" s="6" t="n">
        <f aca="false">E24*INDEX(Assumptions!$C$31:$E$31,$B$3)/(INDEX(Assumptions!$C$56:$E$56,$B$3)*INDEX(Assumptions!$C$57:$E$57,$B$3)*INDEX(Assumptions!$C$58:$E$58,$B$3))</f>
        <v>2.95497185741088</v>
      </c>
      <c r="F48" s="6" t="n">
        <f aca="false">F24*INDEX(Assumptions!$C$31:$E$31,$B$3)/(INDEX(Assumptions!$C$56:$E$56,$B$3)*INDEX(Assumptions!$C$57:$E$57,$B$3)*INDEX(Assumptions!$C$58:$E$58,$B$3))</f>
        <v>4.12757973733584</v>
      </c>
      <c r="G48" s="6" t="n">
        <f aca="false">G24*INDEX(Assumptions!$C$31:$E$31,$B$3)/(INDEX(Assumptions!$C$56:$E$56,$B$3)*INDEX(Assumptions!$C$57:$E$57,$B$3)*INDEX(Assumptions!$C$58:$E$58,$B$3))</f>
        <v>5.15009380863039</v>
      </c>
      <c r="H48" s="6" t="n">
        <f aca="false">H24*INDEX(Assumptions!$C$31:$E$31,$B$3)/(INDEX(Assumptions!$C$56:$E$56,$B$3)*INDEX(Assumptions!$C$57:$E$57,$B$3)*INDEX(Assumptions!$C$58:$E$58,$B$3))</f>
        <v>5.72232645403377</v>
      </c>
      <c r="I48" s="6" t="n">
        <f aca="false">I24*INDEX(Assumptions!$C$31:$E$31,$B$3)/(INDEX(Assumptions!$C$56:$E$56,$B$3)*INDEX(Assumptions!$C$57:$E$57,$B$3)*INDEX(Assumptions!$C$58:$E$58,$B$3))</f>
        <v>7.4390243902439</v>
      </c>
      <c r="J48" s="6" t="n">
        <f aca="false">J24*INDEX(Assumptions!$C$31:$E$31,$B$3)/(INDEX(Assumptions!$C$56:$E$56,$B$3)*INDEX(Assumptions!$C$57:$E$57,$B$3)*INDEX(Assumptions!$C$58:$E$58,$B$3))</f>
        <v>7.72514071294559</v>
      </c>
      <c r="K48" s="6" t="n">
        <f aca="false">K24*INDEX(Assumptions!$C$31:$E$31,$B$3)/(INDEX(Assumptions!$C$56:$E$56,$B$3)*INDEX(Assumptions!$C$57:$E$57,$B$3)*INDEX(Assumptions!$C$58:$E$58,$B$3))</f>
        <v>7.15290806754221</v>
      </c>
      <c r="L48" s="6" t="n">
        <f aca="false">L24*INDEX(Assumptions!$C$31:$E$31,$B$3)/(INDEX(Assumptions!$C$56:$E$56,$B$3)*INDEX(Assumptions!$C$57:$E$57,$B$3)*INDEX(Assumptions!$C$58:$E$58,$B$3))</f>
        <v>7.5328330206379</v>
      </c>
      <c r="M48" s="6" t="n">
        <f aca="false">M24*INDEX(Assumptions!$C$31:$E$31,$B$3)/(INDEX(Assumptions!$C$56:$E$56,$B$3)*INDEX(Assumptions!$C$57:$E$57,$B$3)*INDEX(Assumptions!$C$58:$E$58,$B$3))</f>
        <v>8.37242026266416</v>
      </c>
      <c r="N48" s="6" t="n">
        <f aca="false">N24*INDEX(Assumptions!$C$31:$E$31,$B$3)/(INDEX(Assumptions!$C$56:$E$56,$B$3)*INDEX(Assumptions!$C$57:$E$57,$B$3)*INDEX(Assumptions!$C$58:$E$58,$B$3))</f>
        <v>7.97373358348968</v>
      </c>
      <c r="O48" s="41" t="n">
        <f aca="false">SUM(C48:N48)</f>
        <v>68.2103658536585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71000.8474576271</v>
      </c>
      <c r="E56" s="10" t="n">
        <f aca="false">E34*E53/(1+INDEX(Assumptions!$C$15:$E$15,$B$3)*$H$4)</f>
        <v>96101.6949152542</v>
      </c>
      <c r="F56" s="10" t="n">
        <f aca="false">F34*F53/(1+INDEX(Assumptions!$C$15:$E$15,$B$3)*$H$4)</f>
        <v>134237.288135593</v>
      </c>
      <c r="G56" s="10" t="n">
        <f aca="false">G34*G53/(1+INDEX(Assumptions!$C$15:$E$15,$B$3)*$H$4)</f>
        <v>167491.525423729</v>
      </c>
      <c r="H56" s="10" t="n">
        <f aca="false">H34*H53/(1+INDEX(Assumptions!$C$15:$E$15,$B$3)*$H$4)</f>
        <v>186101.694915254</v>
      </c>
      <c r="I56" s="10" t="n">
        <f aca="false">I34*I53/(1+INDEX(Assumptions!$C$15:$E$15,$B$3)*$H$4)</f>
        <v>241932.203389831</v>
      </c>
      <c r="J56" s="10" t="n">
        <f aca="false">J34*J53/(1+INDEX(Assumptions!$C$15:$E$15,$B$3)*$H$4)</f>
        <v>224014.855830914</v>
      </c>
      <c r="K56" s="10" t="n">
        <f aca="false">K34*K53/(1+INDEX(Assumptions!$C$15:$E$15,$B$3)*$H$4)</f>
        <v>198435.279345156</v>
      </c>
      <c r="L56" s="10" t="n">
        <f aca="false">L34*L53/(1+INDEX(Assumptions!$C$15:$E$15,$B$3)*$H$4)</f>
        <v>204152.542372881</v>
      </c>
      <c r="M56" s="10" t="n">
        <f aca="false">M34*M53/(1+INDEX(Assumptions!$C$15:$E$15,$B$3)*$H$4)</f>
        <v>226906.779661017</v>
      </c>
      <c r="N56" s="10" t="n">
        <f aca="false">N34*N53/(1+INDEX(Assumptions!$C$15:$E$15,$B$3)*$H$4)</f>
        <v>216101.694915254</v>
      </c>
      <c r="O56" s="40" t="n">
        <f aca="false">SUM(C56:N56)</f>
        <v>2027493.35551505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72033.8983050847</v>
      </c>
      <c r="O57" s="40" t="n">
        <f aca="false">SUM(C57:N57)</f>
        <v>411016.949152542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4757.05677966102</v>
      </c>
      <c r="F58" s="10" t="n">
        <f aca="false">F37*MAX(0,F53-INDEX(Assumptions!$C$18:$E$18,$B$3)*$H$3)/(1+INDEX(Assumptions!$C$15:$E$15,$B$3)*$H$4)</f>
        <v>6438.81355932203</v>
      </c>
      <c r="G58" s="10" t="n">
        <f aca="false">G37*MAX(0,G53-INDEX(Assumptions!$C$18:$E$18,$B$3)*$H$3)/(1+INDEX(Assumptions!$C$15:$E$15,$B$3)*$H$4)</f>
        <v>8993.89830508475</v>
      </c>
      <c r="H58" s="10" t="n">
        <f aca="false">H37*MAX(0,H53-INDEX(Assumptions!$C$18:$E$18,$B$3)*$H$3)/(1+INDEX(Assumptions!$C$15:$E$15,$B$3)*$H$4)</f>
        <v>11221.9322033898</v>
      </c>
      <c r="I58" s="10" t="n">
        <f aca="false">I37*MAX(0,I53-INDEX(Assumptions!$C$18:$E$18,$B$3)*$H$3)/(1+INDEX(Assumptions!$C$15:$E$15,$B$3)*$H$4)</f>
        <v>12468.813559322</v>
      </c>
      <c r="J58" s="10" t="n">
        <f aca="false">J37*MAX(0,J53-INDEX(Assumptions!$C$18:$E$18,$B$3)*$H$3)/(1+INDEX(Assumptions!$C$15:$E$15,$B$3)*$H$4)</f>
        <v>14453.1066243501</v>
      </c>
      <c r="K58" s="10" t="n">
        <f aca="false">K37*MAX(0,K53-INDEX(Assumptions!$C$18:$E$18,$B$3)*$H$3)/(1+INDEX(Assumptions!$C$15:$E$15,$B$3)*$H$4)</f>
        <v>12802.9535011919</v>
      </c>
      <c r="L58" s="10" t="n">
        <f aca="false">L37*MAX(0,L53-INDEX(Assumptions!$C$18:$E$18,$B$3)*$H$3)/(1+INDEX(Assumptions!$C$15:$E$15,$B$3)*$H$4)</f>
        <v>17704.8365904623</v>
      </c>
      <c r="M58" s="10" t="n">
        <f aca="false">M37*MAX(0,M53-INDEX(Assumptions!$C$18:$E$18,$B$3)*$H$3)/(1+INDEX(Assumptions!$C$15:$E$15,$B$3)*$H$4)</f>
        <v>21857.9322033898</v>
      </c>
      <c r="N58" s="10" t="n">
        <f aca="false">N37*MAX(0,N53-INDEX(Assumptions!$C$18:$E$18,$B$3)*$H$3)/(1+INDEX(Assumptions!$C$15:$E$15,$B$3)*$H$4)</f>
        <v>24294.1525423729</v>
      </c>
      <c r="O58" s="40" t="n">
        <f aca="false">SUM(C58:N58)</f>
        <v>139081.631461767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31477.0423728814</v>
      </c>
      <c r="E59" s="10" t="n">
        <f aca="false">E36*INDEX(Assumptions!$C$18:$E$18,$B$3)*$H$3/(1+INDEX(Assumptions!$C$15:$E$15,$B$3)*$H$4)</f>
        <v>42605.0847457627</v>
      </c>
      <c r="F59" s="10" t="n">
        <f aca="false">F36*INDEX(Assumptions!$C$18:$E$18,$B$3)*$H$3/(1+INDEX(Assumptions!$C$15:$E$15,$B$3)*$H$4)</f>
        <v>59511.8644067797</v>
      </c>
      <c r="G59" s="10" t="n">
        <f aca="false">G36*INDEX(Assumptions!$C$18:$E$18,$B$3)*$H$3/(1+INDEX(Assumptions!$C$15:$E$15,$B$3)*$H$4)</f>
        <v>74254.5762711865</v>
      </c>
      <c r="H59" s="10" t="n">
        <f aca="false">H36*INDEX(Assumptions!$C$18:$E$18,$B$3)*$H$3/(1+INDEX(Assumptions!$C$15:$E$15,$B$3)*$H$4)</f>
        <v>82505.0847457627</v>
      </c>
      <c r="I59" s="10" t="n">
        <f aca="false">I36*INDEX(Assumptions!$C$18:$E$18,$B$3)*$H$3/(1+INDEX(Assumptions!$C$15:$E$15,$B$3)*$H$4)</f>
        <v>107256.610169492</v>
      </c>
      <c r="J59" s="10" t="n">
        <f aca="false">J36*INDEX(Assumptions!$C$18:$E$18,$B$3)*$H$3/(1+INDEX(Assumptions!$C$15:$E$15,$B$3)*$H$4)</f>
        <v>99313.2527517051</v>
      </c>
      <c r="K59" s="10" t="n">
        <f aca="false">K36*INDEX(Assumptions!$C$18:$E$18,$B$3)*$H$3/(1+INDEX(Assumptions!$C$15:$E$15,$B$3)*$H$4)</f>
        <v>87972.9738430192</v>
      </c>
      <c r="L59" s="10" t="n">
        <f aca="false">L36*INDEX(Assumptions!$C$18:$E$18,$B$3)*$H$3/(1+INDEX(Assumptions!$C$15:$E$15,$B$3)*$H$4)</f>
        <v>108609.152542373</v>
      </c>
      <c r="M59" s="10" t="n">
        <f aca="false">M36*INDEX(Assumptions!$C$18:$E$18,$B$3)*$H$3/(1+INDEX(Assumptions!$C$15:$E$15,$B$3)*$H$4)</f>
        <v>120714.406779661</v>
      </c>
      <c r="N59" s="10" t="n">
        <f aca="false">N36*INDEX(Assumptions!$C$18:$E$18,$B$3)*$H$3/(1+INDEX(Assumptions!$C$15:$E$15,$B$3)*$H$4)</f>
        <v>114966.101694915</v>
      </c>
      <c r="O59" s="40" t="n">
        <f aca="false">SUM(C59:N59)</f>
        <v>956236.997781165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1651.25924957071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2235.02702165548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3121.94250643941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3895.33280917099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4328.14756574554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5626.5918354692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5842.99921375648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5410.18445718193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5697.54507425192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6332.5765613572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6031.02529653067</v>
      </c>
      <c r="O60" s="40" t="n">
        <f aca="false">SUM(C60:N60)</f>
        <v>51591.6963667838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6348.96</v>
      </c>
      <c r="M65" s="10" t="n">
        <f aca="false">(M34+M35)*(1-M54)*INDEX(Assumptions!$C$90:$E$90,$B$3)</f>
        <v>6735.6</v>
      </c>
      <c r="N65" s="10" t="n">
        <f aca="false">(N34+N35)*(1-N54)*INDEX(Assumptions!$C$90:$E$90,$B$3)</f>
        <v>4896</v>
      </c>
      <c r="O65" s="40" t="n">
        <f aca="false">SUM(C65:N65)</f>
        <v>17980.56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159054.572808893</v>
      </c>
      <c r="E66" s="40" t="n">
        <f aca="false">SUM(E56:E65)</f>
        <v>252785.102445384</v>
      </c>
      <c r="F66" s="40" t="n">
        <f aca="false">SUM(F56:F65)</f>
        <v>347581.115387795</v>
      </c>
      <c r="G66" s="40" t="n">
        <f aca="false">SUM(G56:G65)</f>
        <v>404318.202300696</v>
      </c>
      <c r="H66" s="40" t="n">
        <f aca="false">SUM(H56:H65)</f>
        <v>458315.37468439</v>
      </c>
      <c r="I66" s="40" t="n">
        <f aca="false">SUM(I56:I65)</f>
        <v>565918.379971062</v>
      </c>
      <c r="J66" s="40" t="n">
        <f aca="false">SUM(J56:J65)</f>
        <v>566734.021200386</v>
      </c>
      <c r="K66" s="40" t="n">
        <f aca="false">SUM(K56:K65)</f>
        <v>527731.19792621</v>
      </c>
      <c r="L66" s="40" t="n">
        <f aca="false">SUM(L56:L65)</f>
        <v>768149.11454607</v>
      </c>
      <c r="M66" s="40" t="n">
        <f aca="false">SUM(M56:M65)</f>
        <v>827247.356222374</v>
      </c>
      <c r="N66" s="40" t="n">
        <f aca="false">SUM(N56:N65)</f>
        <v>732595.391398226</v>
      </c>
      <c r="O66" s="11" t="n">
        <f aca="false">SUM(C66:N66)</f>
        <v>5729571.77502307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106566.025423729</v>
      </c>
      <c r="E67" s="10" t="n">
        <f aca="false">E56+E57+E58+E59</f>
        <v>143463.836440678</v>
      </c>
      <c r="F67" s="10" t="n">
        <f aca="false">F56+F57+F58+F59</f>
        <v>200187.966101695</v>
      </c>
      <c r="G67" s="10" t="n">
        <f aca="false">G56+G57+G58+G59</f>
        <v>250740</v>
      </c>
      <c r="H67" s="10" t="n">
        <f aca="false">H56+H57+H58+H59</f>
        <v>279828.711864407</v>
      </c>
      <c r="I67" s="10" t="n">
        <f aca="false">I56+I57+I58+I59</f>
        <v>361657.627118644</v>
      </c>
      <c r="J67" s="10" t="n">
        <f aca="false">J56+J57+J58+J59</f>
        <v>337781.215206969</v>
      </c>
      <c r="K67" s="10" t="n">
        <f aca="false">K56+K57+K58+K59</f>
        <v>299211.206689367</v>
      </c>
      <c r="L67" s="10" t="n">
        <f aca="false">L56+L57+L58+L59</f>
        <v>499958.056929445</v>
      </c>
      <c r="M67" s="10" t="n">
        <f aca="false">M56+M57+M58+M59</f>
        <v>538970.644067797</v>
      </c>
      <c r="N67" s="10" t="n">
        <f aca="false">N56+N57+N58+N59</f>
        <v>427395.847457627</v>
      </c>
      <c r="O67" s="40" t="n">
        <f aca="false">SUM(C67:N67)</f>
        <v>3533828.93391053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9818.1</v>
      </c>
      <c r="E69" s="10" t="n">
        <f aca="false">((E34+E37)*INDEX(Assumptions!$C$91:$E$91,$B$3)+E35*(INDEX(Assumptions!$C$93:$E$93,$B$3)+IF($Q$3=1,INDEX(Assumptions!$C$282:$E$282,$B$3),0)))*$N$3</f>
        <v>13015.62</v>
      </c>
      <c r="F69" s="10" t="n">
        <f aca="false">((F34+F37)*INDEX(Assumptions!$C$91:$E$91,$B$3)+F35*(INDEX(Assumptions!$C$93:$E$93,$B$3)+IF($Q$3=1,INDEX(Assumptions!$C$282:$E$282,$B$3),0)))*$N$3</f>
        <v>18108</v>
      </c>
      <c r="G69" s="10" t="n">
        <f aca="false">((G34+G37)*INDEX(Assumptions!$C$91:$E$91,$B$3)+G35*(INDEX(Assumptions!$C$93:$E$93,$B$3)+IF($Q$3=1,INDEX(Assumptions!$C$282:$E$282,$B$3),0)))*$N$3</f>
        <v>22932</v>
      </c>
      <c r="H69" s="10" t="n">
        <f aca="false">((H34+H37)*INDEX(Assumptions!$C$91:$E$91,$B$3)+H35*(INDEX(Assumptions!$C$93:$E$93,$B$3)+IF($Q$3=1,INDEX(Assumptions!$C$282:$E$282,$B$3),0)))*$N$3</f>
        <v>25912.8</v>
      </c>
      <c r="I69" s="10" t="n">
        <f aca="false">((I34+I37)*INDEX(Assumptions!$C$91:$E$91,$B$3)+I35*(INDEX(Assumptions!$C$93:$E$93,$B$3)+IF($Q$3=1,INDEX(Assumptions!$C$282:$E$282,$B$3),0)))*$N$3</f>
        <v>32940</v>
      </c>
      <c r="J69" s="10" t="n">
        <f aca="false">((J34+J37)*INDEX(Assumptions!$C$91:$E$91,$B$3)+J35*(INDEX(Assumptions!$C$93:$E$93,$B$3)+IF($Q$3=1,INDEX(Assumptions!$C$282:$E$282,$B$3),0)))*$N$3</f>
        <v>31524.6980079681</v>
      </c>
      <c r="K69" s="10" t="n">
        <f aca="false">((K34+K37)*INDEX(Assumptions!$C$91:$E$91,$B$3)+K35*(INDEX(Assumptions!$C$93:$E$93,$B$3)+IF($Q$3=1,INDEX(Assumptions!$C$282:$E$282,$B$3),0)))*$N$3</f>
        <v>27925.0600168796</v>
      </c>
      <c r="L69" s="10" t="n">
        <f aca="false">((L34+L37)*INDEX(Assumptions!$C$91:$E$91,$B$3)+L35*(INDEX(Assumptions!$C$93:$E$93,$B$3)+IF($Q$3=1,INDEX(Assumptions!$C$282:$E$282,$B$3),0)))*$N$3</f>
        <v>54864.0725925457</v>
      </c>
      <c r="M69" s="10" t="n">
        <f aca="false">((M34+M37)*INDEX(Assumptions!$C$91:$E$91,$B$3)+M35*(INDEX(Assumptions!$C$93:$E$93,$B$3)+IF($Q$3=1,INDEX(Assumptions!$C$282:$E$282,$B$3),0)))*$N$3</f>
        <v>58379.1</v>
      </c>
      <c r="N69" s="10" t="n">
        <f aca="false">((N34+N37)*INDEX(Assumptions!$C$91:$E$91,$B$3)+N35*(INDEX(Assumptions!$C$93:$E$93,$B$3)+IF($Q$3=1,INDEX(Assumptions!$C$282:$E$282,$B$3),0)))*$N$3</f>
        <v>41488.5</v>
      </c>
      <c r="O69" s="40" t="n">
        <f aca="false">SUM(C69:N69)</f>
        <v>344107.950617393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16756.2</v>
      </c>
      <c r="E70" s="10" t="n">
        <f aca="false">(E34+E35)*E54*INDEX(Assumptions!$C$14:$E$14,$B$3)*$N$3</f>
        <v>22680</v>
      </c>
      <c r="F70" s="10" t="n">
        <f aca="false">(F34+F35)*F54*INDEX(Assumptions!$C$14:$E$14,$B$3)*$N$3</f>
        <v>31680</v>
      </c>
      <c r="G70" s="10" t="n">
        <f aca="false">(G34+G35)*G54*INDEX(Assumptions!$C$14:$E$14,$B$3)*$N$3</f>
        <v>39528</v>
      </c>
      <c r="H70" s="10" t="n">
        <f aca="false">(H34+H35)*H54*INDEX(Assumptions!$C$14:$E$14,$B$3)*$N$3</f>
        <v>43920</v>
      </c>
      <c r="I70" s="10" t="n">
        <f aca="false">(I34+I35)*I54*INDEX(Assumptions!$C$14:$E$14,$B$3)*$N$3</f>
        <v>57096</v>
      </c>
      <c r="J70" s="10" t="n">
        <f aca="false">(J34+J35)*J54*INDEX(Assumptions!$C$14:$E$14,$B$3)*$N$3</f>
        <v>52867.5059760956</v>
      </c>
      <c r="K70" s="10" t="n">
        <f aca="false">(K34+K35)*K54*INDEX(Assumptions!$C$14:$E$14,$B$3)*$N$3</f>
        <v>46830.7259254568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325758.431901553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1861.8</v>
      </c>
      <c r="E71" s="10" t="n">
        <f aca="false">E36*INDEX(Assumptions!$C$92:$E$92,$B$3)*$N$3</f>
        <v>2520</v>
      </c>
      <c r="F71" s="10" t="n">
        <f aca="false">F36*INDEX(Assumptions!$C$92:$E$92,$B$3)*$N$3</f>
        <v>3520</v>
      </c>
      <c r="G71" s="10" t="n">
        <f aca="false">G36*INDEX(Assumptions!$C$92:$E$92,$B$3)*$N$3</f>
        <v>4392</v>
      </c>
      <c r="H71" s="10" t="n">
        <f aca="false">H36*INDEX(Assumptions!$C$92:$E$92,$B$3)*$N$3</f>
        <v>4880</v>
      </c>
      <c r="I71" s="10" t="n">
        <f aca="false">I36*INDEX(Assumptions!$C$92:$E$92,$B$3)*$N$3</f>
        <v>6344</v>
      </c>
      <c r="J71" s="10" t="n">
        <f aca="false">J36*INDEX(Assumptions!$C$92:$E$92,$B$3)*$N$3</f>
        <v>5874.16733067729</v>
      </c>
      <c r="K71" s="10" t="n">
        <f aca="false">K36*INDEX(Assumptions!$C$92:$E$92,$B$3)*$N$3</f>
        <v>5203.41399171743</v>
      </c>
      <c r="L71" s="10" t="n">
        <f aca="false">L36*INDEX(Assumptions!$C$92:$E$92,$B$3)*$N$3</f>
        <v>6424</v>
      </c>
      <c r="M71" s="10" t="n">
        <f aca="false">M36*INDEX(Assumptions!$C$92:$E$92,$B$3)*$N$3</f>
        <v>7140</v>
      </c>
      <c r="N71" s="10" t="n">
        <f aca="false">N36*INDEX(Assumptions!$C$92:$E$92,$B$3)*$N$3</f>
        <v>6800</v>
      </c>
      <c r="O71" s="40" t="n">
        <f aca="false">SUM(C71:N71)</f>
        <v>56559.3813223947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5345.79033771107</v>
      </c>
      <c r="E72" s="10" t="n">
        <f aca="false">(E46*INDEX(Assumptions!$C$94:$E$94,$B$3)+E47*INDEX(Assumptions!$C$95:$E$95,$B$3)+E48*INDEX(Assumptions!$C$96:$E$96,$B$3))*$N$3</f>
        <v>11338.7429643527</v>
      </c>
      <c r="F72" s="10" t="n">
        <f aca="false">(F46*INDEX(Assumptions!$C$94:$E$94,$B$3)+F47*INDEX(Assumptions!$C$95:$E$95,$B$3)+F48*INDEX(Assumptions!$C$96:$E$96,$B$3))*$N$3</f>
        <v>15631.894934334</v>
      </c>
      <c r="G72" s="10" t="n">
        <f aca="false">(G46*INDEX(Assumptions!$C$94:$E$94,$B$3)+G47*INDEX(Assumptions!$C$95:$E$95,$B$3)+G48*INDEX(Assumptions!$C$96:$E$96,$B$3))*$N$3</f>
        <v>16887.5234521576</v>
      </c>
      <c r="H72" s="10" t="n">
        <f aca="false">(H46*INDEX(Assumptions!$C$94:$E$94,$B$3)+H47*INDEX(Assumptions!$C$95:$E$95,$B$3)+H48*INDEX(Assumptions!$C$96:$E$96,$B$3))*$N$3</f>
        <v>19830.5816135084</v>
      </c>
      <c r="I72" s="10" t="n">
        <f aca="false">(I46*INDEX(Assumptions!$C$94:$E$94,$B$3)+I47*INDEX(Assumptions!$C$95:$E$95,$B$3)+I48*INDEX(Assumptions!$C$96:$E$96,$B$3))*$N$3</f>
        <v>23059.756097561</v>
      </c>
      <c r="J72" s="10" t="n">
        <f aca="false">(J46*INDEX(Assumptions!$C$94:$E$94,$B$3)+J47*INDEX(Assumptions!$C$95:$E$95,$B$3)+J48*INDEX(Assumptions!$C$96:$E$96,$B$3))*$N$3</f>
        <v>25931.2851782364</v>
      </c>
      <c r="K72" s="10" t="n">
        <f aca="false">(K46*INDEX(Assumptions!$C$94:$E$94,$B$3)+K47*INDEX(Assumptions!$C$95:$E$95,$B$3)+K48*INDEX(Assumptions!$C$96:$E$96,$B$3))*$N$3</f>
        <v>25788.2270168856</v>
      </c>
      <c r="L72" s="10" t="n">
        <f aca="false">(L46*INDEX(Assumptions!$C$94:$E$94,$B$3)+L47*INDEX(Assumptions!$C$95:$E$95,$B$3)+L48*INDEX(Assumptions!$C$96:$E$96,$B$3))*$N$3</f>
        <v>27083.2082551595</v>
      </c>
      <c r="M72" s="10" t="n">
        <f aca="false">(M46*INDEX(Assumptions!$C$94:$E$94,$B$3)+M47*INDEX(Assumptions!$C$95:$E$95,$B$3)+M48*INDEX(Assumptions!$C$96:$E$96,$B$3))*$N$3</f>
        <v>29093.105065666</v>
      </c>
      <c r="N72" s="10" t="n">
        <f aca="false">(N46*INDEX(Assumptions!$C$94:$E$94,$B$3)+N47*INDEX(Assumptions!$C$95:$E$95,$B$3)+N48*INDEX(Assumptions!$C$96:$E$96,$B$3))*$N$3</f>
        <v>30793.4333958724</v>
      </c>
      <c r="O72" s="40" t="n">
        <f aca="false">SUM(C72:N72)</f>
        <v>234052.591463415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5304.27541828987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8048.46164021107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11107.875823152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13186.3335742964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14890.9757425516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18609.0547673171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18299.2863250303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16816.5257793356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26209.6739788803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28160.028906848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23740.9254869981</v>
      </c>
      <c r="O75" s="40" t="n">
        <f aca="false">SUM(C75:N75)</f>
        <v>188445.167371616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1396.35</v>
      </c>
      <c r="E76" s="10" t="n">
        <f aca="false">E38*INDEX(Assumptions!$C$240:$E$240,$B$3)*INDEX(Assumptions!$C$69:$E$69,$B$3)</f>
        <v>1890</v>
      </c>
      <c r="F76" s="10" t="n">
        <f aca="false">F38*INDEX(Assumptions!$C$240:$E$240,$B$3)*INDEX(Assumptions!$C$69:$E$69,$B$3)</f>
        <v>2640</v>
      </c>
      <c r="G76" s="10" t="n">
        <f aca="false">G38*INDEX(Assumptions!$C$240:$E$240,$B$3)*INDEX(Assumptions!$C$69:$E$69,$B$3)</f>
        <v>3294</v>
      </c>
      <c r="H76" s="10" t="n">
        <f aca="false">H38*INDEX(Assumptions!$C$240:$E$240,$B$3)*INDEX(Assumptions!$C$69:$E$69,$B$3)</f>
        <v>3660</v>
      </c>
      <c r="I76" s="10" t="n">
        <f aca="false">I38*INDEX(Assumptions!$C$240:$E$240,$B$3)*INDEX(Assumptions!$C$69:$E$69,$B$3)</f>
        <v>4758</v>
      </c>
      <c r="J76" s="10" t="n">
        <f aca="false">J38*INDEX(Assumptions!$C$240:$E$240,$B$3)*INDEX(Assumptions!$C$69:$E$69,$B$3)</f>
        <v>4405.62549800797</v>
      </c>
      <c r="K76" s="10" t="n">
        <f aca="false">K38*INDEX(Assumptions!$C$240:$E$240,$B$3)*INDEX(Assumptions!$C$69:$E$69,$B$3)</f>
        <v>3902.56049378807</v>
      </c>
      <c r="L76" s="10" t="n">
        <f aca="false">L38*INDEX(Assumptions!$C$240:$E$240,$B$3)*INDEX(Assumptions!$C$69:$E$69,$B$3)</f>
        <v>5895.3</v>
      </c>
      <c r="M76" s="10" t="n">
        <f aca="false">M38*INDEX(Assumptions!$C$240:$E$240,$B$3)*INDEX(Assumptions!$C$69:$E$69,$B$3)</f>
        <v>6351.75</v>
      </c>
      <c r="N76" s="10" t="n">
        <f aca="false">N38*INDEX(Assumptions!$C$240:$E$240,$B$3)*INDEX(Assumptions!$C$69:$E$69,$B$3)</f>
        <v>5100</v>
      </c>
      <c r="O76" s="40" t="n">
        <f aca="false">SUM(C76:N76)</f>
        <v>44493.585991796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40482.5157560009</v>
      </c>
      <c r="E77" s="40" t="n">
        <f aca="false">SUM(E69:E76)</f>
        <v>59968.8246045638</v>
      </c>
      <c r="F77" s="40" t="n">
        <f aca="false">SUM(F69:F76)</f>
        <v>83639.7707574859</v>
      </c>
      <c r="G77" s="40" t="n">
        <f aca="false">SUM(G69:G76)</f>
        <v>101647.857026454</v>
      </c>
      <c r="H77" s="40" t="n">
        <f aca="false">SUM(H69:H76)</f>
        <v>114998.35735606</v>
      </c>
      <c r="I77" s="40" t="n">
        <f aca="false">SUM(I69:I76)</f>
        <v>145186.810864878</v>
      </c>
      <c r="J77" s="40" t="n">
        <f aca="false">SUM(J69:J76)</f>
        <v>141758.568316016</v>
      </c>
      <c r="K77" s="40" t="n">
        <f aca="false">SUM(K69:K76)</f>
        <v>129322.513224063</v>
      </c>
      <c r="L77" s="40" t="n">
        <f aca="false">SUM(L69:L76)</f>
        <v>149332.254826585</v>
      </c>
      <c r="M77" s="40" t="n">
        <f aca="false">SUM(M69:M76)</f>
        <v>157979.983972514</v>
      </c>
      <c r="N77" s="40" t="n">
        <f aca="false">SUM(N69:N76)</f>
        <v>136778.858882871</v>
      </c>
      <c r="O77" s="11" t="n">
        <f aca="false">SUM(C77:N77)</f>
        <v>1292837.10866817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118572.057052892</v>
      </c>
      <c r="E78" s="40" t="n">
        <f aca="false">E66-E77</f>
        <v>192816.277840821</v>
      </c>
      <c r="F78" s="40" t="n">
        <f aca="false">F66-F77</f>
        <v>263941.344630309</v>
      </c>
      <c r="G78" s="40" t="n">
        <f aca="false">G66-G77</f>
        <v>302670.345274242</v>
      </c>
      <c r="H78" s="40" t="n">
        <f aca="false">H66-H77</f>
        <v>343317.01732833</v>
      </c>
      <c r="I78" s="40" t="n">
        <f aca="false">I66-I77</f>
        <v>420731.569106184</v>
      </c>
      <c r="J78" s="40" t="n">
        <f aca="false">J66-J77</f>
        <v>424975.452884371</v>
      </c>
      <c r="K78" s="40" t="n">
        <f aca="false">K66-K77</f>
        <v>398408.684702147</v>
      </c>
      <c r="L78" s="40" t="n">
        <f aca="false">L66-L77</f>
        <v>618816.859719485</v>
      </c>
      <c r="M78" s="40" t="n">
        <f aca="false">M66-M77</f>
        <v>669267.37224986</v>
      </c>
      <c r="N78" s="40" t="n">
        <f aca="false">N66-N77</f>
        <v>595816.532515355</v>
      </c>
      <c r="O78" s="11" t="n">
        <f aca="false">SUM(C78:N78)</f>
        <v>4436734.66635491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0.745480340231139</v>
      </c>
      <c r="E79" s="8" t="n">
        <f aca="false">IFERROR(E78/E66,0)</f>
        <v>0.762767568086729</v>
      </c>
      <c r="F79" s="8" t="n">
        <f aca="false">IFERROR(F78/F66,0)</f>
        <v>0.75936618229627</v>
      </c>
      <c r="G79" s="8" t="n">
        <f aca="false">IFERROR(G78/G66,0)</f>
        <v>0.748594407948873</v>
      </c>
      <c r="H79" s="8" t="n">
        <f aca="false">IFERROR(H78/H66,0)</f>
        <v>0.749084661549372</v>
      </c>
      <c r="I79" s="8" t="n">
        <f aca="false">IFERROR(I78/I66,0)</f>
        <v>0.743449203978316</v>
      </c>
      <c r="J79" s="8" t="n">
        <f aca="false">IFERROR(J78/J66,0)</f>
        <v>0.749867551597202</v>
      </c>
      <c r="K79" s="8" t="n">
        <f aca="false">IFERROR(K78/K66,0)</f>
        <v>0.754946242078821</v>
      </c>
      <c r="L79" s="8" t="n">
        <f aca="false">IFERROR(L78/L66,0)</f>
        <v>0.805594705508667</v>
      </c>
      <c r="M79" s="8" t="n">
        <f aca="false">IFERROR(M78/M66,0)</f>
        <v>0.809029327462671</v>
      </c>
      <c r="N79" s="8" t="n">
        <f aca="false">IFERROR(N78/N66,0)</f>
        <v>0.813295496410624</v>
      </c>
      <c r="O79" s="13" t="n">
        <f aca="false">IFERROR(O78/O66,0)</f>
        <v>0.774357114382608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-183260.942947108</v>
      </c>
      <c r="E103" s="40" t="n">
        <f aca="false">E78-E102</f>
        <v>-299016.72215918</v>
      </c>
      <c r="F103" s="40" t="n">
        <f aca="false">F78-F102</f>
        <v>-87891.6553696906</v>
      </c>
      <c r="G103" s="40" t="n">
        <f aca="false">G78-G102</f>
        <v>-67162.6547257577</v>
      </c>
      <c r="H103" s="40" t="n">
        <f aca="false">H78-H102</f>
        <v>-26515.9826716705</v>
      </c>
      <c r="I103" s="40" t="n">
        <f aca="false">I78-I102</f>
        <v>50898.5691061844</v>
      </c>
      <c r="J103" s="40" t="n">
        <f aca="false">J78-J102</f>
        <v>55142.4528843706</v>
      </c>
      <c r="K103" s="40" t="n">
        <f aca="false">K78-K102</f>
        <v>23575.684702147</v>
      </c>
      <c r="L103" s="40" t="n">
        <f aca="false">L78-L102</f>
        <v>70883.8597194847</v>
      </c>
      <c r="M103" s="40" t="n">
        <f aca="false">M78-M102</f>
        <v>101334.37224986</v>
      </c>
      <c r="N103" s="40" t="n">
        <f aca="false">N78-N102</f>
        <v>27883.532515355</v>
      </c>
      <c r="O103" s="11" t="n">
        <f aca="false">SUM(C103:N103)</f>
        <v>-533561.333645094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-1.15218908649234</v>
      </c>
      <c r="E104" s="8" t="n">
        <f aca="false">IFERROR(E103/E66,0)</f>
        <v>-1.18288902022533</v>
      </c>
      <c r="F104" s="8" t="n">
        <f aca="false">IFERROR(F103/F66,0)</f>
        <v>-0.25286660143095</v>
      </c>
      <c r="G104" s="8" t="n">
        <f aca="false">IFERROR(G103/G66,0)</f>
        <v>-0.166113359090887</v>
      </c>
      <c r="H104" s="8" t="n">
        <f aca="false">IFERROR(H103/H66,0)</f>
        <v>-0.0578553200182958</v>
      </c>
      <c r="I104" s="8" t="n">
        <f aca="false">IFERROR(I103/I66,0)</f>
        <v>0.0899397703053698</v>
      </c>
      <c r="J104" s="8" t="n">
        <f aca="false">IFERROR(J103/J66,0)</f>
        <v>0.0972986459637179</v>
      </c>
      <c r="K104" s="8" t="n">
        <f aca="false">IFERROR(K103/K66,0)</f>
        <v>0.0446736611267077</v>
      </c>
      <c r="L104" s="8" t="n">
        <f aca="false">IFERROR(L103/L66,0)</f>
        <v>0.0922787755361442</v>
      </c>
      <c r="M104" s="8" t="n">
        <f aca="false">IFERROR(M103/M66,0)</f>
        <v>0.12249585506396</v>
      </c>
      <c r="N104" s="8" t="n">
        <f aca="false">IFERROR(N103/N66,0)</f>
        <v>0.0380612993785516</v>
      </c>
      <c r="O104" s="8" t="n">
        <f aca="false">IFERROR(O103/O66,0)</f>
        <v>-0.0931241207189424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-258260.942947108</v>
      </c>
      <c r="E105" s="10" t="n">
        <f aca="false">E103-INDEX(Assumptions!$C$204:$E$204,$B$3)</f>
        <v>-374016.72215918</v>
      </c>
      <c r="F105" s="10" t="n">
        <f aca="false">F103-INDEX(Assumptions!$C$204:$E$204,$B$3)</f>
        <v>-162891.655369691</v>
      </c>
      <c r="G105" s="10" t="n">
        <f aca="false">G103-INDEX(Assumptions!$C$204:$E$204,$B$3)</f>
        <v>-142162.654725758</v>
      </c>
      <c r="H105" s="10" t="n">
        <f aca="false">H103-INDEX(Assumptions!$C$204:$E$204,$B$3)</f>
        <v>-101515.982671671</v>
      </c>
      <c r="I105" s="10" t="n">
        <f aca="false">I103-INDEX(Assumptions!$C$204:$E$204,$B$3)</f>
        <v>-24101.4308938156</v>
      </c>
      <c r="J105" s="10" t="n">
        <f aca="false">J103-INDEX(Assumptions!$C$204:$E$204,$B$3)</f>
        <v>-19857.5471156294</v>
      </c>
      <c r="K105" s="10" t="n">
        <f aca="false">K103-INDEX(Assumptions!$C$204:$E$204,$B$3)</f>
        <v>-51424.315297853</v>
      </c>
      <c r="L105" s="10" t="n">
        <f aca="false">L103-INDEX(Assumptions!$C$204:$E$204,$B$3)</f>
        <v>-4116.14028051531</v>
      </c>
      <c r="M105" s="10" t="n">
        <f aca="false">M103-INDEX(Assumptions!$C$204:$E$204,$B$3)</f>
        <v>26334.3722498601</v>
      </c>
      <c r="N105" s="10" t="n">
        <f aca="false">N103-INDEX(Assumptions!$C$204:$E$204,$B$3)</f>
        <v>-47116.467484645</v>
      </c>
      <c r="O105" s="40" t="n">
        <f aca="false">SUM(C105:N105)</f>
        <v>-1433561.33364509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-9249.11440677969</v>
      </c>
      <c r="E113" s="10" t="n">
        <f aca="false">((E67+IF(INDEX(Assumptions!$C$87:$E$87,$B$3)&gt;=2,D67,0)+IF(INDEX(Assumptions!$C$87:$E$87,$B$3)&gt;=3,C67,0))/INDEX(Assumptions!$C$87:$E$87,$B$3))-E67</f>
        <v>-18448.9055084746</v>
      </c>
      <c r="F113" s="10" t="n">
        <f aca="false">((F67+IF(INDEX(Assumptions!$C$87:$E$87,$B$3)&gt;=2,E67,0)+IF(INDEX(Assumptions!$C$87:$E$87,$B$3)&gt;=3,D67,0))/INDEX(Assumptions!$C$87:$E$87,$B$3))-F67</f>
        <v>-28362.0648305085</v>
      </c>
      <c r="G113" s="10" t="n">
        <f aca="false">((G67+IF(INDEX(Assumptions!$C$87:$E$87,$B$3)&gt;=2,F67,0)+IF(INDEX(Assumptions!$C$87:$E$87,$B$3)&gt;=3,E67,0))/INDEX(Assumptions!$C$87:$E$87,$B$3))-G67</f>
        <v>-25276.0169491526</v>
      </c>
      <c r="H113" s="10" t="n">
        <f aca="false">((H67+IF(INDEX(Assumptions!$C$87:$E$87,$B$3)&gt;=2,G67,0)+IF(INDEX(Assumptions!$C$87:$E$87,$B$3)&gt;=3,F67,0))/INDEX(Assumptions!$C$87:$E$87,$B$3))-H67</f>
        <v>-14544.3559322034</v>
      </c>
      <c r="I113" s="10" t="n">
        <f aca="false">((I67+IF(INDEX(Assumptions!$C$87:$E$87,$B$3)&gt;=2,H67,0)+IF(INDEX(Assumptions!$C$87:$E$87,$B$3)&gt;=3,G67,0))/INDEX(Assumptions!$C$87:$E$87,$B$3))-I67</f>
        <v>-40914.4576271187</v>
      </c>
      <c r="J113" s="10" t="n">
        <f aca="false">((J67+IF(INDEX(Assumptions!$C$87:$E$87,$B$3)&gt;=2,I67,0)+IF(INDEX(Assumptions!$C$87:$E$87,$B$3)&gt;=3,H67,0))/INDEX(Assumptions!$C$87:$E$87,$B$3))-J67</f>
        <v>11938.2059558376</v>
      </c>
      <c r="K113" s="10" t="n">
        <f aca="false">((K67+IF(INDEX(Assumptions!$C$87:$E$87,$B$3)&gt;=2,J67,0)+IF(INDEX(Assumptions!$C$87:$E$87,$B$3)&gt;=3,I67,0))/INDEX(Assumptions!$C$87:$E$87,$B$3))-K67</f>
        <v>19285.0042588008</v>
      </c>
      <c r="L113" s="10" t="n">
        <f aca="false">((L67+IF(INDEX(Assumptions!$C$87:$E$87,$B$3)&gt;=2,K67,0)+IF(INDEX(Assumptions!$C$87:$E$87,$B$3)&gt;=3,J67,0))/INDEX(Assumptions!$C$87:$E$87,$B$3))-L67</f>
        <v>-100373.425120039</v>
      </c>
      <c r="M113" s="10" t="n">
        <f aca="false">((M67+IF(INDEX(Assumptions!$C$87:$E$87,$B$3)&gt;=2,L67,0)+IF(INDEX(Assumptions!$C$87:$E$87,$B$3)&gt;=3,K67,0))/INDEX(Assumptions!$C$87:$E$87,$B$3))-M67</f>
        <v>-19506.2935691756</v>
      </c>
      <c r="N113" s="10" t="n">
        <f aca="false">((N67+IF(INDEX(Assumptions!$C$87:$E$87,$B$3)&gt;=2,M67,0)+IF(INDEX(Assumptions!$C$87:$E$87,$B$3)&gt;=3,L67,0))/INDEX(Assumptions!$C$87:$E$87,$B$3))-N67</f>
        <v>55787.3983050848</v>
      </c>
      <c r="O113" s="40" t="n">
        <f aca="false">SUM(C113:N113)</f>
        <v>-213697.923728814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-192510.057353888</v>
      </c>
      <c r="E114" s="40" t="n">
        <f aca="false">E103+E113-E112</f>
        <v>-417465.627667654</v>
      </c>
      <c r="F114" s="40" t="n">
        <f aca="false">F103+F113-F112</f>
        <v>-116253.720200199</v>
      </c>
      <c r="G114" s="40" t="n">
        <f aca="false">G103+G113-G112</f>
        <v>-92438.6716749102</v>
      </c>
      <c r="H114" s="40" t="n">
        <f aca="false">H103+H113-H112</f>
        <v>-41060.3386038739</v>
      </c>
      <c r="I114" s="40" t="n">
        <f aca="false">I103+I113-I112</f>
        <v>9984.11147906567</v>
      </c>
      <c r="J114" s="40" t="n">
        <f aca="false">J103+J113-J112</f>
        <v>67080.6588402082</v>
      </c>
      <c r="K114" s="40" t="n">
        <f aca="false">K103+K113-K112</f>
        <v>-1429139.31103905</v>
      </c>
      <c r="L114" s="40" t="n">
        <f aca="false">L103+L113-L112</f>
        <v>-29489.5654005544</v>
      </c>
      <c r="M114" s="40" t="n">
        <f aca="false">M103+M113-M112</f>
        <v>81828.0786806844</v>
      </c>
      <c r="N114" s="40" t="n">
        <f aca="false">N103+N113-N112</f>
        <v>83670.9308204398</v>
      </c>
      <c r="O114" s="11" t="n">
        <f aca="false">SUM(C114:N114)</f>
        <v>-2469259.25737391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-585975.802608062</v>
      </c>
      <c r="E115" s="40" t="n">
        <f aca="false">D115+E114</f>
        <v>-1003441.43027572</v>
      </c>
      <c r="F115" s="40" t="n">
        <f aca="false">E115+F114</f>
        <v>-1119695.15047591</v>
      </c>
      <c r="G115" s="40" t="n">
        <f aca="false">F115+G114</f>
        <v>-1212133.82215082</v>
      </c>
      <c r="H115" s="40" t="n">
        <f aca="false">G115+H114</f>
        <v>-1253194.1607547</v>
      </c>
      <c r="I115" s="40" t="n">
        <f aca="false">H115+I114</f>
        <v>-1243210.04927563</v>
      </c>
      <c r="J115" s="40" t="n">
        <f aca="false">I115+J114</f>
        <v>-1176129.39043543</v>
      </c>
      <c r="K115" s="40" t="n">
        <f aca="false">J115+K114</f>
        <v>-2605268.70147448</v>
      </c>
      <c r="L115" s="40" t="n">
        <f aca="false">K115+L114</f>
        <v>-2634758.26687503</v>
      </c>
      <c r="M115" s="40" t="n">
        <f aca="false">L115+M114</f>
        <v>-2552930.18819435</v>
      </c>
      <c r="N115" s="40" t="n">
        <f aca="false">M115+N114</f>
        <v>-2469259.25737391</v>
      </c>
      <c r="O115" s="11" t="n">
        <f aca="false">N115</f>
        <v>-2469259.25737391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585975.802608062</v>
      </c>
      <c r="E116" s="40" t="n">
        <f aca="false">-MIN(0,MIN($C$115:E115))</f>
        <v>1003441.43027572</v>
      </c>
      <c r="F116" s="40" t="n">
        <f aca="false">-MIN(0,MIN($C$115:F115))</f>
        <v>1119695.15047591</v>
      </c>
      <c r="G116" s="40" t="n">
        <f aca="false">-MIN(0,MIN($C$115:G115))</f>
        <v>1212133.82215082</v>
      </c>
      <c r="H116" s="40" t="n">
        <f aca="false">-MIN(0,MIN($C$115:H115))</f>
        <v>1253194.1607547</v>
      </c>
      <c r="I116" s="40" t="n">
        <f aca="false">-MIN(0,MIN($C$115:I115))</f>
        <v>1253194.1607547</v>
      </c>
      <c r="J116" s="40" t="n">
        <f aca="false">-MIN(0,MIN($C$115:J115))</f>
        <v>1253194.1607547</v>
      </c>
      <c r="K116" s="40" t="n">
        <f aca="false">-MIN(0,MIN($C$115:K115))</f>
        <v>2605268.70147448</v>
      </c>
      <c r="L116" s="40" t="n">
        <f aca="false">-MIN(0,MIN($C$115:L115))</f>
        <v>2634758.26687503</v>
      </c>
      <c r="M116" s="40" t="n">
        <f aca="false">-MIN(0,MIN($C$115:M115))</f>
        <v>2634758.26687503</v>
      </c>
      <c r="N116" s="40" t="n">
        <f aca="false">-MIN(0,MIN($C$115:N115))</f>
        <v>2634758.26687503</v>
      </c>
      <c r="O116" s="11" t="n">
        <f aca="false">MAX(C116:N116)</f>
        <v>2634758.26687503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3.053277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4.970343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5.419956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6.783444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7.28655930169375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6.15825950985119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6.61735579135396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3.053277</v>
      </c>
      <c r="D129" s="8" t="n">
        <f aca="false">C129/INDEX(Assumptions!$C$179:$E$179,$B$3)</f>
        <v>0.25443975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4.970343</v>
      </c>
      <c r="D130" s="8" t="n">
        <f aca="false">C130/INDEX(Assumptions!$C$179:$E$179,$B$3)</f>
        <v>0.41419525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5.419956</v>
      </c>
      <c r="D131" s="8" t="n">
        <f aca="false">C131/INDEX(Assumptions!$C$179:$E$179,$B$3)</f>
        <v>0.451663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0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6.783444</v>
      </c>
      <c r="D132" s="8" t="n">
        <f aca="false">C132/INDEX(Assumptions!$C$179:$E$179,$B$3)</f>
        <v>0.565287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0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7.28655930169375</v>
      </c>
      <c r="D133" s="8" t="n">
        <f aca="false">C133/INDEX(Assumptions!$C$179:$E$179,$B$3)</f>
        <v>0.607213275141146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6.15825950985119</v>
      </c>
      <c r="D134" s="8" t="n">
        <f aca="false">C134/INDEX(Assumptions!$C$179:$E$179,$B$3)</f>
        <v>0.513188292487599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6.61735579135396</v>
      </c>
      <c r="D135" s="8" t="n">
        <f aca="false">C135/INDEX(Assumptions!$C$179:$E$179,$B$3)</f>
        <v>0.551446315946163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3.053277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4.970343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7.406604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9.74445394422311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8.49716086732184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8.88041629135396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3.053277</v>
      </c>
      <c r="D143" s="8" t="n">
        <f aca="false">C143/INDEX(Assumptions!$C$179:$E$179,$B$3)</f>
        <v>0.25443975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4.970343</v>
      </c>
      <c r="D144" s="8" t="n">
        <f aca="false">C144/INDEX(Assumptions!$C$179:$E$179,$B$3)</f>
        <v>0.41419525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7.406604</v>
      </c>
      <c r="D145" s="8" t="n">
        <f aca="false">C145/INDEX(Assumptions!$C$179:$E$179,$B$3)</f>
        <v>0.617217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9.74445394422311</v>
      </c>
      <c r="D146" s="8" t="n">
        <f aca="false">C146/INDEX(Assumptions!$C$179:$E$179,$B$3)</f>
        <v>0.812037828685259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8.49716086732184</v>
      </c>
      <c r="D147" s="8" t="n">
        <f aca="false">C147/INDEX(Assumptions!$C$179:$E$179,$B$3)</f>
        <v>0.708096738943486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IF(AND(H147=1,H146=1),1,0)</f>
        <v>0</v>
      </c>
      <c r="H147" s="10" t="n">
        <f aca="false">IF(C147&gt;=INDEX(Assumptions!$C$180:$E$180,$B$3)*INDEX($C$25:$N$25,MIN(12,F147)),1,0)</f>
        <v>0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8.88041629135396</v>
      </c>
      <c r="D148" s="8" t="n">
        <f aca="false">C148/INDEX(Assumptions!$C$179:$E$179,$B$3)</f>
        <v>0.740034690946163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IF(AND(H148=1,H147=1),1,0)</f>
        <v>0</v>
      </c>
      <c r="H148" s="10" t="n">
        <f aca="false">IF(C148&gt;=INDEX(Assumptions!$C$180:$E$180,$B$3)*INDEX($C$25:$N$25,MIN(12,F148)),1,0)</f>
        <v>0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5729571.77502307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-533561.333645094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-0.0931241207189424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-1433561.33364509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2634758.26687503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365241.733124968</v>
      </c>
    </row>
    <row r="160" customFormat="false" ht="15" hidden="false" customHeight="false" outlineLevel="0" collapsed="false">
      <c r="A160" s="3" t="s">
        <v>51</v>
      </c>
      <c r="B160" s="7" t="n">
        <f aca="false">O38</f>
        <v>74.1559766529934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8.44812110883223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0.767120403291921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238347.401307728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7.83697764173417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94.0437317008101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10580.9721934337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0.187283207823776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0.560445575261179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20.3333749068809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200101.7644847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-2469259.25737391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1253194.1607547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2660989.5859918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66700.5881615666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0.25443975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0.41419525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0.47963326908213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6.61735579135396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2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2</v>
      </c>
    </row>
    <row r="203" customFormat="false" ht="15" hidden="false" customHeight="false" outlineLevel="0" collapsed="false">
      <c r="A203" s="3" t="s">
        <v>94</v>
      </c>
      <c r="B203" s="12" t="str">
        <f aca="false">IFERROR(INDEX(F143:F148,MATCH(1,E143:E148,0)),"not in Y1")</f>
        <v>not in Y1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0.712450522542915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30.4319862214387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7.275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1883900.7644847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1597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0.5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1.7</v>
      </c>
      <c r="F46" s="6" t="n">
        <f aca="false">IF(4&gt;=3,INDEX(Assumptions!$C$234:$E$234,F$9)*INDEX(Assumptions!$C$235:$E$235,$B$3)*MIN(1,(4-2)/6),0)*$F$3*F22*$W$3</f>
        <v>3.4</v>
      </c>
      <c r="G46" s="6" t="n">
        <f aca="false">IF(5&gt;=3,INDEX(Assumptions!$C$234:$E$234,G$9)*INDEX(Assumptions!$C$235:$E$235,$B$3)*MIN(1,(5-2)/6),0)*$F$3*G22*$W$3</f>
        <v>5.1</v>
      </c>
      <c r="H46" s="6" t="n">
        <f aca="false">IF(6&gt;=3,INDEX(Assumptions!$C$234:$E$234,H$9)*INDEX(Assumptions!$C$235:$E$235,$B$3)*MIN(1,(6-2)/6),0)*$F$3*H22*$W$3</f>
        <v>6.8</v>
      </c>
      <c r="I46" s="6" t="n">
        <f aca="false">IF(7&gt;=3,INDEX(Assumptions!$C$234:$E$234,I$9)*INDEX(Assumptions!$C$235:$E$235,$B$3)*MIN(1,(7-2)/6),0)*$F$3*I22*$W$3</f>
        <v>8.5</v>
      </c>
      <c r="J46" s="6" t="n">
        <f aca="false">IF(8&gt;=3,INDEX(Assumptions!$C$234:$E$234,J$9)*INDEX(Assumptions!$C$235:$E$235,$B$3)*MIN(1,(8-2)/6),0)*$F$3*J22*$W$3</f>
        <v>10.2</v>
      </c>
      <c r="K46" s="6" t="n">
        <f aca="false">IF(9&gt;=3,INDEX(Assumptions!$C$234:$E$234,K$9)*INDEX(Assumptions!$C$235:$E$235,$B$3)*MIN(1,(9-2)/6),0)*$F$3*K22*$W$3</f>
        <v>10.2</v>
      </c>
      <c r="L46" s="6" t="n">
        <f aca="false">IF(10&gt;=3,INDEX(Assumptions!$C$234:$E$234,L$9)*INDEX(Assumptions!$C$235:$E$235,$B$3)*MIN(1,(10-2)/6),0)*$F$3*L22*$W$3</f>
        <v>10.2</v>
      </c>
      <c r="M46" s="6" t="n">
        <f aca="false">IF(11&gt;=3,INDEX(Assumptions!$C$234:$E$234,M$9)*INDEX(Assumptions!$C$235:$E$235,$B$3)*MIN(1,(11-2)/6),0)*$F$3*M22*$W$3</f>
        <v>10.2</v>
      </c>
      <c r="N46" s="6" t="n">
        <f aca="false">IF(12&gt;=3,INDEX(Assumptions!$C$234:$E$234,N$9)*INDEX(Assumptions!$C$235:$E$235,$B$3)*MIN(1,(12-2)/6),0)*$F$3*N22*$W$3</f>
        <v>10.2</v>
      </c>
      <c r="O46" s="41" t="n">
        <f aca="false">SUM(C46:N46)</f>
        <v>76.5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0.119</v>
      </c>
      <c r="F51" s="16" t="n">
        <f aca="false">F46*0.7*INDEX(Assumptions!$C$73:$E$73,$B$3)</f>
        <v>0.238</v>
      </c>
      <c r="G51" s="16" t="n">
        <f aca="false">G46*0.7*INDEX(Assumptions!$C$73:$E$73,$B$3)</f>
        <v>0.357</v>
      </c>
      <c r="H51" s="16" t="n">
        <f aca="false">H46*0.7*INDEX(Assumptions!$C$73:$E$73,$B$3)</f>
        <v>0.476</v>
      </c>
      <c r="I51" s="16" t="n">
        <f aca="false">I46*0.7*INDEX(Assumptions!$C$73:$E$73,$B$3)</f>
        <v>0.595</v>
      </c>
      <c r="J51" s="16" t="n">
        <f aca="false">J46*0.7*INDEX(Assumptions!$C$73:$E$73,$B$3)</f>
        <v>0.714</v>
      </c>
      <c r="K51" s="16" t="n">
        <f aca="false">K46*0.7*INDEX(Assumptions!$C$73:$E$73,$B$3)</f>
        <v>0.714</v>
      </c>
      <c r="L51" s="16" t="n">
        <f aca="false">L46*0.7*INDEX(Assumptions!$C$73:$E$73,$B$3)</f>
        <v>0.714</v>
      </c>
      <c r="M51" s="16" t="n">
        <f aca="false">M46*0.7*INDEX(Assumptions!$C$73:$E$73,$B$3)</f>
        <v>0.714</v>
      </c>
      <c r="N51" s="16" t="n">
        <f aca="false">N46*0.7*INDEX(Assumptions!$C$73:$E$73,$B$3)</f>
        <v>0.714</v>
      </c>
      <c r="O51" s="38" t="n">
        <f aca="false">SUM(C51:N51)</f>
        <v>5.355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14406.7796610169</v>
      </c>
      <c r="F61" s="10" t="n">
        <f aca="false">F46*INDEX(Assumptions!$C$21:$E$21,$B$3)*$H$3/(1+INDEX(Assumptions!$C$15:$E$15,$B$3)*$H$4)</f>
        <v>28813.5593220339</v>
      </c>
      <c r="G61" s="10" t="n">
        <f aca="false">G46*INDEX(Assumptions!$C$21:$E$21,$B$3)*$H$3/(1+INDEX(Assumptions!$C$15:$E$15,$B$3)*$H$4)</f>
        <v>43220.3389830509</v>
      </c>
      <c r="H61" s="10" t="n">
        <f aca="false">H46*INDEX(Assumptions!$C$21:$E$21,$B$3)*$H$3/(1+INDEX(Assumptions!$C$15:$E$15,$B$3)*$H$4)</f>
        <v>57627.1186440678</v>
      </c>
      <c r="I61" s="10" t="n">
        <f aca="false">I46*INDEX(Assumptions!$C$21:$E$21,$B$3)*$H$3/(1+INDEX(Assumptions!$C$15:$E$15,$B$3)*$H$4)</f>
        <v>72033.8983050848</v>
      </c>
      <c r="J61" s="10" t="n">
        <f aca="false">J46*INDEX(Assumptions!$C$21:$E$21,$B$3)*$H$3/(1+INDEX(Assumptions!$C$15:$E$15,$B$3)*$H$4)</f>
        <v>86440.6779661017</v>
      </c>
      <c r="K61" s="10" t="n">
        <f aca="false">K46*INDEX(Assumptions!$C$21:$E$21,$B$3)*$H$3/(1+INDEX(Assumptions!$C$15:$E$15,$B$3)*$H$4)</f>
        <v>86440.6779661017</v>
      </c>
      <c r="L61" s="10" t="n">
        <f aca="false">L46*INDEX(Assumptions!$C$21:$E$21,$B$3)*$H$3/(1+INDEX(Assumptions!$C$15:$E$15,$B$3)*$H$4)</f>
        <v>86440.6779661017</v>
      </c>
      <c r="M61" s="10" t="n">
        <f aca="false">M46*INDEX(Assumptions!$C$21:$E$21,$B$3)*$H$3/(1+INDEX(Assumptions!$C$15:$E$15,$B$3)*$H$4)</f>
        <v>86440.6779661017</v>
      </c>
      <c r="N61" s="10" t="n">
        <f aca="false">N46*INDEX(Assumptions!$C$21:$E$21,$B$3)*$H$3/(1+INDEX(Assumptions!$C$15:$E$15,$B$3)*$H$4)</f>
        <v>86440.6779661017</v>
      </c>
      <c r="O61" s="40" t="n">
        <f aca="false">SUM(C61:N61)</f>
        <v>648305.084745763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1008.37372881356</v>
      </c>
      <c r="F64" s="10" t="n">
        <f aca="false">F51*INDEX(Assumptions!$C$23:$E$23,$B$3)/(1+INDEX(Assumptions!$C$15:$E$15,$B$3)*$H$4)</f>
        <v>2016.74745762712</v>
      </c>
      <c r="G64" s="10" t="n">
        <f aca="false">G51*INDEX(Assumptions!$C$23:$E$23,$B$3)/(1+INDEX(Assumptions!$C$15:$E$15,$B$3)*$H$4)</f>
        <v>3025.12118644068</v>
      </c>
      <c r="H64" s="10" t="n">
        <f aca="false">H51*INDEX(Assumptions!$C$23:$E$23,$B$3)/(1+INDEX(Assumptions!$C$15:$E$15,$B$3)*$H$4)</f>
        <v>4033.49491525424</v>
      </c>
      <c r="I64" s="10" t="n">
        <f aca="false">I51*INDEX(Assumptions!$C$23:$E$23,$B$3)/(1+INDEX(Assumptions!$C$15:$E$15,$B$3)*$H$4)</f>
        <v>5041.8686440678</v>
      </c>
      <c r="J64" s="10" t="n">
        <f aca="false">J51*INDEX(Assumptions!$C$23:$E$23,$B$3)/(1+INDEX(Assumptions!$C$15:$E$15,$B$3)*$H$4)</f>
        <v>6050.24237288136</v>
      </c>
      <c r="K64" s="10" t="n">
        <f aca="false">K51*INDEX(Assumptions!$C$23:$E$23,$B$3)/(1+INDEX(Assumptions!$C$15:$E$15,$B$3)*$H$4)</f>
        <v>6050.24237288136</v>
      </c>
      <c r="L64" s="10" t="n">
        <f aca="false">L51*INDEX(Assumptions!$C$23:$E$23,$B$3)/(1+INDEX(Assumptions!$C$15:$E$15,$B$3)*$H$4)</f>
        <v>6050.24237288136</v>
      </c>
      <c r="M64" s="10" t="n">
        <f aca="false">M51*INDEX(Assumptions!$C$23:$E$23,$B$3)/(1+INDEX(Assumptions!$C$15:$E$15,$B$3)*$H$4)</f>
        <v>6050.24237288136</v>
      </c>
      <c r="N64" s="10" t="n">
        <f aca="false">N51*INDEX(Assumptions!$C$23:$E$23,$B$3)/(1+INDEX(Assumptions!$C$15:$E$15,$B$3)*$H$4)</f>
        <v>6050.24237288136</v>
      </c>
      <c r="O64" s="40" t="n">
        <f aca="false">SUM(C64:N64)</f>
        <v>45376.8177966102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253286.935815022</v>
      </c>
      <c r="F66" s="40" t="n">
        <f aca="false">SUM(F56:F65)</f>
        <v>344312.290752695</v>
      </c>
      <c r="G66" s="40" t="n">
        <f aca="false">SUM(G56:G65)</f>
        <v>399568.270432792</v>
      </c>
      <c r="H66" s="40" t="n">
        <f aca="false">SUM(H56:H65)</f>
        <v>454423.710508157</v>
      </c>
      <c r="I66" s="40" t="n">
        <f aca="false">SUM(I56:I65)</f>
        <v>479414.2516949</v>
      </c>
      <c r="J66" s="40" t="n">
        <f aca="false">SUM(J56:J65)</f>
        <v>452032.505443947</v>
      </c>
      <c r="K66" s="40" t="n">
        <f aca="false">SUM(K56:K65)</f>
        <v>469576.529560363</v>
      </c>
      <c r="L66" s="40" t="n">
        <f aca="false">SUM(L56:L65)</f>
        <v>743970.346814042</v>
      </c>
      <c r="M66" s="40" t="n">
        <f aca="false">SUM(M56:M65)</f>
        <v>765522.692806536</v>
      </c>
      <c r="N66" s="40" t="n">
        <f aca="false">SUM(N56:N65)</f>
        <v>715734.403354535</v>
      </c>
      <c r="O66" s="11" t="n">
        <f aca="false">SUM(C66:N66)</f>
        <v>5361659.34960426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9720.82551594747</v>
      </c>
      <c r="F72" s="10" t="n">
        <f aca="false">(F46*INDEX(Assumptions!$C$94:$E$94,$B$3)+F47*INDEX(Assumptions!$C$95:$E$95,$B$3)+F48*INDEX(Assumptions!$C$96:$E$96,$B$3))*$N$3</f>
        <v>12372.607879925</v>
      </c>
      <c r="G72" s="10" t="n">
        <f aca="false">(G46*INDEX(Assumptions!$C$94:$E$94,$B$3)+G47*INDEX(Assumptions!$C$95:$E$95,$B$3)+G48*INDEX(Assumptions!$C$96:$E$96,$B$3))*$N$3</f>
        <v>11998.5928705441</v>
      </c>
      <c r="H72" s="10" t="n">
        <f aca="false">(H46*INDEX(Assumptions!$C$94:$E$94,$B$3)+H47*INDEX(Assumptions!$C$95:$E$95,$B$3)+H48*INDEX(Assumptions!$C$96:$E$96,$B$3))*$N$3</f>
        <v>13323.7335834897</v>
      </c>
      <c r="I72" s="10" t="n">
        <f aca="false">(I46*INDEX(Assumptions!$C$94:$E$94,$B$3)+I47*INDEX(Assumptions!$C$95:$E$95,$B$3)+I48*INDEX(Assumptions!$C$96:$E$96,$B$3))*$N$3</f>
        <v>15017.0731707317</v>
      </c>
      <c r="J72" s="10" t="n">
        <f aca="false">(J46*INDEX(Assumptions!$C$94:$E$94,$B$3)+J47*INDEX(Assumptions!$C$95:$E$95,$B$3)+J48*INDEX(Assumptions!$C$96:$E$96,$B$3))*$N$3</f>
        <v>16206.191369606</v>
      </c>
      <c r="K72" s="10" t="n">
        <f aca="false">(K46*INDEX(Assumptions!$C$94:$E$94,$B$3)+K47*INDEX(Assumptions!$C$95:$E$95,$B$3)+K48*INDEX(Assumptions!$C$96:$E$96,$B$3))*$N$3</f>
        <v>16027.9549718574</v>
      </c>
      <c r="L72" s="10" t="n">
        <f aca="false">(L46*INDEX(Assumptions!$C$94:$E$94,$B$3)+L47*INDEX(Assumptions!$C$95:$E$95,$B$3)+L48*INDEX(Assumptions!$C$96:$E$96,$B$3))*$N$3</f>
        <v>17270.1688555347</v>
      </c>
      <c r="M72" s="10" t="n">
        <f aca="false">(M46*INDEX(Assumptions!$C$94:$E$94,$B$3)+M47*INDEX(Assumptions!$C$95:$E$95,$B$3)+M48*INDEX(Assumptions!$C$96:$E$96,$B$3))*$N$3</f>
        <v>19262.4765478424</v>
      </c>
      <c r="N72" s="10" t="n">
        <f aca="false">(N46*INDEX(Assumptions!$C$94:$E$94,$B$3)+N47*INDEX(Assumptions!$C$95:$E$95,$B$3)+N48*INDEX(Assumptions!$C$96:$E$96,$B$3))*$N$3</f>
        <v>20945.2157598499</v>
      </c>
      <c r="O72" s="40" t="n">
        <f aca="false">SUM(C72:N72)</f>
        <v>160789.135787992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238</v>
      </c>
      <c r="F74" s="10" t="n">
        <f aca="false">F51*INDEX(Assumptions!$C$97:$E$97,$B$3)</f>
        <v>476</v>
      </c>
      <c r="G74" s="10" t="n">
        <f aca="false">G51*INDEX(Assumptions!$C$97:$E$97,$B$3)</f>
        <v>714</v>
      </c>
      <c r="H74" s="10" t="n">
        <f aca="false">H51*INDEX(Assumptions!$C$97:$E$97,$B$3)</f>
        <v>952</v>
      </c>
      <c r="I74" s="10" t="n">
        <f aca="false">I51*INDEX(Assumptions!$C$97:$E$97,$B$3)</f>
        <v>1190</v>
      </c>
      <c r="J74" s="10" t="n">
        <f aca="false">J51*INDEX(Assumptions!$C$97:$E$97,$B$3)</f>
        <v>1428</v>
      </c>
      <c r="K74" s="10" t="n">
        <f aca="false">K51*INDEX(Assumptions!$C$97:$E$97,$B$3)</f>
        <v>1428</v>
      </c>
      <c r="L74" s="10" t="n">
        <f aca="false">L51*INDEX(Assumptions!$C$97:$E$97,$B$3)</f>
        <v>1428</v>
      </c>
      <c r="M74" s="10" t="n">
        <f aca="false">M51*INDEX(Assumptions!$C$97:$E$97,$B$3)</f>
        <v>1428</v>
      </c>
      <c r="N74" s="10" t="n">
        <f aca="false">N51*INDEX(Assumptions!$C$97:$E$97,$B$3)</f>
        <v>1428</v>
      </c>
      <c r="O74" s="40" t="n">
        <f aca="false">SUM(C74:N74)</f>
        <v>10710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8286.10753898452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11423.5050617636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13666.5611822139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15624.6214679925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16408.0651385687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15229.4213300514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15903.7568459571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26549.9611494538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27047.4512531853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24445.9949053518</v>
      </c>
      <c r="O75" s="40" t="n">
        <f aca="false">SUM(C75:N75)</f>
        <v>184173.268056665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62711.003054932</v>
      </c>
      <c r="F77" s="40" t="n">
        <f aca="false">SUM(F69:F76)</f>
        <v>87792.1129416886</v>
      </c>
      <c r="G77" s="40" t="n">
        <f aca="false">SUM(G69:G76)</f>
        <v>107937.154052758</v>
      </c>
      <c r="H77" s="40" t="n">
        <f aca="false">SUM(H69:H76)</f>
        <v>124171.155051482</v>
      </c>
      <c r="I77" s="40" t="n">
        <f aca="false">SUM(I69:I76)</f>
        <v>130700.648214522</v>
      </c>
      <c r="J77" s="40" t="n">
        <f aca="false">SUM(J69:J76)</f>
        <v>120692.514847587</v>
      </c>
      <c r="K77" s="40" t="n">
        <f aca="false">SUM(K69:K76)</f>
        <v>126217.435128602</v>
      </c>
      <c r="L77" s="40" t="n">
        <f aca="false">SUM(L69:L76)</f>
        <v>145620.007296263</v>
      </c>
      <c r="M77" s="40" t="n">
        <f aca="false">SUM(M69:M76)</f>
        <v>148332.607045065</v>
      </c>
      <c r="N77" s="40" t="n">
        <f aca="false">SUM(N69:N76)</f>
        <v>135173.949146843</v>
      </c>
      <c r="O77" s="11" t="n">
        <f aca="false">SUM(C77:N77)</f>
        <v>1263345.77922555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190575.93276009</v>
      </c>
      <c r="F78" s="40" t="n">
        <f aca="false">F66-F77</f>
        <v>256520.177811006</v>
      </c>
      <c r="G78" s="40" t="n">
        <f aca="false">G66-G77</f>
        <v>291631.116380034</v>
      </c>
      <c r="H78" s="40" t="n">
        <f aca="false">H66-H77</f>
        <v>330252.555456674</v>
      </c>
      <c r="I78" s="40" t="n">
        <f aca="false">I66-I77</f>
        <v>348713.603480377</v>
      </c>
      <c r="J78" s="40" t="n">
        <f aca="false">J66-J77</f>
        <v>331339.99059636</v>
      </c>
      <c r="K78" s="40" t="n">
        <f aca="false">K66-K77</f>
        <v>343359.094431761</v>
      </c>
      <c r="L78" s="40" t="n">
        <f aca="false">L66-L77</f>
        <v>598350.339517779</v>
      </c>
      <c r="M78" s="40" t="n">
        <f aca="false">M66-M77</f>
        <v>617190.085761471</v>
      </c>
      <c r="N78" s="40" t="n">
        <f aca="false">N66-N77</f>
        <v>580560.454207691</v>
      </c>
      <c r="O78" s="11" t="n">
        <f aca="false">SUM(C78:N78)</f>
        <v>4098313.57037871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0.752411221474405</v>
      </c>
      <c r="F79" s="8" t="n">
        <f aca="false">IFERROR(F78/F66,0)</f>
        <v>0.745021844123636</v>
      </c>
      <c r="G79" s="8" t="n">
        <f aca="false">IFERROR(G78/G66,0)</f>
        <v>0.729865552297619</v>
      </c>
      <c r="H79" s="8" t="n">
        <f aca="false">IFERROR(H78/H66,0)</f>
        <v>0.726750272531712</v>
      </c>
      <c r="I79" s="8" t="n">
        <f aca="false">IFERROR(I78/I66,0)</f>
        <v>0.72737429529379</v>
      </c>
      <c r="J79" s="8" t="n">
        <f aca="false">IFERROR(J78/J66,0)</f>
        <v>0.733000363040146</v>
      </c>
      <c r="K79" s="8" t="n">
        <f aca="false">IFERROR(K78/K66,0)</f>
        <v>0.731210085719633</v>
      </c>
      <c r="L79" s="8" t="n">
        <f aca="false">IFERROR(L78/L66,0)</f>
        <v>0.804266382497821</v>
      </c>
      <c r="M79" s="8" t="n">
        <f aca="false">IFERROR(M78/M66,0)</f>
        <v>0.806233559842293</v>
      </c>
      <c r="N79" s="8" t="n">
        <f aca="false">IFERROR(N78/N66,0)</f>
        <v>0.811139511369994</v>
      </c>
      <c r="O79" s="13" t="n">
        <f aca="false">IFERROR(O78/O66,0)</f>
        <v>0.764374105691964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-301257.06723991</v>
      </c>
      <c r="F103" s="40" t="n">
        <f aca="false">F78-F102</f>
        <v>-95312.8221889936</v>
      </c>
      <c r="G103" s="40" t="n">
        <f aca="false">G78-G102</f>
        <v>-78201.8836199662</v>
      </c>
      <c r="H103" s="40" t="n">
        <f aca="false">H78-H102</f>
        <v>-39580.4445433256</v>
      </c>
      <c r="I103" s="40" t="n">
        <f aca="false">I78-I102</f>
        <v>-21119.3965196225</v>
      </c>
      <c r="J103" s="40" t="n">
        <f aca="false">J78-J102</f>
        <v>-38493.0094036405</v>
      </c>
      <c r="K103" s="40" t="n">
        <f aca="false">K78-K102</f>
        <v>-31473.9055682393</v>
      </c>
      <c r="L103" s="40" t="n">
        <f aca="false">L78-L102</f>
        <v>50417.3395177787</v>
      </c>
      <c r="M103" s="40" t="n">
        <f aca="false">M78-M102</f>
        <v>49257.085761471</v>
      </c>
      <c r="N103" s="40" t="n">
        <f aca="false">N78-N102</f>
        <v>12627.4542076911</v>
      </c>
      <c r="O103" s="11" t="n">
        <f aca="false">SUM(C103:N103)</f>
        <v>-871982.429621287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-1.18939046844453</v>
      </c>
      <c r="F104" s="8" t="n">
        <f aca="false">IFERROR(F103/F66,0)</f>
        <v>-0.276820853477614</v>
      </c>
      <c r="G104" s="8" t="n">
        <f aca="false">IFERROR(G103/G66,0)</f>
        <v>-0.195715949955841</v>
      </c>
      <c r="H104" s="8" t="n">
        <f aca="false">IFERROR(H103/H66,0)</f>
        <v>-0.0871003066698808</v>
      </c>
      <c r="I104" s="8" t="n">
        <f aca="false">IFERROR(I103/I66,0)</f>
        <v>-0.0440525004105697</v>
      </c>
      <c r="J104" s="8" t="n">
        <f aca="false">IFERROR(J103/J66,0)</f>
        <v>-0.0851554013042403</v>
      </c>
      <c r="K104" s="8" t="n">
        <f aca="false">IFERROR(K103/K66,0)</f>
        <v>-0.0670261471494466</v>
      </c>
      <c r="L104" s="8" t="n">
        <f aca="false">IFERROR(L103/L66,0)</f>
        <v>0.0677679422757702</v>
      </c>
      <c r="M104" s="8" t="n">
        <f aca="false">IFERROR(M103/M66,0)</f>
        <v>0.0643443835490835</v>
      </c>
      <c r="N104" s="8" t="n">
        <f aca="false">IFERROR(N103/N66,0)</f>
        <v>0.017642653683417</v>
      </c>
      <c r="O104" s="8" t="n">
        <f aca="false">IFERROR(O103/O66,0)</f>
        <v>-0.162632941178116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-376257.06723991</v>
      </c>
      <c r="F105" s="10" t="n">
        <f aca="false">F103-INDEX(Assumptions!$C$204:$E$204,$B$3)</f>
        <v>-170312.822188994</v>
      </c>
      <c r="G105" s="10" t="n">
        <f aca="false">G103-INDEX(Assumptions!$C$204:$E$204,$B$3)</f>
        <v>-153201.883619966</v>
      </c>
      <c r="H105" s="10" t="n">
        <f aca="false">H103-INDEX(Assumptions!$C$204:$E$204,$B$3)</f>
        <v>-114580.444543326</v>
      </c>
      <c r="I105" s="10" t="n">
        <f aca="false">I103-INDEX(Assumptions!$C$204:$E$204,$B$3)</f>
        <v>-96119.3965196225</v>
      </c>
      <c r="J105" s="10" t="n">
        <f aca="false">J103-INDEX(Assumptions!$C$204:$E$204,$B$3)</f>
        <v>-113493.00940364</v>
      </c>
      <c r="K105" s="10" t="n">
        <f aca="false">K103-INDEX(Assumptions!$C$204:$E$204,$B$3)</f>
        <v>-106473.905568239</v>
      </c>
      <c r="L105" s="10" t="n">
        <f aca="false">L103-INDEX(Assumptions!$C$204:$E$204,$B$3)</f>
        <v>-24582.6604822213</v>
      </c>
      <c r="M105" s="10" t="n">
        <f aca="false">M103-INDEX(Assumptions!$C$204:$E$204,$B$3)</f>
        <v>-25742.914238529</v>
      </c>
      <c r="N105" s="10" t="n">
        <f aca="false">N103-INDEX(Assumptions!$C$204:$E$204,$B$3)</f>
        <v>-62372.5457923089</v>
      </c>
      <c r="O105" s="40" t="n">
        <f aca="false">SUM(C105:N105)</f>
        <v>-1771982.42962129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-424774.418722961</v>
      </c>
      <c r="F114" s="40" t="n">
        <f aca="false">F103+F113-F112</f>
        <v>-129408.44316357</v>
      </c>
      <c r="G114" s="40" t="n">
        <f aca="false">G103+G113-G112</f>
        <v>-110338.493789458</v>
      </c>
      <c r="H114" s="40" t="n">
        <f aca="false">H103+H113-H112</f>
        <v>-62137.3428484103</v>
      </c>
      <c r="I114" s="40" t="n">
        <f aca="false">I103+I113-I112</f>
        <v>-28186.8624559522</v>
      </c>
      <c r="J114" s="40" t="n">
        <f aca="false">J103+J113-J112</f>
        <v>-20137.0789380359</v>
      </c>
      <c r="K114" s="40" t="n">
        <f aca="false">K103+K113-K112</f>
        <v>-1512515.53993382</v>
      </c>
      <c r="L114" s="40" t="n">
        <f aca="false">L103+L113-L112</f>
        <v>-66667.4583128005</v>
      </c>
      <c r="M114" s="40" t="n">
        <f aca="false">M103+M113-M112</f>
        <v>48257.6376344621</v>
      </c>
      <c r="N114" s="40" t="n">
        <f aca="false">N103+N113-N112</f>
        <v>46271.5022973534</v>
      </c>
      <c r="O114" s="11" t="n">
        <f aca="false">SUM(C114:N114)</f>
        <v>-2844531.17020688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-1009669.09069664</v>
      </c>
      <c r="F115" s="40" t="n">
        <f aca="false">E115+F114</f>
        <v>-1139077.53386021</v>
      </c>
      <c r="G115" s="40" t="n">
        <f aca="false">F115+G114</f>
        <v>-1249416.02764967</v>
      </c>
      <c r="H115" s="40" t="n">
        <f aca="false">G115+H114</f>
        <v>-1311553.37049808</v>
      </c>
      <c r="I115" s="40" t="n">
        <f aca="false">H115+I114</f>
        <v>-1339740.23295403</v>
      </c>
      <c r="J115" s="40" t="n">
        <f aca="false">I115+J114</f>
        <v>-1359877.31189207</v>
      </c>
      <c r="K115" s="40" t="n">
        <f aca="false">J115+K114</f>
        <v>-2872392.85182589</v>
      </c>
      <c r="L115" s="40" t="n">
        <f aca="false">K115+L114</f>
        <v>-2939060.31013869</v>
      </c>
      <c r="M115" s="40" t="n">
        <f aca="false">L115+M114</f>
        <v>-2890802.67250423</v>
      </c>
      <c r="N115" s="40" t="n">
        <f aca="false">M115+N114</f>
        <v>-2844531.17020688</v>
      </c>
      <c r="O115" s="11" t="n">
        <f aca="false">N115</f>
        <v>-2844531.17020688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1009669.09069664</v>
      </c>
      <c r="F116" s="40" t="n">
        <f aca="false">-MIN(0,MIN($C$115:F115))</f>
        <v>1139077.53386021</v>
      </c>
      <c r="G116" s="40" t="n">
        <f aca="false">-MIN(0,MIN($C$115:G115))</f>
        <v>1249416.02764967</v>
      </c>
      <c r="H116" s="40" t="n">
        <f aca="false">-MIN(0,MIN($C$115:H115))</f>
        <v>1311553.37049808</v>
      </c>
      <c r="I116" s="40" t="n">
        <f aca="false">-MIN(0,MIN($C$115:I115))</f>
        <v>1339740.23295403</v>
      </c>
      <c r="J116" s="40" t="n">
        <f aca="false">-MIN(0,MIN($C$115:J115))</f>
        <v>1359877.31189207</v>
      </c>
      <c r="K116" s="40" t="n">
        <f aca="false">-MIN(0,MIN($C$115:K115))</f>
        <v>2872392.85182589</v>
      </c>
      <c r="L116" s="40" t="n">
        <f aca="false">-MIN(0,MIN($C$115:L115))</f>
        <v>2939060.31013869</v>
      </c>
      <c r="M116" s="40" t="n">
        <f aca="false">-MIN(0,MIN($C$115:M115))</f>
        <v>2939060.31013869</v>
      </c>
      <c r="N116" s="40" t="n">
        <f aca="false">-MIN(0,MIN($C$115:N115))</f>
        <v>2939060.31013869</v>
      </c>
      <c r="O116" s="11" t="n">
        <f aca="false">MAX(C116:N116)</f>
        <v>2939060.31013869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5361659.34960426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-871982.429621287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-0.162632941178116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-1771982.42962129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2939060.31013869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60939.6898613083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76.5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161198.275059979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9.69888905496069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116.386668659528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112301.879486941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10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-2844531.17020688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1359877.31189207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37433.9598289803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1796100.87948694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1598</v>
      </c>
    </row>
    <row r="2" customFormat="false" ht="15" hidden="false" customHeight="false" outlineLevel="0" collapsed="false">
      <c r="A2" s="2" t="s">
        <v>1384</v>
      </c>
    </row>
    <row r="3" customFormat="false" ht="15" hidden="false" customHeight="false" outlineLevel="0" collapsed="false">
      <c r="A3" s="0" t="s">
        <v>1385</v>
      </c>
      <c r="B3" s="37" t="n">
        <v>2</v>
      </c>
      <c r="C3" s="13" t="s">
        <v>1386</v>
      </c>
      <c r="D3" s="37" t="n">
        <v>2</v>
      </c>
      <c r="E3" s="2" t="s">
        <v>1387</v>
      </c>
      <c r="F3" s="30" t="n">
        <v>1</v>
      </c>
      <c r="G3" s="2" t="s">
        <v>1388</v>
      </c>
      <c r="H3" s="30" t="n">
        <v>1</v>
      </c>
      <c r="I3" s="2" t="s">
        <v>1389</v>
      </c>
      <c r="J3" s="30" t="n">
        <v>1</v>
      </c>
      <c r="K3" s="2" t="s">
        <v>1390</v>
      </c>
      <c r="L3" s="30" t="n">
        <v>1</v>
      </c>
      <c r="M3" s="2" t="s">
        <v>1391</v>
      </c>
      <c r="N3" s="30" t="n">
        <v>1</v>
      </c>
      <c r="P3" s="2" t="s">
        <v>1392</v>
      </c>
      <c r="Q3" s="37" t="n">
        <v>1</v>
      </c>
      <c r="R3" s="2" t="s">
        <v>1393</v>
      </c>
      <c r="S3" s="37" t="n">
        <v>2</v>
      </c>
      <c r="T3" s="2" t="s">
        <v>1394</v>
      </c>
      <c r="U3" s="37" t="n">
        <v>0</v>
      </c>
      <c r="V3" s="2" t="s">
        <v>1395</v>
      </c>
      <c r="W3" s="30" t="n">
        <v>1</v>
      </c>
      <c r="X3" s="2" t="s">
        <v>1396</v>
      </c>
      <c r="Y3" s="37" t="n">
        <v>0</v>
      </c>
    </row>
    <row r="4" customFormat="false" ht="15" hidden="false" customHeight="false" outlineLevel="0" collapsed="false">
      <c r="E4" s="2" t="s">
        <v>1397</v>
      </c>
      <c r="F4" s="30" t="n">
        <v>1</v>
      </c>
      <c r="G4" s="2" t="s">
        <v>1398</v>
      </c>
      <c r="H4" s="30" t="n">
        <f aca="false">INDEX(Assumptions!$C$16:$E$16,$B$3)</f>
        <v>1</v>
      </c>
      <c r="I4" s="2" t="s">
        <v>1399</v>
      </c>
      <c r="J4" s="30" t="n">
        <v>1</v>
      </c>
      <c r="K4" s="2" t="s">
        <v>1400</v>
      </c>
      <c r="L4" s="30" t="n">
        <v>0</v>
      </c>
      <c r="M4" s="2" t="s">
        <v>1401</v>
      </c>
      <c r="N4" s="30" t="n">
        <v>1</v>
      </c>
      <c r="P4" s="2" t="s">
        <v>1402</v>
      </c>
      <c r="Q4" s="37" t="n">
        <v>9</v>
      </c>
      <c r="R4" s="2" t="s">
        <v>1403</v>
      </c>
      <c r="S4" s="37" t="n">
        <v>2</v>
      </c>
      <c r="T4" s="2" t="s">
        <v>1404</v>
      </c>
      <c r="U4" s="37" t="n">
        <v>99</v>
      </c>
      <c r="V4" s="2" t="s">
        <v>1405</v>
      </c>
      <c r="W4" s="30" t="n">
        <v>1.25</v>
      </c>
    </row>
    <row r="5" customFormat="false" ht="15" hidden="false" customHeight="false" outlineLevel="0" collapsed="false">
      <c r="A5" s="5" t="s">
        <v>139</v>
      </c>
      <c r="B5" s="5" t="s">
        <v>1244</v>
      </c>
      <c r="C5" s="5" t="s">
        <v>1406</v>
      </c>
      <c r="D5" s="5" t="s">
        <v>1407</v>
      </c>
      <c r="E5" s="5" t="s">
        <v>1408</v>
      </c>
      <c r="F5" s="5" t="s">
        <v>1409</v>
      </c>
      <c r="G5" s="5" t="s">
        <v>1410</v>
      </c>
      <c r="H5" s="5" t="s">
        <v>1411</v>
      </c>
      <c r="I5" s="5" t="s">
        <v>1412</v>
      </c>
      <c r="J5" s="5" t="s">
        <v>1413</v>
      </c>
      <c r="K5" s="5" t="s">
        <v>1414</v>
      </c>
      <c r="L5" s="5" t="s">
        <v>1415</v>
      </c>
      <c r="M5" s="5" t="s">
        <v>1416</v>
      </c>
      <c r="N5" s="5" t="s">
        <v>1417</v>
      </c>
      <c r="O5" s="5" t="s">
        <v>1418</v>
      </c>
      <c r="P5" s="5" t="s">
        <v>1419</v>
      </c>
    </row>
    <row r="6" customFormat="false" ht="15" hidden="false" customHeight="false" outlineLevel="0" collapsed="false">
      <c r="A6" s="18" t="s">
        <v>1420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1276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1421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1422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1423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1424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1425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1426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1427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1428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1429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1430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1431</v>
      </c>
      <c r="C18" s="10" t="n">
        <f aca="false">IF(AND($Q$3=1,1&lt;=$Q$4),MIN(INDEX(Assumptions!$C$121:$E$132,1,C$9),INDEX(Assumptions!$C$167:$E$167,C$9)),INDEX(Assumptions!$C$121:$E$132,IF($Q$3=1,MIN(12,1-$Q$4+6),1),C$9))*$J$4*IF(AND($Y$3=1,1&gt;=$U$4),0,1)</f>
        <v>15000</v>
      </c>
      <c r="D18" s="10" t="n">
        <f aca="false">IF(AND($Q$3=1,2&lt;=$Q$4),MIN(INDEX(Assumptions!$C$121:$E$132,2,D$9),INDEX(Assumptions!$C$167:$E$167,D$9)),INDEX(Assumptions!$C$121:$E$132,IF($Q$3=1,MIN(12,2-$Q$4+6),2),D$9))*$J$4*IF(AND($Y$3=1,2&gt;=$U$4),0,1)</f>
        <v>15000</v>
      </c>
      <c r="E18" s="10" t="n">
        <f aca="false">IF(AND($Q$3=1,3&lt;=$Q$4),MIN(INDEX(Assumptions!$C$121:$E$132,3,E$9),INDEX(Assumptions!$C$167:$E$167,E$9)),INDEX(Assumptions!$C$121:$E$132,IF($Q$3=1,MIN(12,3-$Q$4+6),3),E$9))*$J$4*IF(AND($Y$3=1,3&gt;=$U$4),0,1)</f>
        <v>40000</v>
      </c>
      <c r="F18" s="10" t="n">
        <f aca="false">IF(AND($Q$3=1,4&lt;=$Q$4),MIN(INDEX(Assumptions!$C$121:$E$132,4,F$9),INDEX(Assumptions!$C$167:$E$167,F$9)),INDEX(Assumptions!$C$121:$E$132,IF($Q$3=1,MIN(12,4-$Q$4+6),4),F$9))*$J$4*IF(AND($Y$3=1,4&gt;=$U$4),0,1)</f>
        <v>50000</v>
      </c>
      <c r="G18" s="10" t="n">
        <f aca="false">IF(AND($Q$3=1,5&lt;=$Q$4),MIN(INDEX(Assumptions!$C$121:$E$132,5,G$9),INDEX(Assumptions!$C$167:$E$167,G$9)),INDEX(Assumptions!$C$121:$E$132,IF($Q$3=1,MIN(12,5-$Q$4+6),5),G$9))*$J$4*IF(AND($Y$3=1,5&gt;=$U$4),0,1)</f>
        <v>60000</v>
      </c>
      <c r="H18" s="10" t="n">
        <f aca="false">IF(AND($Q$3=1,6&lt;=$Q$4),MIN(INDEX(Assumptions!$C$121:$E$132,6,H$9),INDEX(Assumptions!$C$167:$E$167,H$9)),INDEX(Assumptions!$C$121:$E$132,IF($Q$3=1,MIN(12,6-$Q$4+6),6),H$9))*$J$4*IF(AND($Y$3=1,6&gt;=$U$4),0,1)</f>
        <v>60000</v>
      </c>
      <c r="I18" s="10" t="n">
        <f aca="false">IF(AND($Q$3=1,7&lt;=$Q$4),MIN(INDEX(Assumptions!$C$121:$E$132,7,I$9),INDEX(Assumptions!$C$167:$E$167,I$9)),INDEX(Assumptions!$C$121:$E$132,IF($Q$3=1,MIN(12,7-$Q$4+6),7),I$9))*$J$4*IF(AND($Y$3=1,7&gt;=$U$4),0,1)</f>
        <v>60000</v>
      </c>
      <c r="J18" s="10" t="n">
        <f aca="false">IF(AND($Q$3=1,8&lt;=$Q$4),MIN(INDEX(Assumptions!$C$121:$E$132,8,J$9),INDEX(Assumptions!$C$167:$E$167,J$9)),INDEX(Assumptions!$C$121:$E$132,IF($Q$3=1,MIN(12,8-$Q$4+6),8),J$9))*$J$4*IF(AND($Y$3=1,8&gt;=$U$4),0,1)</f>
        <v>60000</v>
      </c>
      <c r="K18" s="10" t="n">
        <f aca="false">IF(AND($Q$3=1,9&lt;=$Q$4),MIN(INDEX(Assumptions!$C$121:$E$132,9,K$9),INDEX(Assumptions!$C$167:$E$167,K$9)),INDEX(Assumptions!$C$121:$E$132,IF($Q$3=1,MIN(12,9-$Q$4+6),9),K$9))*$J$4*IF(AND($Y$3=1,9&gt;=$U$4),0,1)</f>
        <v>60000</v>
      </c>
      <c r="L18" s="10" t="n">
        <f aca="false">IF(AND($Q$3=1,10&lt;=$Q$4),MIN(INDEX(Assumptions!$C$121:$E$132,10,L$9),INDEX(Assumptions!$C$167:$E$167,L$9)),INDEX(Assumptions!$C$121:$E$132,IF($Q$3=1,MIN(12,10-$Q$4+6),10),L$9))*$J$4*IF(AND($Y$3=1,10&gt;=$U$4),0,1)</f>
        <v>80000</v>
      </c>
      <c r="M18" s="10" t="n">
        <f aca="false">IF(AND($Q$3=1,11&lt;=$Q$4),MIN(INDEX(Assumptions!$C$121:$E$132,11,M$9),INDEX(Assumptions!$C$167:$E$167,M$9)),INDEX(Assumptions!$C$121:$E$132,IF($Q$3=1,MIN(12,11-$Q$4+6),11),M$9))*$J$4*IF(AND($Y$3=1,11&gt;=$U$4),0,1)</f>
        <v>100000</v>
      </c>
      <c r="N18" s="10" t="n">
        <f aca="false">IF(AND($Q$3=1,12&lt;=$Q$4),MIN(INDEX(Assumptions!$C$121:$E$132,12,N$9),INDEX(Assumptions!$C$167:$E$167,N$9)),INDEX(Assumptions!$C$121:$E$132,IF($Q$3=1,MIN(12,12-$Q$4+6),12),N$9))*$J$4*IF(AND($Y$3=1,12&gt;=$U$4),0,1)</f>
        <v>100000</v>
      </c>
      <c r="O18" s="40" t="n">
        <f aca="false">SUM(C18:N18)</f>
        <v>700000</v>
      </c>
      <c r="P18" s="2" t="s">
        <v>1432</v>
      </c>
    </row>
    <row r="19" customFormat="false" ht="15" hidden="false" customHeight="false" outlineLevel="0" collapsed="false">
      <c r="A19" s="21" t="s">
        <v>1433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1434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1435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1436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1437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1438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1439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1440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1441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1442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1443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1444</v>
      </c>
    </row>
    <row r="30" customFormat="false" ht="15" hidden="false" customHeight="false" outlineLevel="0" collapsed="false">
      <c r="A30" s="21" t="s">
        <v>1445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1446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1447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1448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1449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1450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1451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1452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1453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1454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1455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1456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1457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1458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1459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1460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1461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1462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1463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1464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1465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1466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1467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1468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1469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1470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1471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1472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1473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973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1474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1475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1476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1477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1478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1479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131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1480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1481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1482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1483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1484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1485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1486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1487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1488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1489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1490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1491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993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1492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1493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1494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1495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1496</v>
      </c>
      <c r="C84" s="10" t="n">
        <f aca="false">IF(OR(C83=0,AND($Y$3=1,1&gt;=$U$4)),0,MAX(IF(AND($Q$3=1,1&gt;=MAX(INDEX(Assumptions!$C$174:$E$174,C$9),$Q$4+1),1&lt;$U$4),1,0),ROUNDUP((C82-C83*INDEX(Assumptions!$C$101:$E$101,$B$3))/INDEX(Assumptions!$C$101:$E$101,$B$3)-0.1,0)))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IF(OR(D83=0,AND($Y$3=1,2&gt;=$U$4)),0,MAX(IF(AND($Q$3=1,2&gt;=MAX(INDEX(Assumptions!$C$174:$E$174,D$9),$Q$4+1),2&lt;$U$4),1,0),ROUNDUP((D82-D83*INDEX(Assumptions!$C$101:$E$101,$B$3))/INDEX(Assumptions!$C$101:$E$101,$B$3)-0.1,0)))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IF(OR(E83=0,AND($Y$3=1,3&gt;=$U$4)),0,MAX(IF(AND($Q$3=1,3&gt;=MAX(INDEX(Assumptions!$C$174:$E$174,E$9),$Q$4+1),3&lt;$U$4),1,0),ROUNDUP((E82-E83*INDEX(Assumptions!$C$101:$E$101,$B$3))/INDEX(Assumptions!$C$101:$E$101,$B$3)-0.1,0)))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IF(OR(F83=0,AND($Y$3=1,4&gt;=$U$4)),0,MAX(IF(AND($Q$3=1,4&gt;=MAX(INDEX(Assumptions!$C$174:$E$174,F$9),$Q$4+1),4&lt;$U$4),1,0),ROUNDUP((F82-F83*INDEX(Assumptions!$C$101:$E$101,$B$3))/INDEX(Assumptions!$C$101:$E$101,$B$3)-0.1,0)))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IF(OR(G83=0,AND($Y$3=1,5&gt;=$U$4)),0,MAX(IF(AND($Q$3=1,5&gt;=MAX(INDEX(Assumptions!$C$174:$E$174,G$9),$Q$4+1),5&lt;$U$4),1,0),ROUNDUP((G82-G83*INDEX(Assumptions!$C$101:$E$101,$B$3))/INDEX(Assumptions!$C$101:$E$101,$B$3)-0.1,0)))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IF(OR(H83=0,AND($Y$3=1,6&gt;=$U$4)),0,MAX(IF(AND($Q$3=1,6&gt;=MAX(INDEX(Assumptions!$C$174:$E$174,H$9),$Q$4+1),6&lt;$U$4),1,0),ROUNDUP((H82-H83*INDEX(Assumptions!$C$101:$E$101,$B$3))/INDEX(Assumptions!$C$101:$E$101,$B$3)-0.1,0)))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IF(OR(I83=0,AND($Y$3=1,7&gt;=$U$4)),0,MAX(IF(AND($Q$3=1,7&gt;=MAX(INDEX(Assumptions!$C$174:$E$174,I$9),$Q$4+1),7&lt;$U$4),1,0),ROUNDUP((I82-I83*INDEX(Assumptions!$C$101:$E$101,$B$3))/INDEX(Assumptions!$C$101:$E$101,$B$3)-0.1,0)))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IF(OR(J83=0,AND($Y$3=1,8&gt;=$U$4)),0,MAX(IF(AND($Q$3=1,8&gt;=MAX(INDEX(Assumptions!$C$174:$E$174,J$9),$Q$4+1),8&lt;$U$4),1,0),ROUNDUP((J82-J83*INDEX(Assumptions!$C$101:$E$101,$B$3))/INDEX(Assumptions!$C$101:$E$101,$B$3)-0.1,0)))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IF(OR(K83=0,AND($Y$3=1,9&gt;=$U$4)),0,MAX(IF(AND($Q$3=1,9&gt;=MAX(INDEX(Assumptions!$C$174:$E$174,K$9),$Q$4+1),9&lt;$U$4),1,0),ROUNDUP((K82-K83*INDEX(Assumptions!$C$101:$E$101,$B$3))/INDEX(Assumptions!$C$101:$E$101,$B$3)-0.1,0)))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IF(OR(L83=0,AND($Y$3=1,10&gt;=$U$4)),0,MAX(IF(AND($Q$3=1,10&gt;=MAX(INDEX(Assumptions!$C$174:$E$174,L$9),$Q$4+1),10&lt;$U$4),1,0),ROUNDUP((L82-L83*INDEX(Assumptions!$C$101:$E$101,$B$3))/INDEX(Assumptions!$C$101:$E$101,$B$3)-0.1,0)))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IF(OR(M83=0,AND($Y$3=1,11&gt;=$U$4)),0,MAX(IF(AND($Q$3=1,11&gt;=MAX(INDEX(Assumptions!$C$174:$E$174,M$9),$Q$4+1),11&lt;$U$4),1,0),ROUNDUP((M82-M83*INDEX(Assumptions!$C$101:$E$101,$B$3))/INDEX(Assumptions!$C$101:$E$101,$B$3)-0.1,0)))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IF(OR(N83=0,AND($Y$3=1,12&gt;=$U$4)),0,MAX(IF(AND($Q$3=1,12&gt;=MAX(INDEX(Assumptions!$C$174:$E$174,N$9),$Q$4+1),12&lt;$U$4),1,0),ROUNDUP((N82-N83*INDEX(Assumptions!$C$101:$E$101,$B$3))/INDEX(Assumptions!$C$101:$E$101,$B$3)-0.1,0)))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1497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1498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93000</v>
      </c>
      <c r="E86" s="10" t="n">
        <f aca="false">E83*INDEX(Assumptions!$C$98:$E$98,$B$3)*$W$4+E84*INDEX(Assumptions!$C$99:$E$99,$B$3)+E85*INDEX(Assumptions!$C$100:$E$100,$B$3)</f>
        <v>93000</v>
      </c>
      <c r="F86" s="10" t="n">
        <f aca="false">F83*INDEX(Assumptions!$C$98:$E$98,$B$3)*$W$4+F84*INDEX(Assumptions!$C$99:$E$99,$B$3)+F85*INDEX(Assumptions!$C$100:$E$100,$B$3)</f>
        <v>93000</v>
      </c>
      <c r="G86" s="10" t="n">
        <f aca="false">G83*INDEX(Assumptions!$C$98:$E$98,$B$3)*$W$4+G84*INDEX(Assumptions!$C$99:$E$99,$B$3)+G85*INDEX(Assumptions!$C$100:$E$100,$B$3)</f>
        <v>93000</v>
      </c>
      <c r="H86" s="10" t="n">
        <f aca="false">H83*INDEX(Assumptions!$C$98:$E$98,$B$3)*$W$4+H84*INDEX(Assumptions!$C$99:$E$99,$B$3)+H85*INDEX(Assumptions!$C$100:$E$100,$B$3)</f>
        <v>93000</v>
      </c>
      <c r="I86" s="10" t="n">
        <f aca="false">I83*INDEX(Assumptions!$C$98:$E$98,$B$3)*$W$4+I84*INDEX(Assumptions!$C$99:$E$99,$B$3)+I85*INDEX(Assumptions!$C$100:$E$100,$B$3)</f>
        <v>93000</v>
      </c>
      <c r="J86" s="10" t="n">
        <f aca="false">J83*INDEX(Assumptions!$C$98:$E$98,$B$3)*$W$4+J84*INDEX(Assumptions!$C$99:$E$99,$B$3)+J85*INDEX(Assumptions!$C$100:$E$100,$B$3)</f>
        <v>93000</v>
      </c>
      <c r="K86" s="10" t="n">
        <f aca="false">K83*INDEX(Assumptions!$C$98:$E$98,$B$3)*$W$4+K84*INDEX(Assumptions!$C$99:$E$99,$B$3)+K85*INDEX(Assumptions!$C$100:$E$100,$B$3)</f>
        <v>93000</v>
      </c>
      <c r="L86" s="10" t="n">
        <f aca="false">L83*INDEX(Assumptions!$C$98:$E$98,$B$3)*$W$4+L84*INDEX(Assumptions!$C$99:$E$99,$B$3)+L85*INDEX(Assumptions!$C$100:$E$100,$B$3)</f>
        <v>149000</v>
      </c>
      <c r="M86" s="10" t="n">
        <f aca="false">M83*INDEX(Assumptions!$C$98:$E$98,$B$3)*$W$4+M84*INDEX(Assumptions!$C$99:$E$99,$B$3)+M85*INDEX(Assumptions!$C$100:$E$100,$B$3)</f>
        <v>149000</v>
      </c>
      <c r="N86" s="10" t="n">
        <f aca="false">N83*INDEX(Assumptions!$C$98:$E$98,$B$3)*$W$4+N84*INDEX(Assumptions!$C$99:$E$99,$B$3)+N85*INDEX(Assumptions!$C$100:$E$100,$B$3)</f>
        <v>149000</v>
      </c>
      <c r="O86" s="40" t="n">
        <f aca="false">SUM(C86:N86)</f>
        <v>1209000</v>
      </c>
      <c r="P86" s="2"/>
    </row>
    <row r="87" customFormat="false" ht="15" hidden="false" customHeight="false" outlineLevel="0" collapsed="false">
      <c r="A87" s="21" t="s">
        <v>1499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1500</v>
      </c>
      <c r="C88" s="10" t="n">
        <f aca="false">IF(AND($Y$3=1,1&gt;=$U$4),0,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)</f>
        <v>0</v>
      </c>
      <c r="D88" s="10" t="n">
        <f aca="false">IF(AND($Y$3=1,2&gt;=$U$4),0,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)</f>
        <v>75000</v>
      </c>
      <c r="E88" s="10" t="n">
        <f aca="false">IF(AND($Y$3=1,3&gt;=$U$4),0,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)</f>
        <v>90000</v>
      </c>
      <c r="F88" s="10" t="n">
        <f aca="false">IF(AND($Y$3=1,4&gt;=$U$4),0,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)</f>
        <v>90000</v>
      </c>
      <c r="G88" s="10" t="n">
        <f aca="false">IF(AND($Y$3=1,5&gt;=$U$4),0,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)</f>
        <v>90000</v>
      </c>
      <c r="H88" s="10" t="n">
        <f aca="false">IF(AND($Y$3=1,6&gt;=$U$4),0,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)</f>
        <v>90000</v>
      </c>
      <c r="I88" s="10" t="n">
        <f aca="false">IF(AND($Y$3=1,7&gt;=$U$4),0,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)</f>
        <v>90000</v>
      </c>
      <c r="J88" s="10" t="n">
        <f aca="false">IF(AND($Y$3=1,8&gt;=$U$4),0,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)</f>
        <v>90000</v>
      </c>
      <c r="K88" s="10" t="n">
        <f aca="false">IF(AND($Y$3=1,9&gt;=$U$4),0,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)</f>
        <v>90000</v>
      </c>
      <c r="L88" s="10" t="n">
        <f aca="false">IF(AND($Y$3=1,10&gt;=$U$4),0,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)</f>
        <v>90000</v>
      </c>
      <c r="M88" s="10" t="n">
        <f aca="false">IF(AND($Y$3=1,11&gt;=$U$4),0,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)</f>
        <v>90000</v>
      </c>
      <c r="N88" s="10" t="n">
        <f aca="false">IF(AND($Y$3=1,12&gt;=$U$4),0,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1501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1502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1503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1504</v>
      </c>
      <c r="C92" s="40" t="n">
        <f aca="false">SUM(C86:C91)</f>
        <v>58000</v>
      </c>
      <c r="D92" s="40" t="n">
        <f aca="false">SUM(D86:D91)</f>
        <v>208000</v>
      </c>
      <c r="E92" s="40" t="n">
        <f aca="false">SUM(E86:E91)</f>
        <v>223000</v>
      </c>
      <c r="F92" s="40" t="n">
        <f aca="false">SUM(F86:F91)</f>
        <v>223000</v>
      </c>
      <c r="G92" s="40" t="n">
        <f aca="false">SUM(G86:G91)</f>
        <v>223000</v>
      </c>
      <c r="H92" s="40" t="n">
        <f aca="false">SUM(H86:H91)</f>
        <v>223000</v>
      </c>
      <c r="I92" s="40" t="n">
        <f aca="false">SUM(I86:I91)</f>
        <v>223000</v>
      </c>
      <c r="J92" s="40" t="n">
        <f aca="false">SUM(J86:J91)</f>
        <v>223000</v>
      </c>
      <c r="K92" s="40" t="n">
        <f aca="false">SUM(K86:K91)</f>
        <v>223000</v>
      </c>
      <c r="L92" s="40" t="n">
        <f aca="false">SUM(L86:L91)</f>
        <v>309500</v>
      </c>
      <c r="M92" s="40" t="n">
        <f aca="false">SUM(M86:M91)</f>
        <v>309500</v>
      </c>
      <c r="N92" s="40" t="n">
        <f aca="false">SUM(N86:N91)</f>
        <v>309500</v>
      </c>
      <c r="O92" s="11" t="n">
        <f aca="false">SUM(C92:N92)</f>
        <v>2755500</v>
      </c>
      <c r="P92" s="2"/>
    </row>
    <row r="93" customFormat="false" ht="15" hidden="false" customHeight="false" outlineLevel="0" collapsed="false">
      <c r="A93" s="18" t="s">
        <v>1505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1506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1507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1508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1509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1510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1511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1512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1513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1514</v>
      </c>
      <c r="C102" s="40" t="n">
        <f aca="false">C92+SUM(C94:C101)</f>
        <v>286833</v>
      </c>
      <c r="D102" s="40" t="n">
        <f aca="false">D92+SUM(D94:D101)</f>
        <v>316833</v>
      </c>
      <c r="E102" s="40" t="n">
        <f aca="false">E92+SUM(E94:E101)</f>
        <v>506833</v>
      </c>
      <c r="F102" s="40" t="n">
        <f aca="false">F92+SUM(F94:F101)</f>
        <v>366833</v>
      </c>
      <c r="G102" s="40" t="n">
        <f aca="false">G92+SUM(G94:G101)</f>
        <v>384833</v>
      </c>
      <c r="H102" s="40" t="n">
        <f aca="false">H92+SUM(H94:H101)</f>
        <v>384833</v>
      </c>
      <c r="I102" s="40" t="n">
        <f aca="false">I92+SUM(I94:I101)</f>
        <v>384833</v>
      </c>
      <c r="J102" s="40" t="n">
        <f aca="false">J92+SUM(J94:J101)</f>
        <v>384833</v>
      </c>
      <c r="K102" s="40" t="n">
        <f aca="false">K92+SUM(K94:K101)</f>
        <v>389833</v>
      </c>
      <c r="L102" s="40" t="n">
        <f aca="false">L92+SUM(L94:L101)</f>
        <v>562933</v>
      </c>
      <c r="M102" s="40" t="n">
        <f aca="false">M92+SUM(M94:M101)</f>
        <v>582933</v>
      </c>
      <c r="N102" s="40" t="n">
        <f aca="false">N92+SUM(N94:N101)</f>
        <v>582933</v>
      </c>
      <c r="O102" s="11" t="n">
        <f aca="false">SUM(C102:N102)</f>
        <v>5135296</v>
      </c>
      <c r="P102" s="2"/>
    </row>
    <row r="103" customFormat="false" ht="15" hidden="false" customHeight="false" outlineLevel="0" collapsed="false">
      <c r="A103" s="3" t="s">
        <v>132</v>
      </c>
      <c r="C103" s="40" t="n">
        <f aca="false">C78-C102</f>
        <v>-199431.846949089</v>
      </c>
      <c r="D103" s="40" t="n">
        <f aca="false">D78-D102</f>
        <v>-194413.933075441</v>
      </c>
      <c r="E103" s="40" t="n">
        <f aca="false">E78-E102</f>
        <v>-303143.711470079</v>
      </c>
      <c r="F103" s="40" t="n">
        <f aca="false">F78-F102</f>
        <v>-84086.1106493325</v>
      </c>
      <c r="G103" s="40" t="n">
        <f aca="false">G78-G102</f>
        <v>-53861.8163104748</v>
      </c>
      <c r="H103" s="40" t="n">
        <f aca="false">H78-H102</f>
        <v>-2127.0214640036</v>
      </c>
      <c r="I103" s="40" t="n">
        <f aca="false">I78-I102</f>
        <v>29447.38232953</v>
      </c>
      <c r="J103" s="40" t="n">
        <f aca="false">J78-J102</f>
        <v>25187.1252153426</v>
      </c>
      <c r="K103" s="40" t="n">
        <f aca="false">K78-K102</f>
        <v>32206.2290507437</v>
      </c>
      <c r="L103" s="40" t="n">
        <f aca="false">L78-L102</f>
        <v>114097.474136762</v>
      </c>
      <c r="M103" s="40" t="n">
        <f aca="false">M78-M102</f>
        <v>112937.220380454</v>
      </c>
      <c r="N103" s="40" t="n">
        <f aca="false">N78-N102</f>
        <v>76307.5888266742</v>
      </c>
      <c r="O103" s="11" t="n">
        <f aca="false">SUM(C103:N103)</f>
        <v>-446881.419978914</v>
      </c>
      <c r="P103" s="2"/>
    </row>
    <row r="104" customFormat="false" ht="15" hidden="false" customHeight="false" outlineLevel="0" collapsed="false">
      <c r="A104" s="21" t="s">
        <v>133</v>
      </c>
      <c r="C104" s="8" t="n">
        <f aca="false">IFERROR(C103/C66,0)</f>
        <v>-1.67390120293004</v>
      </c>
      <c r="D104" s="8" t="n">
        <f aca="false">IFERROR(D103/D66,0)</f>
        <v>-1.18058832597101</v>
      </c>
      <c r="E104" s="8" t="n">
        <f aca="false">IFERROR(E103/E66,0)</f>
        <v>-1.12817772413734</v>
      </c>
      <c r="F104" s="8" t="n">
        <f aca="false">IFERROR(F103/F66,0)</f>
        <v>-0.22414439523115</v>
      </c>
      <c r="G104" s="8" t="n">
        <f aca="false">IFERROR(G103/G66,0)</f>
        <v>-0.120816862768468</v>
      </c>
      <c r="H104" s="8" t="n">
        <f aca="false">IFERROR(H103/H66,0)</f>
        <v>-0.00412146109620158</v>
      </c>
      <c r="I104" s="8" t="n">
        <f aca="false">IFERROR(I103/I66,0)</f>
        <v>0.0529162812322882</v>
      </c>
      <c r="J104" s="8" t="n">
        <f aca="false">IFERROR(J103/J66,0)</f>
        <v>0.0462553565608823</v>
      </c>
      <c r="K104" s="8" t="n">
        <f aca="false">IFERROR(K103/K66,0)</f>
        <v>0.0572995804267106</v>
      </c>
      <c r="L104" s="8" t="n">
        <f aca="false">IFERROR(L103/L66,0)</f>
        <v>0.13640497010113</v>
      </c>
      <c r="M104" s="8" t="n">
        <f aca="false">IFERROR(M103/M66,0)</f>
        <v>0.131626373579809</v>
      </c>
      <c r="N104" s="8" t="n">
        <f aca="false">IFERROR(N103/N66,0)</f>
        <v>0.0944137563989647</v>
      </c>
      <c r="O104" s="8" t="n">
        <f aca="false">IFERROR(O103/O66,0)</f>
        <v>-0.0737995434725489</v>
      </c>
      <c r="P104" s="2"/>
    </row>
    <row r="105" customFormat="false" ht="15" hidden="false" customHeight="false" outlineLevel="0" collapsed="false">
      <c r="A105" s="21" t="s">
        <v>1515</v>
      </c>
      <c r="C105" s="10" t="n">
        <f aca="false">C103-INDEX(Assumptions!$C$204:$E$204,$B$3)</f>
        <v>-274431.846949089</v>
      </c>
      <c r="D105" s="10" t="n">
        <f aca="false">D103-INDEX(Assumptions!$C$204:$E$204,$B$3)</f>
        <v>-269413.933075441</v>
      </c>
      <c r="E105" s="10" t="n">
        <f aca="false">E103-INDEX(Assumptions!$C$204:$E$204,$B$3)</f>
        <v>-378143.711470079</v>
      </c>
      <c r="F105" s="10" t="n">
        <f aca="false">F103-INDEX(Assumptions!$C$204:$E$204,$B$3)</f>
        <v>-159086.110649333</v>
      </c>
      <c r="G105" s="10" t="n">
        <f aca="false">G103-INDEX(Assumptions!$C$204:$E$204,$B$3)</f>
        <v>-128861.816310475</v>
      </c>
      <c r="H105" s="10" t="n">
        <f aca="false">H103-INDEX(Assumptions!$C$204:$E$204,$B$3)</f>
        <v>-77127.0214640036</v>
      </c>
      <c r="I105" s="10" t="n">
        <f aca="false">I103-INDEX(Assumptions!$C$204:$E$204,$B$3)</f>
        <v>-45552.61767047</v>
      </c>
      <c r="J105" s="10" t="n">
        <f aca="false">J103-INDEX(Assumptions!$C$204:$E$204,$B$3)</f>
        <v>-49812.8747846574</v>
      </c>
      <c r="K105" s="10" t="n">
        <f aca="false">K103-INDEX(Assumptions!$C$204:$E$204,$B$3)</f>
        <v>-42793.7709492563</v>
      </c>
      <c r="L105" s="10" t="n">
        <f aca="false">L103-INDEX(Assumptions!$C$204:$E$204,$B$3)</f>
        <v>39097.4741367617</v>
      </c>
      <c r="M105" s="10" t="n">
        <f aca="false">M103-INDEX(Assumptions!$C$204:$E$204,$B$3)</f>
        <v>37937.2203804541</v>
      </c>
      <c r="N105" s="10" t="n">
        <f aca="false">N103-INDEX(Assumptions!$C$204:$E$204,$B$3)</f>
        <v>1307.58882667415</v>
      </c>
      <c r="O105" s="40" t="n">
        <f aca="false">SUM(C105:N105)</f>
        <v>-1346881.41997891</v>
      </c>
      <c r="P105" s="2"/>
    </row>
    <row r="106" customFormat="false" ht="15" hidden="false" customHeight="false" outlineLevel="0" collapsed="false">
      <c r="A106" s="18" t="s">
        <v>1516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1517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1518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1519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1520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1521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1522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1523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1524</v>
      </c>
      <c r="C114" s="40" t="n">
        <f aca="false">C103+C113-C112</f>
        <v>-393465.745254174</v>
      </c>
      <c r="D114" s="40" t="n">
        <f aca="false">D103+D113-D112</f>
        <v>-206428.926719509</v>
      </c>
      <c r="E114" s="40" t="n">
        <f aca="false">E103+E113-E112</f>
        <v>-426661.06295313</v>
      </c>
      <c r="F114" s="40" t="n">
        <f aca="false">F103+F113-F112</f>
        <v>-118181.731623909</v>
      </c>
      <c r="G114" s="40" t="n">
        <f aca="false">G103+G113-G112</f>
        <v>-85998.4264799663</v>
      </c>
      <c r="H114" s="40" t="n">
        <f aca="false">H103+H113-H112</f>
        <v>-24683.9197690883</v>
      </c>
      <c r="I114" s="40" t="n">
        <f aca="false">I103+I113-I112</f>
        <v>22379.9163932003</v>
      </c>
      <c r="J114" s="40" t="n">
        <f aca="false">J103+J113-J112</f>
        <v>43543.0556809471</v>
      </c>
      <c r="K114" s="40" t="n">
        <f aca="false">K103+K113-K112</f>
        <v>-1448835.40531484</v>
      </c>
      <c r="L114" s="40" t="n">
        <f aca="false">L103+L113-L112</f>
        <v>-2987.32369381748</v>
      </c>
      <c r="M114" s="40" t="n">
        <f aca="false">M103+M113-M112</f>
        <v>111937.772253445</v>
      </c>
      <c r="N114" s="40" t="n">
        <f aca="false">N103+N113-N112</f>
        <v>109951.636916336</v>
      </c>
      <c r="O114" s="11" t="n">
        <f aca="false">SUM(C114:N114)</f>
        <v>-2419430.1605645</v>
      </c>
      <c r="P114" s="2"/>
    </row>
    <row r="115" customFormat="false" ht="15" hidden="false" customHeight="false" outlineLevel="0" collapsed="false">
      <c r="A115" s="3" t="s">
        <v>137</v>
      </c>
      <c r="C115" s="40" t="n">
        <f aca="false">0+C114</f>
        <v>-393465.745254174</v>
      </c>
      <c r="D115" s="40" t="n">
        <f aca="false">C115+D114</f>
        <v>-599894.671973683</v>
      </c>
      <c r="E115" s="40" t="n">
        <f aca="false">D115+E114</f>
        <v>-1026555.73492681</v>
      </c>
      <c r="F115" s="40" t="n">
        <f aca="false">E115+F114</f>
        <v>-1144737.46655072</v>
      </c>
      <c r="G115" s="40" t="n">
        <f aca="false">F115+G114</f>
        <v>-1230735.89303069</v>
      </c>
      <c r="H115" s="40" t="n">
        <f aca="false">G115+H114</f>
        <v>-1255419.81279978</v>
      </c>
      <c r="I115" s="40" t="n">
        <f aca="false">H115+I114</f>
        <v>-1233039.89640658</v>
      </c>
      <c r="J115" s="40" t="n">
        <f aca="false">I115+J114</f>
        <v>-1189496.84072563</v>
      </c>
      <c r="K115" s="40" t="n">
        <f aca="false">J115+K114</f>
        <v>-2638332.24604047</v>
      </c>
      <c r="L115" s="40" t="n">
        <f aca="false">K115+L114</f>
        <v>-2641319.56973428</v>
      </c>
      <c r="M115" s="40" t="n">
        <f aca="false">L115+M114</f>
        <v>-2529381.79748084</v>
      </c>
      <c r="N115" s="40" t="n">
        <f aca="false">M115+N114</f>
        <v>-2419430.1605645</v>
      </c>
      <c r="O115" s="11" t="n">
        <f aca="false">N115</f>
        <v>-2419430.1605645</v>
      </c>
      <c r="P115" s="2"/>
    </row>
    <row r="116" customFormat="false" ht="15" hidden="false" customHeight="false" outlineLevel="0" collapsed="false">
      <c r="A116" s="3" t="s">
        <v>136</v>
      </c>
      <c r="C116" s="40" t="n">
        <f aca="false">-MIN(0,MIN($C$115:C115))</f>
        <v>393465.745254174</v>
      </c>
      <c r="D116" s="40" t="n">
        <f aca="false">-MIN(0,MIN($C$115:D115))</f>
        <v>599894.671973683</v>
      </c>
      <c r="E116" s="40" t="n">
        <f aca="false">-MIN(0,MIN($C$115:E115))</f>
        <v>1026555.73492681</v>
      </c>
      <c r="F116" s="40" t="n">
        <f aca="false">-MIN(0,MIN($C$115:F115))</f>
        <v>1144737.46655072</v>
      </c>
      <c r="G116" s="40" t="n">
        <f aca="false">-MIN(0,MIN($C$115:G115))</f>
        <v>1230735.89303069</v>
      </c>
      <c r="H116" s="40" t="n">
        <f aca="false">-MIN(0,MIN($C$115:H115))</f>
        <v>1255419.81279978</v>
      </c>
      <c r="I116" s="40" t="n">
        <f aca="false">-MIN(0,MIN($C$115:I115))</f>
        <v>1255419.81279978</v>
      </c>
      <c r="J116" s="40" t="n">
        <f aca="false">-MIN(0,MIN($C$115:J115))</f>
        <v>1255419.81279978</v>
      </c>
      <c r="K116" s="40" t="n">
        <f aca="false">-MIN(0,MIN($C$115:K115))</f>
        <v>2638332.24604047</v>
      </c>
      <c r="L116" s="40" t="n">
        <f aca="false">-MIN(0,MIN($C$115:L115))</f>
        <v>2641319.56973428</v>
      </c>
      <c r="M116" s="40" t="n">
        <f aca="false">-MIN(0,MIN($C$115:M115))</f>
        <v>2641319.56973428</v>
      </c>
      <c r="N116" s="40" t="n">
        <f aca="false">-MIN(0,MIN($C$115:N115))</f>
        <v>2641319.56973428</v>
      </c>
      <c r="O116" s="11" t="n">
        <f aca="false">MAX(C116:N116)</f>
        <v>2641319.56973428</v>
      </c>
      <c r="P116" s="2"/>
    </row>
    <row r="117" customFormat="false" ht="15" hidden="false" customHeight="false" outlineLevel="0" collapsed="false">
      <c r="A117" s="21" t="s">
        <v>1525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1526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1527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1528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1529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1530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1531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1532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1533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1534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1535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1536</v>
      </c>
      <c r="B128" s="3"/>
      <c r="C128" s="3" t="s">
        <v>1537</v>
      </c>
      <c r="D128" s="3" t="s">
        <v>1538</v>
      </c>
      <c r="E128" s="3" t="s">
        <v>1539</v>
      </c>
      <c r="F128" s="3" t="s">
        <v>1540</v>
      </c>
      <c r="G128" s="3" t="s">
        <v>1541</v>
      </c>
      <c r="H128" s="3" t="s">
        <v>1542</v>
      </c>
    </row>
    <row r="129" customFormat="false" ht="15" hidden="false" customHeight="false" outlineLevel="0" collapsed="false">
      <c r="A129" s="0" t="s">
        <v>1543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  <c r="H129" s="10" t="n">
        <f aca="false">IF(C129&gt;=INDEX(Assumptions!$C$180:$E$180,$B$3)*INDEX($C$25:$N$25,MIN(12,F129)),1,0)</f>
        <v>0</v>
      </c>
    </row>
    <row r="130" customFormat="false" ht="15" hidden="false" customHeight="false" outlineLevel="0" collapsed="false">
      <c r="A130" s="0" t="s">
        <v>1544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IF(AND(H130=1,H129=1),1,0)</f>
        <v>0</v>
      </c>
      <c r="H130" s="10" t="n">
        <f aca="false">IF(C130&gt;=INDEX(Assumptions!$C$180:$E$180,$B$3)*INDEX($C$25:$N$25,MIN(12,F130)),1,0)</f>
        <v>0</v>
      </c>
    </row>
    <row r="131" customFormat="false" ht="15" hidden="false" customHeight="false" outlineLevel="0" collapsed="false">
      <c r="A131" s="0" t="s">
        <v>1545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IF(AND(H131=1,H130=1),1,0)</f>
        <v>0</v>
      </c>
      <c r="H131" s="10" t="n">
        <f aca="false">IF(C131&gt;=INDEX(Assumptions!$C$180:$E$180,$B$3)*INDEX($C$25:$N$25,MIN(12,F131)),1,0)</f>
        <v>1</v>
      </c>
    </row>
    <row r="132" customFormat="false" ht="15" hidden="false" customHeight="false" outlineLevel="0" collapsed="false">
      <c r="A132" s="0" t="s">
        <v>1546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IF(AND(H132=1,H131=1),1,0)</f>
        <v>1</v>
      </c>
      <c r="H132" s="10" t="n">
        <f aca="false">IF(C132&gt;=INDEX(Assumptions!$C$180:$E$180,$B$3)*INDEX($C$25:$N$25,MIN(12,F132)),1,0)</f>
        <v>1</v>
      </c>
    </row>
    <row r="133" customFormat="false" ht="15" hidden="false" customHeight="false" outlineLevel="0" collapsed="false">
      <c r="A133" s="0" t="s">
        <v>1547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IF(AND(H133=1,H132=1),1,0)</f>
        <v>1</v>
      </c>
      <c r="H133" s="10" t="n">
        <f aca="false">IF(C133&gt;=INDEX(Assumptions!$C$180:$E$180,$B$3)*INDEX($C$25:$N$25,MIN(12,F133)),1,0)</f>
        <v>1</v>
      </c>
    </row>
    <row r="134" customFormat="false" ht="15" hidden="false" customHeight="false" outlineLevel="0" collapsed="false">
      <c r="A134" s="0" t="s">
        <v>1548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IF(AND(H134=1,H133=1),1,0)</f>
        <v>0</v>
      </c>
      <c r="H134" s="10" t="n">
        <f aca="false">IF(C134&gt;=INDEX(Assumptions!$C$180:$E$180,$B$3)*INDEX($C$25:$N$25,MIN(12,F134)),1,0)</f>
        <v>0</v>
      </c>
    </row>
    <row r="135" customFormat="false" ht="15" hidden="false" customHeight="false" outlineLevel="0" collapsed="false">
      <c r="A135" s="0" t="s">
        <v>1549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IF(AND(H135=1,H134=1),1,0)</f>
        <v>0</v>
      </c>
      <c r="H135" s="10" t="n">
        <f aca="false">IF(C135&gt;=INDEX(Assumptions!$C$180:$E$180,$B$3)*INDEX($C$25:$N$25,MIN(12,F135)),1,0)</f>
        <v>0</v>
      </c>
    </row>
    <row r="136" customFormat="false" ht="15" hidden="false" customHeight="false" outlineLevel="0" collapsed="false">
      <c r="A136" s="21" t="s">
        <v>1550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1551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1552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1553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1554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1555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1556</v>
      </c>
      <c r="B142" s="3"/>
      <c r="C142" s="3" t="s">
        <v>1537</v>
      </c>
      <c r="D142" s="3" t="s">
        <v>1538</v>
      </c>
      <c r="E142" s="3" t="s">
        <v>1539</v>
      </c>
      <c r="F142" s="3" t="s">
        <v>1540</v>
      </c>
      <c r="G142" s="3" t="s">
        <v>1541</v>
      </c>
      <c r="H142" s="3" t="s">
        <v>1542</v>
      </c>
    </row>
    <row r="143" customFormat="false" ht="15" hidden="false" customHeight="false" outlineLevel="0" collapsed="false">
      <c r="A143" s="0" t="s">
        <v>1543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  <c r="H143" s="10" t="n">
        <f aca="false">IF(C143&gt;=INDEX(Assumptions!$C$180:$E$180,$B$3)*INDEX($C$25:$N$25,MIN(12,F143)),1,0)</f>
        <v>0</v>
      </c>
    </row>
    <row r="144" customFormat="false" ht="15" hidden="false" customHeight="false" outlineLevel="0" collapsed="false">
      <c r="A144" s="0" t="s">
        <v>1544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IF(AND(H144=1,H143=1),1,0)</f>
        <v>0</v>
      </c>
      <c r="H144" s="10" t="n">
        <f aca="false">IF(C144&gt;=INDEX(Assumptions!$C$180:$E$180,$B$3)*INDEX($C$25:$N$25,MIN(12,F144)),1,0)</f>
        <v>0</v>
      </c>
    </row>
    <row r="145" customFormat="false" ht="15" hidden="false" customHeight="false" outlineLevel="0" collapsed="false">
      <c r="A145" s="0" t="s">
        <v>1557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IF(AND(H145=1,H144=1),1,0)</f>
        <v>0</v>
      </c>
      <c r="H145" s="10" t="n">
        <f aca="false">IF(C145&gt;=INDEX(Assumptions!$C$180:$E$180,$B$3)*INDEX($C$25:$N$25,MIN(12,F145)),1,0)</f>
        <v>1</v>
      </c>
    </row>
    <row r="146" customFormat="false" ht="15" hidden="false" customHeight="false" outlineLevel="0" collapsed="false">
      <c r="A146" s="0" t="s">
        <v>1558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IF(AND(H146=1,H145=1),1,0)</f>
        <v>1</v>
      </c>
      <c r="H146" s="10" t="n">
        <f aca="false">IF(C146&gt;=INDEX(Assumptions!$C$180:$E$180,$B$3)*INDEX($C$25:$N$25,MIN(12,F146)),1,0)</f>
        <v>1</v>
      </c>
    </row>
    <row r="147" customFormat="false" ht="15" hidden="false" customHeight="false" outlineLevel="0" collapsed="false">
      <c r="A147" s="0" t="s">
        <v>1559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IF(AND(H147=1,H146=1),1,0)</f>
        <v>1</v>
      </c>
      <c r="H147" s="10" t="n">
        <f aca="false">IF(C147&gt;=INDEX(Assumptions!$C$180:$E$180,$B$3)*INDEX($C$25:$N$25,MIN(12,F147)),1,0)</f>
        <v>1</v>
      </c>
    </row>
    <row r="148" customFormat="false" ht="15" hidden="false" customHeight="false" outlineLevel="0" collapsed="false">
      <c r="A148" s="0" t="s">
        <v>1560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IF(AND(H148=1,H147=1),1,0)</f>
        <v>1</v>
      </c>
      <c r="H148" s="10" t="n">
        <f aca="false">IF(C148&gt;=INDEX(Assumptions!$C$180:$E$180,$B$3)*INDEX($C$25:$N$25,MIN(12,F148)),1,0)</f>
        <v>1</v>
      </c>
    </row>
    <row r="149" customFormat="false" ht="15" hidden="false" customHeight="false" outlineLevel="0" collapsed="false">
      <c r="A149" s="2" t="s">
        <v>1561</v>
      </c>
    </row>
    <row r="151" customFormat="false" ht="15" hidden="false" customHeight="false" outlineLevel="0" collapsed="false">
      <c r="A151" s="18" t="s">
        <v>1562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43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44</v>
      </c>
      <c r="B153" s="11" t="n">
        <f aca="false">O103</f>
        <v>-446881.419978914</v>
      </c>
    </row>
    <row r="154" customFormat="false" ht="15" hidden="false" customHeight="false" outlineLevel="0" collapsed="false">
      <c r="A154" s="3" t="s">
        <v>45</v>
      </c>
      <c r="B154" s="9" t="n">
        <f aca="false">O104</f>
        <v>-0.0737995434725489</v>
      </c>
    </row>
    <row r="155" customFormat="false" ht="15" hidden="false" customHeight="false" outlineLevel="0" collapsed="false">
      <c r="A155" s="3" t="s">
        <v>46</v>
      </c>
      <c r="B155" s="11" t="n">
        <f aca="false">O105</f>
        <v>-1346881.41997891</v>
      </c>
    </row>
    <row r="156" customFormat="false" ht="15" hidden="false" customHeight="false" outlineLevel="0" collapsed="false">
      <c r="A156" s="3" t="s">
        <v>47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48</v>
      </c>
      <c r="B157" s="11" t="n">
        <f aca="false">O116</f>
        <v>2641319.56973428</v>
      </c>
    </row>
    <row r="158" customFormat="false" ht="15" hidden="false" customHeight="false" outlineLevel="0" collapsed="false">
      <c r="A158" s="3" t="s">
        <v>49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50</v>
      </c>
      <c r="B159" s="11" t="n">
        <f aca="false">B158-B157</f>
        <v>358680.430265715</v>
      </c>
    </row>
    <row r="160" customFormat="false" ht="15" hidden="false" customHeight="false" outlineLevel="0" collapsed="false">
      <c r="A160" s="3" t="s">
        <v>51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52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53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54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55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56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57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58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59</v>
      </c>
      <c r="B168" s="11" t="n">
        <f aca="false">N102</f>
        <v>582933</v>
      </c>
    </row>
    <row r="169" customFormat="false" ht="15" hidden="false" customHeight="false" outlineLevel="0" collapsed="false">
      <c r="A169" s="3" t="s">
        <v>60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61</v>
      </c>
      <c r="B170" s="7" t="n">
        <f aca="false">IFERROR((B168-B169)/B167,0)</f>
        <v>8.18038934789596</v>
      </c>
    </row>
    <row r="171" customFormat="false" ht="15" hidden="false" customHeight="false" outlineLevel="0" collapsed="false">
      <c r="A171" s="3" t="s">
        <v>62</v>
      </c>
      <c r="B171" s="11" t="n">
        <f aca="false">B170*12</f>
        <v>98.1646721747515</v>
      </c>
    </row>
    <row r="172" customFormat="false" ht="15" hidden="false" customHeight="false" outlineLevel="0" collapsed="false">
      <c r="A172" s="3" t="s">
        <v>63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64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65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66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67</v>
      </c>
      <c r="B176" s="11" t="n">
        <f aca="false">SUM(L103:N103)</f>
        <v>303342.28334389</v>
      </c>
    </row>
    <row r="177" customFormat="false" ht="15" hidden="false" customHeight="false" outlineLevel="0" collapsed="false">
      <c r="A177" s="3" t="s">
        <v>68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69</v>
      </c>
      <c r="B178" s="11" t="n">
        <f aca="false">N115</f>
        <v>-2419430.1605645</v>
      </c>
    </row>
    <row r="179" customFormat="false" ht="15" hidden="false" customHeight="false" outlineLevel="0" collapsed="false">
      <c r="A179" s="3" t="s">
        <v>70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71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72</v>
      </c>
      <c r="B181" s="11" t="n">
        <f aca="false">INDEX(C116:N116,MAX(1,MIN(12,$Q$4-1)))</f>
        <v>1255419.81279978</v>
      </c>
    </row>
    <row r="182" customFormat="false" ht="15" hidden="false" customHeight="false" outlineLevel="0" collapsed="false">
      <c r="A182" s="3" t="s">
        <v>73</v>
      </c>
      <c r="B182" s="11" t="n">
        <f aca="false">O86</f>
        <v>1209000</v>
      </c>
    </row>
    <row r="183" customFormat="false" ht="15" hidden="false" customHeight="false" outlineLevel="0" collapsed="false">
      <c r="A183" s="3" t="s">
        <v>74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75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76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77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78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79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80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81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82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83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84</v>
      </c>
      <c r="B193" s="11" t="n">
        <f aca="false">IFERROR(AVERAGEIFS(C103:N103,C7:N7,"&gt;="&amp;IF($Q$3=1,$Q$4+1,INDEX(Assumptions!$C$215:$E$215,$D$3)),C7:N7,"&lt;"&amp;MIN(13,$U$4)),0)</f>
        <v>101114.094447963</v>
      </c>
    </row>
    <row r="194" customFormat="false" ht="15" hidden="false" customHeight="false" outlineLevel="0" collapsed="false">
      <c r="A194" s="3" t="s">
        <v>85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86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87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88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89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90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91</v>
      </c>
      <c r="B200" s="11" t="n">
        <f aca="false">IFERROR(INDEX(F143:F148,MATCH(1,G143:G148,0)),"not in Y1")</f>
        <v>8</v>
      </c>
    </row>
    <row r="201" customFormat="false" ht="15" hidden="false" customHeight="false" outlineLevel="0" collapsed="false">
      <c r="A201" s="3" t="s">
        <v>92</v>
      </c>
      <c r="B201" s="11" t="n">
        <f aca="false">SUM(H129:H135)</f>
        <v>3</v>
      </c>
    </row>
    <row r="202" customFormat="false" ht="15" hidden="false" customHeight="false" outlineLevel="0" collapsed="false">
      <c r="A202" s="3" t="s">
        <v>93</v>
      </c>
      <c r="B202" s="11" t="n">
        <f aca="false">SUM(H143:H148)</f>
        <v>4</v>
      </c>
    </row>
    <row r="203" customFormat="false" ht="15" hidden="false" customHeight="false" outlineLevel="0" collapsed="false">
      <c r="A203" s="3" t="s">
        <v>94</v>
      </c>
      <c r="B203" s="11" t="n">
        <f aca="false">IFERROR(INDEX(F143:F148,MATCH(1,E143:E148,0)),"not in Y1")</f>
        <v>10</v>
      </c>
    </row>
    <row r="204" customFormat="false" ht="15" hidden="false" customHeight="false" outlineLevel="0" collapsed="false">
      <c r="A204" s="3" t="s">
        <v>95</v>
      </c>
      <c r="B204" s="9" t="n">
        <f aca="false">AVERAGE(D145:D147)</f>
        <v>0.755627744423904</v>
      </c>
    </row>
    <row r="205" customFormat="false" ht="15" hidden="false" customHeight="false" outlineLevel="0" collapsed="false">
      <c r="A205" s="3" t="s">
        <v>96</v>
      </c>
      <c r="B205" s="7" t="n">
        <f aca="false">SUM(I41:N41)</f>
        <v>27.5714938408643</v>
      </c>
    </row>
    <row r="206" customFormat="false" ht="15" hidden="false" customHeight="false" outlineLevel="0" collapsed="false">
      <c r="A206" s="3" t="s">
        <v>97</v>
      </c>
      <c r="B206" s="11" t="n">
        <f aca="false">AVERAGE(I19:N19)</f>
        <v>11666.6666666667</v>
      </c>
    </row>
    <row r="207" customFormat="false" ht="15" hidden="false" customHeight="false" outlineLevel="0" collapsed="false">
      <c r="A207" s="3" t="s">
        <v>98</v>
      </c>
      <c r="B207" s="17" t="n">
        <f aca="false">INDEX(Assumptions!$C$120:$E$120,$B$3)</f>
        <v>2.41746097527283</v>
      </c>
    </row>
    <row r="208" customFormat="false" ht="15" hidden="false" customHeight="false" outlineLevel="0" collapsed="false">
      <c r="A208" s="3" t="s">
        <v>99</v>
      </c>
      <c r="B208" s="7" t="n">
        <f aca="false">O35</f>
        <v>7.31934066731814</v>
      </c>
    </row>
    <row r="209" customFormat="false" ht="15" hidden="false" customHeight="false" outlineLevel="0" collapsed="false">
      <c r="A209" s="3" t="s">
        <v>100</v>
      </c>
      <c r="B209" s="11" t="n">
        <f aca="false">N84</f>
        <v>1</v>
      </c>
    </row>
    <row r="210" customFormat="false" ht="15" hidden="false" customHeight="false" outlineLevel="0" collapsed="false">
      <c r="A210" s="3" t="s">
        <v>101</v>
      </c>
      <c r="B210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1599</v>
      </c>
    </row>
    <row r="4" customFormat="false" ht="15" hidden="false" customHeight="false" outlineLevel="0" collapsed="false">
      <c r="A4" s="5" t="s">
        <v>1600</v>
      </c>
      <c r="B4" s="5" t="s">
        <v>1601</v>
      </c>
    </row>
    <row r="5" customFormat="false" ht="15" hidden="false" customHeight="false" outlineLevel="0" collapsed="false">
      <c r="A5" s="0" t="s">
        <v>1602</v>
      </c>
      <c r="B5" s="42" t="b">
        <f aca="false">MAX(Outlook_Conservative!C43:N43)&lt;=1.0001</f>
        <v>1</v>
      </c>
    </row>
    <row r="6" customFormat="false" ht="15" hidden="false" customHeight="false" outlineLevel="0" collapsed="false">
      <c r="A6" s="0" t="s">
        <v>1603</v>
      </c>
      <c r="B6" s="42" t="b">
        <f aca="false">ABS(SUM(Outlook_Conservative!O56:O65)-Outlook_Conservative!O66)&lt;1</f>
        <v>1</v>
      </c>
    </row>
    <row r="7" customFormat="false" ht="15" hidden="false" customHeight="false" outlineLevel="0" collapsed="false">
      <c r="A7" s="0" t="s">
        <v>1604</v>
      </c>
      <c r="B7" s="42" t="b">
        <f aca="false">ABS(Outlook_Conservative!O103-(Outlook_Conservative!O78-Outlook_Conservative!O102))&lt;1</f>
        <v>1</v>
      </c>
    </row>
    <row r="8" customFormat="false" ht="15" hidden="false" customHeight="false" outlineLevel="0" collapsed="false">
      <c r="A8" s="0" t="s">
        <v>1605</v>
      </c>
      <c r="B8" s="42" t="b">
        <f aca="false">MAX(Outlook_Base!C43:N43)&lt;=1.0001</f>
        <v>1</v>
      </c>
    </row>
    <row r="9" customFormat="false" ht="15" hidden="false" customHeight="false" outlineLevel="0" collapsed="false">
      <c r="A9" s="0" t="s">
        <v>1606</v>
      </c>
      <c r="B9" s="42" t="b">
        <f aca="false">ABS(SUM(Outlook_Base!O56:O65)-Outlook_Base!O66)&lt;1</f>
        <v>1</v>
      </c>
    </row>
    <row r="10" customFormat="false" ht="15" hidden="false" customHeight="false" outlineLevel="0" collapsed="false">
      <c r="A10" s="0" t="s">
        <v>1607</v>
      </c>
      <c r="B10" s="42" t="b">
        <f aca="false">ABS(Outlook_Base!O103-(Outlook_Base!O78-Outlook_Base!O102))&lt;1</f>
        <v>1</v>
      </c>
    </row>
    <row r="11" customFormat="false" ht="15" hidden="false" customHeight="false" outlineLevel="0" collapsed="false">
      <c r="A11" s="0" t="s">
        <v>1608</v>
      </c>
      <c r="B11" s="42" t="b">
        <f aca="false">MAX(Outlook_Aggressive!C43:N43)&lt;=1.0001</f>
        <v>1</v>
      </c>
    </row>
    <row r="12" customFormat="false" ht="15" hidden="false" customHeight="false" outlineLevel="0" collapsed="false">
      <c r="A12" s="0" t="s">
        <v>1609</v>
      </c>
      <c r="B12" s="42" t="b">
        <f aca="false">ABS(SUM(Outlook_Aggressive!O56:O65)-Outlook_Aggressive!O66)&lt;1</f>
        <v>1</v>
      </c>
    </row>
    <row r="13" customFormat="false" ht="15" hidden="false" customHeight="false" outlineLevel="0" collapsed="false">
      <c r="A13" s="0" t="s">
        <v>1610</v>
      </c>
      <c r="B13" s="42" t="b">
        <f aca="false">ABS(Outlook_Aggressive!O103-(Outlook_Aggressive!O78-Outlook_Aggressive!O102))&lt;1</f>
        <v>1</v>
      </c>
    </row>
    <row r="14" customFormat="false" ht="15" hidden="false" customHeight="false" outlineLevel="0" collapsed="false">
      <c r="A14" s="0" t="s">
        <v>1611</v>
      </c>
      <c r="B14" s="42" t="b">
        <f aca="false">MAX(Plan10L_BaseRates!C43:N43)&lt;=1.0001</f>
        <v>1</v>
      </c>
    </row>
    <row r="15" customFormat="false" ht="15" hidden="false" customHeight="false" outlineLevel="0" collapsed="false">
      <c r="A15" s="0" t="s">
        <v>1612</v>
      </c>
      <c r="B15" s="42" t="b">
        <f aca="false">ABS(SUM(Plan10L_BaseRates!O56:O65)-Plan10L_BaseRates!O66)&lt;1</f>
        <v>1</v>
      </c>
    </row>
    <row r="16" customFormat="false" ht="15" hidden="false" customHeight="false" outlineLevel="0" collapsed="false">
      <c r="A16" s="0" t="s">
        <v>1613</v>
      </c>
      <c r="B16" s="42" t="b">
        <f aca="false">ABS(Plan10L_BaseRates!O103-(Plan10L_BaseRates!O78-Plan10L_BaseRates!O102))&lt;1</f>
        <v>1</v>
      </c>
    </row>
    <row r="17" customFormat="false" ht="15" hidden="false" customHeight="false" outlineLevel="0" collapsed="false">
      <c r="A17" s="0" t="s">
        <v>1614</v>
      </c>
      <c r="B17" s="42" t="b">
        <f aca="false">MAX(Plan50L_BaseRates!C43:N43)&lt;=1.0001</f>
        <v>1</v>
      </c>
    </row>
    <row r="18" customFormat="false" ht="15" hidden="false" customHeight="false" outlineLevel="0" collapsed="false">
      <c r="A18" s="0" t="s">
        <v>1615</v>
      </c>
      <c r="B18" s="42" t="b">
        <f aca="false">ABS(SUM(Plan50L_BaseRates!O56:O65)-Plan50L_BaseRates!O66)&lt;1</f>
        <v>1</v>
      </c>
    </row>
    <row r="19" customFormat="false" ht="15" hidden="false" customHeight="false" outlineLevel="0" collapsed="false">
      <c r="A19" s="0" t="s">
        <v>1616</v>
      </c>
      <c r="B19" s="42" t="b">
        <f aca="false">ABS(Plan50L_BaseRates!O103-(Plan50L_BaseRates!O78-Plan50L_BaseRates!O102))&lt;1</f>
        <v>1</v>
      </c>
    </row>
    <row r="20" customFormat="false" ht="15" hidden="false" customHeight="false" outlineLevel="0" collapsed="false">
      <c r="A20" s="0" t="s">
        <v>1617</v>
      </c>
      <c r="B20" s="42" t="b">
        <f aca="false">MAX(Staged_G1M9!C43:N43)&lt;=1.0001</f>
        <v>1</v>
      </c>
    </row>
    <row r="21" customFormat="false" ht="15" hidden="false" customHeight="false" outlineLevel="0" collapsed="false">
      <c r="A21" s="0" t="s">
        <v>1618</v>
      </c>
      <c r="B21" s="42" t="b">
        <f aca="false">ABS(SUM(Staged_G1M9!O56:O65)-Staged_G1M9!O66)&lt;1</f>
        <v>1</v>
      </c>
    </row>
    <row r="22" customFormat="false" ht="15" hidden="false" customHeight="false" outlineLevel="0" collapsed="false">
      <c r="A22" s="0" t="s">
        <v>1619</v>
      </c>
      <c r="B22" s="42" t="b">
        <f aca="false">ABS(Staged_G1M9!O103-(Staged_G1M9!O78-Staged_G1M9!O102))&lt;1</f>
        <v>1</v>
      </c>
    </row>
    <row r="23" customFormat="false" ht="15" hidden="false" customHeight="false" outlineLevel="0" collapsed="false">
      <c r="A23" s="0" t="s">
        <v>1620</v>
      </c>
      <c r="B23" s="42" t="b">
        <f aca="false">MAX(Staged_G1M6!C43:N43)&lt;=1.0001</f>
        <v>1</v>
      </c>
    </row>
    <row r="24" customFormat="false" ht="15" hidden="false" customHeight="false" outlineLevel="0" collapsed="false">
      <c r="A24" s="0" t="s">
        <v>1621</v>
      </c>
      <c r="B24" s="42" t="b">
        <f aca="false">ABS(SUM(Staged_G1M6!O56:O65)-Staged_G1M6!O66)&lt;1</f>
        <v>1</v>
      </c>
    </row>
    <row r="25" customFormat="false" ht="15" hidden="false" customHeight="false" outlineLevel="0" collapsed="false">
      <c r="A25" s="0" t="s">
        <v>1622</v>
      </c>
      <c r="B25" s="42" t="b">
        <f aca="false">ABS(Staged_G1M6!O103-(Staged_G1M6!O78-Staged_G1M6!O102))&lt;1</f>
        <v>1</v>
      </c>
    </row>
    <row r="26" customFormat="false" ht="15" hidden="false" customHeight="false" outlineLevel="0" collapsed="false">
      <c r="A26" s="0" t="s">
        <v>1623</v>
      </c>
      <c r="B26" s="42" t="b">
        <f aca="false">MAX(Staged_Cons!C43:N43)&lt;=1.0001</f>
        <v>1</v>
      </c>
    </row>
    <row r="27" customFormat="false" ht="15" hidden="false" customHeight="false" outlineLevel="0" collapsed="false">
      <c r="A27" s="0" t="s">
        <v>1624</v>
      </c>
      <c r="B27" s="42" t="b">
        <f aca="false">ABS(SUM(Staged_Cons!O56:O65)-Staged_Cons!O66)&lt;1</f>
        <v>1</v>
      </c>
    </row>
    <row r="28" customFormat="false" ht="15" hidden="false" customHeight="false" outlineLevel="0" collapsed="false">
      <c r="A28" s="0" t="s">
        <v>1625</v>
      </c>
      <c r="B28" s="42" t="b">
        <f aca="false">ABS(Staged_Cons!O103-(Staged_Cons!O78-Staged_Cons!O102))&lt;1</f>
        <v>1</v>
      </c>
    </row>
    <row r="29" customFormat="false" ht="15" hidden="false" customHeight="false" outlineLevel="0" collapsed="false">
      <c r="A29" s="0" t="s">
        <v>1626</v>
      </c>
      <c r="B29" s="42" t="b">
        <f aca="false">MAX(Staged_Cons_CutM5!C43:N43)&lt;=1.0001</f>
        <v>1</v>
      </c>
    </row>
    <row r="30" customFormat="false" ht="15" hidden="false" customHeight="false" outlineLevel="0" collapsed="false">
      <c r="A30" s="0" t="s">
        <v>1627</v>
      </c>
      <c r="B30" s="42" t="b">
        <f aca="false">ABS(SUM(Staged_Cons_CutM5!O56:O65)-Staged_Cons_CutM5!O66)&lt;1</f>
        <v>1</v>
      </c>
    </row>
    <row r="31" customFormat="false" ht="15" hidden="false" customHeight="false" outlineLevel="0" collapsed="false">
      <c r="A31" s="0" t="s">
        <v>1628</v>
      </c>
      <c r="B31" s="42" t="b">
        <f aca="false">ABS(Staged_Cons_CutM5!O103-(Staged_Cons_CutM5!O78-Staged_Cons_CutM5!O102))&lt;1</f>
        <v>1</v>
      </c>
    </row>
    <row r="32" customFormat="false" ht="15" hidden="false" customHeight="false" outlineLevel="0" collapsed="false">
      <c r="A32" s="0" t="s">
        <v>1629</v>
      </c>
      <c r="B32" s="42" t="b">
        <f aca="false">MAX(Staged_Cons_CutM5_Deep!C43:N43)&lt;=1.0001</f>
        <v>1</v>
      </c>
    </row>
    <row r="33" customFormat="false" ht="15" hidden="false" customHeight="false" outlineLevel="0" collapsed="false">
      <c r="A33" s="0" t="s">
        <v>1630</v>
      </c>
      <c r="B33" s="42" t="b">
        <f aca="false">ABS(SUM(Staged_Cons_CutM5_Deep!O56:O65)-Staged_Cons_CutM5_Deep!O66)&lt;1</f>
        <v>1</v>
      </c>
    </row>
    <row r="34" customFormat="false" ht="15" hidden="false" customHeight="false" outlineLevel="0" collapsed="false">
      <c r="A34" s="0" t="s">
        <v>1631</v>
      </c>
      <c r="B34" s="42" t="b">
        <f aca="false">ABS(Staged_Cons_CutM5_Deep!O103-(Staged_Cons_CutM5_Deep!O78-Staged_Cons_CutM5_Deep!O102))&lt;1</f>
        <v>1</v>
      </c>
    </row>
    <row r="35" customFormat="false" ht="15" hidden="false" customHeight="false" outlineLevel="0" collapsed="false">
      <c r="A35" s="0" t="s">
        <v>1632</v>
      </c>
      <c r="B35" s="42" t="b">
        <f aca="false">MAX(Staged_Cons_CutM10!C43:N43)&lt;=1.0001</f>
        <v>1</v>
      </c>
    </row>
    <row r="36" customFormat="false" ht="15" hidden="false" customHeight="false" outlineLevel="0" collapsed="false">
      <c r="A36" s="0" t="s">
        <v>1633</v>
      </c>
      <c r="B36" s="42" t="b">
        <f aca="false">ABS(SUM(Staged_Cons_CutM10!O56:O65)-Staged_Cons_CutM10!O66)&lt;1</f>
        <v>1</v>
      </c>
    </row>
    <row r="37" customFormat="false" ht="15" hidden="false" customHeight="false" outlineLevel="0" collapsed="false">
      <c r="A37" s="0" t="s">
        <v>1634</v>
      </c>
      <c r="B37" s="42" t="b">
        <f aca="false">ABS(Staged_Cons_CutM10!O103-(Staged_Cons_CutM10!O78-Staged_Cons_CutM10!O102))&lt;1</f>
        <v>1</v>
      </c>
    </row>
    <row r="38" customFormat="false" ht="15" hidden="false" customHeight="false" outlineLevel="0" collapsed="false">
      <c r="A38" s="0" t="s">
        <v>1635</v>
      </c>
      <c r="B38" s="42" t="b">
        <f aca="false">MAX(Staged_FalsePos!C43:N43)&lt;=1.0001</f>
        <v>1</v>
      </c>
    </row>
    <row r="39" customFormat="false" ht="15" hidden="false" customHeight="false" outlineLevel="0" collapsed="false">
      <c r="A39" s="0" t="s">
        <v>1636</v>
      </c>
      <c r="B39" s="42" t="b">
        <f aca="false">ABS(SUM(Staged_FalsePos!O56:O65)-Staged_FalsePos!O66)&lt;1</f>
        <v>1</v>
      </c>
    </row>
    <row r="40" customFormat="false" ht="15" hidden="false" customHeight="false" outlineLevel="0" collapsed="false">
      <c r="A40" s="0" t="s">
        <v>1637</v>
      </c>
      <c r="B40" s="42" t="b">
        <f aca="false">ABS(Staged_FalsePos!O103-(Staged_FalsePos!O78-Staged_FalsePos!O102))&lt;1</f>
        <v>1</v>
      </c>
    </row>
    <row r="41" customFormat="false" ht="15" hidden="false" customHeight="false" outlineLevel="0" collapsed="false">
      <c r="A41" s="0" t="s">
        <v>1638</v>
      </c>
      <c r="B41" s="42" t="b">
        <f aca="false">MAX(Staged_FalsePos_M6!C43:N43)&lt;=1.0001</f>
        <v>1</v>
      </c>
    </row>
    <row r="42" customFormat="false" ht="15" hidden="false" customHeight="false" outlineLevel="0" collapsed="false">
      <c r="A42" s="0" t="s">
        <v>1639</v>
      </c>
      <c r="B42" s="42" t="b">
        <f aca="false">ABS(SUM(Staged_FalsePos_M6!O56:O65)-Staged_FalsePos_M6!O66)&lt;1</f>
        <v>1</v>
      </c>
    </row>
    <row r="43" customFormat="false" ht="15" hidden="false" customHeight="false" outlineLevel="0" collapsed="false">
      <c r="A43" s="0" t="s">
        <v>1640</v>
      </c>
      <c r="B43" s="42" t="b">
        <f aca="false">ABS(Staged_FalsePos_M6!O103-(Staged_FalsePos_M6!O78-Staged_FalsePos_M6!O102))&lt;1</f>
        <v>1</v>
      </c>
    </row>
    <row r="44" customFormat="false" ht="15" hidden="false" customHeight="false" outlineLevel="0" collapsed="false">
      <c r="A44" s="0" t="s">
        <v>1641</v>
      </c>
      <c r="B44" s="42" t="b">
        <f aca="false">MAX(Base_TwoStep!C43:N43)&lt;=1.0001</f>
        <v>1</v>
      </c>
    </row>
    <row r="45" customFormat="false" ht="15" hidden="false" customHeight="false" outlineLevel="0" collapsed="false">
      <c r="A45" s="0" t="s">
        <v>1642</v>
      </c>
      <c r="B45" s="42" t="b">
        <f aca="false">ABS(SUM(Base_TwoStep!O56:O65)-Base_TwoStep!O66)&lt;1</f>
        <v>1</v>
      </c>
    </row>
    <row r="46" customFormat="false" ht="15" hidden="false" customHeight="false" outlineLevel="0" collapsed="false">
      <c r="A46" s="0" t="s">
        <v>1643</v>
      </c>
      <c r="B46" s="42" t="b">
        <f aca="false">ABS(Base_TwoStep!O103-(Base_TwoStep!O78-Base_TwoStep!O102))&lt;1</f>
        <v>1</v>
      </c>
    </row>
    <row r="47" customFormat="false" ht="15" hidden="false" customHeight="false" outlineLevel="0" collapsed="false">
      <c r="A47" s="0" t="s">
        <v>1644</v>
      </c>
      <c r="B47" s="42" t="b">
        <f aca="false">MAX(Conservative_TwoStep!C43:N43)&lt;=1.0001</f>
        <v>1</v>
      </c>
    </row>
    <row r="48" customFormat="false" ht="15" hidden="false" customHeight="false" outlineLevel="0" collapsed="false">
      <c r="A48" s="0" t="s">
        <v>1645</v>
      </c>
      <c r="B48" s="42" t="b">
        <f aca="false">ABS(SUM(Conservative_TwoStep!O56:O65)-Conservative_TwoStep!O66)&lt;1</f>
        <v>1</v>
      </c>
    </row>
    <row r="49" customFormat="false" ht="15" hidden="false" customHeight="false" outlineLevel="0" collapsed="false">
      <c r="A49" s="0" t="s">
        <v>1646</v>
      </c>
      <c r="B49" s="42" t="b">
        <f aca="false">ABS(Conservative_TwoStep!O103-(Conservative_TwoStep!O78-Conservative_TwoStep!O102))&lt;1</f>
        <v>1</v>
      </c>
    </row>
    <row r="50" customFormat="false" ht="15" hidden="false" customHeight="false" outlineLevel="0" collapsed="false">
      <c r="A50" s="0" t="s">
        <v>1647</v>
      </c>
      <c r="B50" s="42" t="b">
        <f aca="false">MAX(Base_Founder40!C43:N43)&lt;=1.0001</f>
        <v>1</v>
      </c>
    </row>
    <row r="51" customFormat="false" ht="15" hidden="false" customHeight="false" outlineLevel="0" collapsed="false">
      <c r="A51" s="0" t="s">
        <v>1648</v>
      </c>
      <c r="B51" s="42" t="b">
        <f aca="false">ABS(SUM(Base_Founder40!O56:O65)-Base_Founder40!O66)&lt;1</f>
        <v>1</v>
      </c>
    </row>
    <row r="52" customFormat="false" ht="15" hidden="false" customHeight="false" outlineLevel="0" collapsed="false">
      <c r="A52" s="0" t="s">
        <v>1649</v>
      </c>
      <c r="B52" s="42" t="b">
        <f aca="false">ABS(Base_Founder40!O103-(Base_Founder40!O78-Base_Founder40!O102))&lt;1</f>
        <v>1</v>
      </c>
    </row>
    <row r="53" customFormat="false" ht="15" hidden="false" customHeight="false" outlineLevel="0" collapsed="false">
      <c r="A53" s="0" t="s">
        <v>1650</v>
      </c>
      <c r="B53" s="42" t="b">
        <f aca="false">MAX(Outlook_Selected!C43:N43)&lt;=1.0001</f>
        <v>1</v>
      </c>
    </row>
    <row r="54" customFormat="false" ht="15" hidden="false" customHeight="false" outlineLevel="0" collapsed="false">
      <c r="A54" s="0" t="s">
        <v>1651</v>
      </c>
      <c r="B54" s="42" t="b">
        <f aca="false">ABS(SUM(Outlook_Selected!O56:O65)-Outlook_Selected!O66)&lt;1</f>
        <v>1</v>
      </c>
    </row>
    <row r="55" customFormat="false" ht="15" hidden="false" customHeight="false" outlineLevel="0" collapsed="false">
      <c r="A55" s="0" t="s">
        <v>1652</v>
      </c>
      <c r="B55" s="42" t="b">
        <f aca="false">ABS(Outlook_Selected!O103-(Outlook_Selected!O78-Outlook_Selected!O102))&lt;1</f>
        <v>1</v>
      </c>
    </row>
    <row r="56" customFormat="false" ht="15" hidden="false" customHeight="false" outlineLevel="0" collapsed="false">
      <c r="A56" s="0" t="s">
        <v>1653</v>
      </c>
      <c r="B56" s="42" t="b">
        <f aca="false">ABS(3yr_Scenarios!B70)&lt;0.001</f>
        <v>1</v>
      </c>
    </row>
    <row r="57" customFormat="false" ht="15" hidden="false" customHeight="false" outlineLevel="0" collapsed="false">
      <c r="A57" s="0" t="s">
        <v>1654</v>
      </c>
      <c r="B57" s="42" t="b">
        <f aca="false">ABS(3yr_Scenarios!C70)&lt;0.001</f>
        <v>1</v>
      </c>
    </row>
    <row r="58" customFormat="false" ht="15" hidden="false" customHeight="false" outlineLevel="0" collapsed="false">
      <c r="A58" s="0" t="s">
        <v>1655</v>
      </c>
      <c r="B58" s="42" t="b">
        <f aca="false">ABS(3yr_Scenarios!D70)&lt;0.001</f>
        <v>1</v>
      </c>
    </row>
    <row r="59" customFormat="false" ht="15" hidden="false" customHeight="false" outlineLevel="0" collapsed="false">
      <c r="A59" s="0" t="s">
        <v>1656</v>
      </c>
      <c r="B59" s="42" t="b">
        <f aca="false">ABS(3yr_Scenarios!E70)&lt;0.001</f>
        <v>1</v>
      </c>
    </row>
    <row r="60" customFormat="false" ht="15" hidden="false" customHeight="false" outlineLevel="0" collapsed="false">
      <c r="A60" s="0" t="s">
        <v>1657</v>
      </c>
      <c r="B60" s="42" t="b">
        <f aca="false">ABS(3yr_Scenarios!F70)&lt;0.001</f>
        <v>1</v>
      </c>
    </row>
    <row r="61" customFormat="false" ht="15" hidden="false" customHeight="false" outlineLevel="0" collapsed="false">
      <c r="A61" s="0" t="s">
        <v>1658</v>
      </c>
      <c r="B61" s="42" t="b">
        <f aca="false">ABS(3yr_Scenarios!G70)&lt;0.001</f>
        <v>1</v>
      </c>
    </row>
    <row r="62" customFormat="false" ht="15" hidden="false" customHeight="false" outlineLevel="0" collapsed="false">
      <c r="A62" s="0" t="s">
        <v>1659</v>
      </c>
      <c r="B62" s="42" t="b">
        <f aca="false">ABS(3yr_Scenarios!H70)&lt;0.001</f>
        <v>1</v>
      </c>
    </row>
    <row r="63" customFormat="false" ht="15" hidden="false" customHeight="false" outlineLevel="0" collapsed="false">
      <c r="A63" s="0" t="s">
        <v>1660</v>
      </c>
      <c r="B63" s="42" t="b">
        <f aca="false">ABS(3yr_Scenarios!I70)&lt;0.001</f>
        <v>1</v>
      </c>
    </row>
    <row r="64" customFormat="false" ht="15" hidden="false" customHeight="false" outlineLevel="0" collapsed="false">
      <c r="A64" s="0" t="s">
        <v>1661</v>
      </c>
      <c r="B64" s="42" t="b">
        <f aca="false">ABS(3yr_Scenarios!J70)&lt;0.001</f>
        <v>1</v>
      </c>
    </row>
    <row r="65" customFormat="false" ht="15" hidden="false" customHeight="false" outlineLevel="0" collapsed="false">
      <c r="A65" s="0" t="s">
        <v>1662</v>
      </c>
      <c r="B65" s="42" t="b">
        <f aca="false">ABS(3yr_Scenarios!K70)&lt;0.001</f>
        <v>1</v>
      </c>
    </row>
    <row r="66" customFormat="false" ht="15" hidden="false" customHeight="false" outlineLevel="0" collapsed="false">
      <c r="A66" s="0" t="s">
        <v>1663</v>
      </c>
      <c r="B66" s="42" t="b">
        <f aca="false">ABS(3yr_Scenarios!L70)&lt;0.001</f>
        <v>1</v>
      </c>
    </row>
    <row r="67" customFormat="false" ht="15" hidden="false" customHeight="false" outlineLevel="0" collapsed="false">
      <c r="A67" s="0" t="s">
        <v>1664</v>
      </c>
      <c r="B67" s="42" t="b">
        <f aca="false">ABS(3yr_Scenarios!M70)&lt;0.001</f>
        <v>1</v>
      </c>
    </row>
    <row r="68" customFormat="false" ht="15" hidden="false" customHeight="false" outlineLevel="0" collapsed="false">
      <c r="A68" s="0" t="s">
        <v>1665</v>
      </c>
      <c r="B68" s="42" t="b">
        <f aca="false">ABS(3yr_Scenarios!N70)&lt;0.001</f>
        <v>1</v>
      </c>
    </row>
    <row r="69" customFormat="false" ht="15" hidden="false" customHeight="false" outlineLevel="0" collapsed="false">
      <c r="A69" s="0" t="s">
        <v>1666</v>
      </c>
      <c r="B69" s="42" t="b">
        <f aca="false">ABS(3yr_Scenarios!O70)&lt;0.001</f>
        <v>1</v>
      </c>
    </row>
    <row r="70" customFormat="false" ht="15" hidden="false" customHeight="false" outlineLevel="0" collapsed="false">
      <c r="A70" s="0" t="s">
        <v>1667</v>
      </c>
      <c r="B70" s="42" t="b">
        <f aca="false">ABS(3yr_Scenarios!P70)&lt;0.001</f>
        <v>1</v>
      </c>
    </row>
    <row r="71" customFormat="false" ht="15" hidden="false" customHeight="false" outlineLevel="0" collapsed="false">
      <c r="A71" s="0" t="s">
        <v>1668</v>
      </c>
      <c r="B71" s="42" t="b">
        <f aca="false">ABS(3yr_Scenarios!Q70)&lt;0.001</f>
        <v>1</v>
      </c>
    </row>
    <row r="72" customFormat="false" ht="15" hidden="false" customHeight="false" outlineLevel="0" collapsed="false">
      <c r="A72" s="0" t="s">
        <v>1669</v>
      </c>
      <c r="B72" s="42" t="b">
        <f aca="false">ABS(3yr_Scenarios!R70)&lt;0.001</f>
        <v>1</v>
      </c>
    </row>
    <row r="73" customFormat="false" ht="15" hidden="false" customHeight="false" outlineLevel="0" collapsed="false">
      <c r="A73" s="0" t="s">
        <v>1670</v>
      </c>
      <c r="B73" s="42" t="b">
        <f aca="false">ABS(3yr_Scenarios!S70)&lt;0.001</f>
        <v>1</v>
      </c>
    </row>
    <row r="74" customFormat="false" ht="15" hidden="false" customHeight="false" outlineLevel="0" collapsed="false">
      <c r="A74" s="0" t="s">
        <v>1671</v>
      </c>
      <c r="B74" s="42" t="b">
        <f aca="false">ABS(3yr_Scenarios!T70)&lt;0.001</f>
        <v>1</v>
      </c>
    </row>
    <row r="75" customFormat="false" ht="15" hidden="false" customHeight="false" outlineLevel="0" collapsed="false">
      <c r="A75" s="0" t="s">
        <v>1672</v>
      </c>
      <c r="B75" s="42" t="b">
        <f aca="false">ABS(3yr_Scenarios!U70)&lt;0.001</f>
        <v>1</v>
      </c>
    </row>
    <row r="76" customFormat="false" ht="15" hidden="false" customHeight="false" outlineLevel="0" collapsed="false">
      <c r="A76" s="0" t="s">
        <v>1673</v>
      </c>
      <c r="B76" s="42" t="b">
        <f aca="false">ABS(3yr_Scenarios!V70)&lt;0.001</f>
        <v>1</v>
      </c>
    </row>
    <row r="77" customFormat="false" ht="15" hidden="false" customHeight="false" outlineLevel="0" collapsed="false">
      <c r="A77" s="0" t="s">
        <v>1674</v>
      </c>
      <c r="B77" s="42" t="b">
        <f aca="false">ABS(3yr_Scenarios!W70)&lt;0.001</f>
        <v>1</v>
      </c>
    </row>
    <row r="78" customFormat="false" ht="15" hidden="false" customHeight="false" outlineLevel="0" collapsed="false">
      <c r="A78" s="0" t="s">
        <v>1675</v>
      </c>
      <c r="B78" s="42" t="b">
        <f aca="false">ABS(3yr_Scenarios!X70)&lt;0.001</f>
        <v>1</v>
      </c>
    </row>
    <row r="79" customFormat="false" ht="15" hidden="false" customHeight="false" outlineLevel="0" collapsed="false">
      <c r="A79" s="0" t="s">
        <v>1676</v>
      </c>
      <c r="B79" s="42" t="b">
        <f aca="false">ABS(3yr_Scenarios!Y70)&lt;0.001</f>
        <v>1</v>
      </c>
    </row>
    <row r="80" customFormat="false" ht="15" hidden="false" customHeight="false" outlineLevel="0" collapsed="false">
      <c r="A80" s="0" t="s">
        <v>1677</v>
      </c>
      <c r="B80" s="42" t="b">
        <f aca="false">ABS(3yr_Scenarios!Z70)&lt;0.001</f>
        <v>1</v>
      </c>
    </row>
    <row r="81" customFormat="false" ht="15" hidden="false" customHeight="false" outlineLevel="0" collapsed="false">
      <c r="A81" s="0" t="s">
        <v>1678</v>
      </c>
      <c r="B81" s="42" t="b">
        <f aca="false">ABS(3yr_Scenarios!AA70)&lt;0.001</f>
        <v>1</v>
      </c>
    </row>
    <row r="82" customFormat="false" ht="15" hidden="false" customHeight="false" outlineLevel="0" collapsed="false">
      <c r="A82" s="0" t="s">
        <v>1679</v>
      </c>
      <c r="B82" s="42" t="b">
        <f aca="false">ABS(3yr_Scenarios!AB70)&lt;0.001</f>
        <v>1</v>
      </c>
    </row>
    <row r="83" customFormat="false" ht="15" hidden="false" customHeight="false" outlineLevel="0" collapsed="false">
      <c r="A83" s="0" t="s">
        <v>1680</v>
      </c>
      <c r="B83" s="42" t="b">
        <f aca="false">IF(AND(Assumptions!$C$3="Base",Assumptions!$D$5=0,Assumptions!$H$5=1,Assumptions!$J$5=1,Assumptions!$L$5=0,Assumptions!$N$5=99,Assumptions!$P$5=0),ABS(Outlook_Selected!O103-Outlook_Base!O103)&lt;1,TRUE())</f>
        <v>1</v>
      </c>
    </row>
    <row r="84" customFormat="false" ht="15" hidden="false" customHeight="false" outlineLevel="0" collapsed="false">
      <c r="A84" s="0" t="s">
        <v>1681</v>
      </c>
      <c r="B84" s="42" t="b">
        <f aca="false">ABS(Outlook_Base!N21-Assumptions!$D$25*(Assumptions!$D$27+Assumptions!$D$28+Assumptions!$D$31))&lt;0.01</f>
        <v>1</v>
      </c>
    </row>
    <row r="85" customFormat="false" ht="15" hidden="false" customHeight="false" outlineLevel="0" collapsed="false">
      <c r="A85" s="0" t="s">
        <v>1682</v>
      </c>
      <c r="B85" s="42" t="b">
        <f aca="false">ABS(3yr_Scenarios!B51*100000-Outlook_Conservative!O103)&lt;1</f>
        <v>1</v>
      </c>
    </row>
    <row r="86" customFormat="false" ht="15" hidden="false" customHeight="false" outlineLevel="0" collapsed="false">
      <c r="A86" s="0" t="s">
        <v>1683</v>
      </c>
      <c r="B86" s="42" t="b">
        <f aca="false">ABS(3yr_Scenarios!E51*100000-Outlook_Base!O103)&lt;1</f>
        <v>1</v>
      </c>
    </row>
    <row r="87" customFormat="false" ht="15" hidden="false" customHeight="false" outlineLevel="0" collapsed="false">
      <c r="A87" s="0" t="s">
        <v>1684</v>
      </c>
      <c r="B87" s="42" t="b">
        <f aca="false">ABS(3yr_Scenarios!H51*100000-Outlook_Aggressive!O103)&lt;1</f>
        <v>1</v>
      </c>
    </row>
    <row r="88" customFormat="false" ht="15" hidden="false" customHeight="false" outlineLevel="0" collapsed="false">
      <c r="A88" s="0" t="s">
        <v>1685</v>
      </c>
      <c r="B88" s="42" t="b">
        <f aca="false">ABS(3yr_Scenarios!K51*100000-Staged_G1M6!O103)&lt;1</f>
        <v>1</v>
      </c>
    </row>
    <row r="89" customFormat="false" ht="15" hidden="false" customHeight="false" outlineLevel="0" collapsed="false">
      <c r="A89" s="0" t="s">
        <v>1686</v>
      </c>
      <c r="B89" s="42" t="b">
        <f aca="false">ABS(3yr_Scenarios!N51*100000-Staged_G1M9!O103)&lt;1</f>
        <v>1</v>
      </c>
    </row>
    <row r="90" customFormat="false" ht="15" hidden="false" customHeight="false" outlineLevel="0" collapsed="false">
      <c r="A90" s="0" t="s">
        <v>1687</v>
      </c>
      <c r="B90" s="42" t="b">
        <f aca="false">ABS(3yr_Scenarios!Q51*100000-Staged_G1M9!O103)&lt;1</f>
        <v>1</v>
      </c>
    </row>
    <row r="91" customFormat="false" ht="15" hidden="false" customHeight="false" outlineLevel="0" collapsed="false">
      <c r="A91" s="0" t="s">
        <v>1688</v>
      </c>
      <c r="B91" s="42" t="b">
        <f aca="false">ABS(3yr_Scenarios!T51*100000-Staged_G1M9!O103)&lt;1</f>
        <v>1</v>
      </c>
    </row>
    <row r="92" customFormat="false" ht="15" hidden="false" customHeight="false" outlineLevel="0" collapsed="false">
      <c r="A92" s="0" t="s">
        <v>1689</v>
      </c>
      <c r="B92" s="42" t="b">
        <f aca="false">ABS(3yr_Scenarios!W51*100000-Staged_G1M9!O103)&lt;1</f>
        <v>1</v>
      </c>
    </row>
    <row r="93" customFormat="false" ht="15" hidden="false" customHeight="false" outlineLevel="0" collapsed="false">
      <c r="A93" s="0" t="s">
        <v>1690</v>
      </c>
      <c r="B93" s="42" t="b">
        <f aca="false">ABS(3yr_Scenarios!Z51*100000-Staged_G1M9!O103)&lt;1</f>
        <v>1</v>
      </c>
    </row>
    <row r="94" customFormat="false" ht="15" hidden="false" customHeight="false" outlineLevel="0" collapsed="false">
      <c r="A94" s="0" t="s">
        <v>1691</v>
      </c>
      <c r="B94" s="42" t="b">
        <f aca="false">ABS(Staged_G1M9!O97-700000)&lt;1</f>
        <v>1</v>
      </c>
    </row>
    <row r="95" customFormat="false" ht="15" hidden="false" customHeight="false" outlineLevel="0" collapsed="false">
      <c r="A95" s="0" t="s">
        <v>1692</v>
      </c>
      <c r="B95" s="42" t="b">
        <f aca="false">ABS(Staged_G1M6!O97-820000)&lt;1</f>
        <v>1</v>
      </c>
    </row>
    <row r="96" customFormat="false" ht="15" hidden="false" customHeight="false" outlineLevel="0" collapsed="false">
      <c r="A96" s="0" t="s">
        <v>1693</v>
      </c>
      <c r="B96" s="42" t="b">
        <f aca="false">AND(Flex_fee_lo!Q3=Staged_G1M9!Q3,Flex_fee_lo!Q4=Staged_G1M9!Q4,Flex_fee_lo!S3=Staged_G1M9!S3,Flex_fee_lo!S4=Staged_G1M9!S4)</f>
        <v>1</v>
      </c>
    </row>
    <row r="97" customFormat="false" ht="15" hidden="false" customHeight="false" outlineLevel="0" collapsed="false">
      <c r="A97" s="0" t="s">
        <v>1694</v>
      </c>
      <c r="B97" s="42" t="b">
        <f aca="false">ABS(Payback_IRR!D33-Staged_G1M9!N115)&lt;1</f>
        <v>1</v>
      </c>
    </row>
    <row r="98" customFormat="false" ht="15" hidden="false" customHeight="false" outlineLevel="0" collapsed="false">
      <c r="A98" s="0" t="s">
        <v>1695</v>
      </c>
      <c r="B98" s="42" t="b">
        <f aca="false">ABS(SUM(Dashboard!B77:B82)-Dashboard!B83)&lt;0.001</f>
        <v>1</v>
      </c>
    </row>
    <row r="100" customFormat="false" ht="15" hidden="false" customHeight="false" outlineLevel="0" collapsed="false">
      <c r="A100" s="3" t="s">
        <v>1696</v>
      </c>
      <c r="B100" s="42" t="b">
        <f aca="false">AND(B5:B98)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2026-10-16T05:40:07Z</dcterms:created>
  <dc:creator>openpyxl</dc:creator>
  <dc:description/>
  <dc:language>en-US</dc:language>
  <cp:lastModifiedBy/>
  <dcterms:modified xsi:type="dcterms:W3CDTF">2026-10-16T05:40:08Z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