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ubuffalo-my.sharepoint.com/personal/rsaini6_buffalo_edu/Documents/"/>
    </mc:Choice>
  </mc:AlternateContent>
  <xr:revisionPtr revIDLastSave="0" documentId="8_{523344E1-6912-4E5C-BA13-99BBC252EE3C}" xr6:coauthVersionLast="47" xr6:coauthVersionMax="47" xr10:uidLastSave="{00000000-0000-0000-0000-000000000000}"/>
  <bookViews>
    <workbookView xWindow="1040" yWindow="2560" windowWidth="29400" windowHeight="15340" firstSheet="7" activeTab="7" xr2:uid="{00000000-000D-0000-FFFF-FFFF00000000}"/>
  </bookViews>
  <sheets>
    <sheet name="Target Price" sheetId="8" r:id="rId1"/>
    <sheet name="Forecasted Income Statement &amp;BS" sheetId="1" r:id="rId2"/>
    <sheet name="DCF Valuation" sheetId="2" r:id="rId3"/>
    <sheet name="Financial Analysis" sheetId="5" r:id="rId4"/>
    <sheet name="Exit Multiple" sheetId="6" r:id="rId5"/>
    <sheet name="WACC" sheetId="3" r:id="rId6"/>
    <sheet name="DDM" sheetId="4" r:id="rId7"/>
    <sheet name="Sensitivity Analysis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6" l="1"/>
  <c r="C25" i="6"/>
  <c r="D43" i="2"/>
  <c r="B12" i="6"/>
  <c r="C27" i="2"/>
  <c r="D28" i="2"/>
  <c r="D42" i="2"/>
  <c r="E43" i="2"/>
  <c r="F43" i="2"/>
  <c r="G43" i="2"/>
  <c r="H43" i="2"/>
  <c r="H32" i="4"/>
  <c r="B20" i="6"/>
  <c r="G26" i="6" s="1"/>
  <c r="G27" i="6" s="1"/>
  <c r="G28" i="6" s="1"/>
  <c r="I5" i="6"/>
  <c r="B31" i="4"/>
  <c r="K28" i="5"/>
  <c r="J28" i="5"/>
  <c r="I28" i="5"/>
  <c r="G28" i="5"/>
  <c r="H28" i="5"/>
  <c r="C17" i="5"/>
  <c r="D17" i="5"/>
  <c r="E17" i="5"/>
  <c r="F17" i="5"/>
  <c r="B17" i="5"/>
  <c r="D20" i="5"/>
  <c r="F19" i="5"/>
  <c r="D19" i="5"/>
  <c r="E19" i="5"/>
  <c r="C19" i="5"/>
  <c r="B19" i="5"/>
  <c r="F20" i="5"/>
  <c r="E20" i="5"/>
  <c r="C20" i="5"/>
  <c r="B20" i="5"/>
  <c r="B10" i="5"/>
  <c r="G29" i="5"/>
  <c r="H29" i="5" s="1"/>
  <c r="I29" i="5" s="1"/>
  <c r="J29" i="5" s="1"/>
  <c r="K29" i="5" s="1"/>
  <c r="F75" i="1"/>
  <c r="B5" i="7"/>
  <c r="F8" i="5"/>
  <c r="F13" i="1"/>
  <c r="B6" i="7"/>
  <c r="F21" i="1"/>
  <c r="C34" i="5"/>
  <c r="D34" i="5"/>
  <c r="E34" i="5"/>
  <c r="E36" i="5" s="1"/>
  <c r="E37" i="5" s="1"/>
  <c r="F34" i="5"/>
  <c r="F36" i="5" s="1"/>
  <c r="F37" i="5" s="1"/>
  <c r="B34" i="5"/>
  <c r="D36" i="5"/>
  <c r="D37" i="5" s="1"/>
  <c r="B36" i="5"/>
  <c r="B37" i="5" s="1"/>
  <c r="C36" i="5"/>
  <c r="C37" i="5" s="1"/>
  <c r="H25" i="5"/>
  <c r="I25" i="5"/>
  <c r="J25" i="5"/>
  <c r="K25" i="5"/>
  <c r="G25" i="5"/>
  <c r="C25" i="5"/>
  <c r="D25" i="5"/>
  <c r="E25" i="5"/>
  <c r="F25" i="5"/>
  <c r="B25" i="5"/>
  <c r="C26" i="5"/>
  <c r="D26" i="5"/>
  <c r="E26" i="5"/>
  <c r="F26" i="5"/>
  <c r="B26" i="5"/>
  <c r="C24" i="5"/>
  <c r="D24" i="5"/>
  <c r="E24" i="5"/>
  <c r="F24" i="5"/>
  <c r="B24" i="5"/>
  <c r="G6" i="4"/>
  <c r="L13" i="4"/>
  <c r="G13" i="4"/>
  <c r="C22" i="5"/>
  <c r="D22" i="5"/>
  <c r="E22" i="5"/>
  <c r="F22" i="5"/>
  <c r="B22" i="5"/>
  <c r="C21" i="5"/>
  <c r="D21" i="5"/>
  <c r="E21" i="5"/>
  <c r="F21" i="5"/>
  <c r="B21" i="5"/>
  <c r="G58" i="1"/>
  <c r="B4" i="7"/>
  <c r="B27" i="7" s="1"/>
  <c r="B2" i="7"/>
  <c r="F25" i="7" s="1"/>
  <c r="E25" i="7" s="1"/>
  <c r="D25" i="7" s="1"/>
  <c r="C25" i="7" s="1"/>
  <c r="B1" i="7"/>
  <c r="B14" i="7" s="1"/>
  <c r="C11" i="5"/>
  <c r="D11" i="5"/>
  <c r="E11" i="5"/>
  <c r="F11" i="5"/>
  <c r="B11" i="5"/>
  <c r="G6" i="5"/>
  <c r="C10" i="5"/>
  <c r="D10" i="5"/>
  <c r="E10" i="5"/>
  <c r="F10" i="5"/>
  <c r="C9" i="5"/>
  <c r="D9" i="5"/>
  <c r="E9" i="5"/>
  <c r="F9" i="5"/>
  <c r="B9" i="5"/>
  <c r="C8" i="5"/>
  <c r="D8" i="5"/>
  <c r="E8" i="5"/>
  <c r="B8" i="5"/>
  <c r="C7" i="5"/>
  <c r="D7" i="5"/>
  <c r="E7" i="5"/>
  <c r="F7" i="5"/>
  <c r="G7" i="5"/>
  <c r="H7" i="5"/>
  <c r="I7" i="5"/>
  <c r="J7" i="5"/>
  <c r="K7" i="5"/>
  <c r="B7" i="5"/>
  <c r="C6" i="5"/>
  <c r="D6" i="5"/>
  <c r="E6" i="5"/>
  <c r="F6" i="5"/>
  <c r="H6" i="5"/>
  <c r="I6" i="5"/>
  <c r="J6" i="5"/>
  <c r="K6" i="5"/>
  <c r="B6" i="5"/>
  <c r="H6" i="4"/>
  <c r="B16" i="6"/>
  <c r="H5" i="6"/>
  <c r="B13" i="4"/>
  <c r="C13" i="4"/>
  <c r="D13" i="4"/>
  <c r="E13" i="4"/>
  <c r="F13" i="4"/>
  <c r="H13" i="4"/>
  <c r="I13" i="4"/>
  <c r="J13" i="4"/>
  <c r="K13" i="4"/>
  <c r="D6" i="4"/>
  <c r="E6" i="4"/>
  <c r="F6" i="4"/>
  <c r="I6" i="4"/>
  <c r="J6" i="4"/>
  <c r="K6" i="4"/>
  <c r="C6" i="4"/>
  <c r="L6" i="4" s="1"/>
  <c r="C30" i="4" s="1"/>
  <c r="C79" i="1"/>
  <c r="B52" i="2"/>
  <c r="C40" i="2"/>
  <c r="C41" i="2" s="1"/>
  <c r="G79" i="1"/>
  <c r="B34" i="2" s="1"/>
  <c r="D79" i="1"/>
  <c r="E79" i="1"/>
  <c r="F79" i="1"/>
  <c r="B79" i="1"/>
  <c r="H25" i="2"/>
  <c r="K23" i="1" s="1"/>
  <c r="B10" i="6" s="1"/>
  <c r="D25" i="2"/>
  <c r="G23" i="1" s="1"/>
  <c r="B27" i="3"/>
  <c r="B26" i="3"/>
  <c r="B15" i="2"/>
  <c r="C33" i="2"/>
  <c r="B50" i="2" s="1"/>
  <c r="C35" i="2"/>
  <c r="C34" i="2"/>
  <c r="C25" i="2"/>
  <c r="C26" i="2"/>
  <c r="D23" i="2" s="1"/>
  <c r="C23" i="2"/>
  <c r="B25" i="2"/>
  <c r="E25" i="2" s="1"/>
  <c r="H23" i="1" s="1"/>
  <c r="G78" i="1"/>
  <c r="G75" i="1"/>
  <c r="B24" i="2" s="1"/>
  <c r="C75" i="1"/>
  <c r="D75" i="1"/>
  <c r="E75" i="1"/>
  <c r="B75" i="1"/>
  <c r="B20" i="3"/>
  <c r="B18" i="3"/>
  <c r="B17" i="3"/>
  <c r="B19" i="3" s="1"/>
  <c r="B14" i="3"/>
  <c r="B23" i="3" s="1"/>
  <c r="B8" i="3"/>
  <c r="B62" i="1"/>
  <c r="G51" i="1"/>
  <c r="G53" i="1"/>
  <c r="G54" i="1"/>
  <c r="G55" i="1"/>
  <c r="G56" i="1"/>
  <c r="G57" i="1"/>
  <c r="G59" i="1"/>
  <c r="G50" i="1"/>
  <c r="G42" i="1"/>
  <c r="G43" i="1"/>
  <c r="G44" i="1"/>
  <c r="G45" i="1"/>
  <c r="G46" i="1"/>
  <c r="G47" i="1"/>
  <c r="G41" i="1"/>
  <c r="F67" i="1"/>
  <c r="E67" i="1"/>
  <c r="D67" i="1"/>
  <c r="C67" i="1"/>
  <c r="B67" i="1"/>
  <c r="F55" i="1"/>
  <c r="E55" i="1"/>
  <c r="D55" i="1"/>
  <c r="C55" i="1"/>
  <c r="B55" i="1"/>
  <c r="F51" i="1"/>
  <c r="E51" i="1"/>
  <c r="D51" i="1"/>
  <c r="C51" i="1"/>
  <c r="B51" i="1"/>
  <c r="F45" i="1"/>
  <c r="F46" i="1" s="1"/>
  <c r="F63" i="1" s="1"/>
  <c r="E45" i="1"/>
  <c r="E46" i="1" s="1"/>
  <c r="E63" i="1" s="1"/>
  <c r="D45" i="1"/>
  <c r="D46" i="1" s="1"/>
  <c r="D63" i="1" s="1"/>
  <c r="C45" i="1"/>
  <c r="C46" i="1" s="1"/>
  <c r="C63" i="1" s="1"/>
  <c r="B45" i="1"/>
  <c r="B46" i="1" s="1"/>
  <c r="B63" i="1" s="1"/>
  <c r="H11" i="1"/>
  <c r="I59" i="1" s="1"/>
  <c r="I11" i="1"/>
  <c r="J11" i="1"/>
  <c r="K11" i="1"/>
  <c r="G11" i="1"/>
  <c r="H59" i="1" s="1"/>
  <c r="J59" i="1" s="1"/>
  <c r="L59" i="1" s="1"/>
  <c r="C28" i="1"/>
  <c r="D28" i="1"/>
  <c r="E28" i="1"/>
  <c r="F28" i="1"/>
  <c r="B28" i="1"/>
  <c r="F24" i="1"/>
  <c r="C24" i="1"/>
  <c r="D24" i="1"/>
  <c r="E24" i="1"/>
  <c r="B24" i="1"/>
  <c r="F20" i="1"/>
  <c r="C20" i="1"/>
  <c r="D20" i="1"/>
  <c r="E20" i="1"/>
  <c r="B20" i="1"/>
  <c r="D16" i="1"/>
  <c r="E16" i="1"/>
  <c r="F16" i="1"/>
  <c r="C16" i="1"/>
  <c r="B16" i="1"/>
  <c r="E13" i="1"/>
  <c r="E17" i="1" s="1"/>
  <c r="E21" i="1" s="1"/>
  <c r="E25" i="1" s="1"/>
  <c r="E31" i="1" s="1"/>
  <c r="E35" i="1" s="1"/>
  <c r="F17" i="1"/>
  <c r="F25" i="1" s="1"/>
  <c r="F31" i="1" s="1"/>
  <c r="F35" i="1" s="1"/>
  <c r="D13" i="1"/>
  <c r="D17" i="1" s="1"/>
  <c r="D21" i="1" s="1"/>
  <c r="D25" i="1" s="1"/>
  <c r="D31" i="1" s="1"/>
  <c r="D35" i="1" s="1"/>
  <c r="C13" i="1"/>
  <c r="C17" i="1" s="1"/>
  <c r="C21" i="1" s="1"/>
  <c r="C25" i="1" s="1"/>
  <c r="C31" i="1" s="1"/>
  <c r="C35" i="1" s="1"/>
  <c r="B13" i="1"/>
  <c r="B17" i="1" s="1"/>
  <c r="B21" i="1" s="1"/>
  <c r="B25" i="1" s="1"/>
  <c r="B31" i="1" s="1"/>
  <c r="B35" i="1" s="1"/>
  <c r="G10" i="1"/>
  <c r="D11" i="1"/>
  <c r="E11" i="1"/>
  <c r="F11" i="1"/>
  <c r="C11" i="1"/>
  <c r="K59" i="1" l="1"/>
  <c r="C24" i="2"/>
  <c r="C43" i="2"/>
  <c r="C45" i="2" s="1"/>
  <c r="H41" i="1"/>
  <c r="H44" i="1"/>
  <c r="H46" i="1"/>
  <c r="H50" i="1"/>
  <c r="H53" i="1"/>
  <c r="H55" i="1"/>
  <c r="H57" i="1"/>
  <c r="G29" i="1"/>
  <c r="H43" i="1"/>
  <c r="H45" i="1"/>
  <c r="H47" i="1"/>
  <c r="H51" i="1"/>
  <c r="H54" i="1"/>
  <c r="H56" i="1"/>
  <c r="H58" i="1"/>
  <c r="G25" i="2"/>
  <c r="J23" i="1" s="1"/>
  <c r="B21" i="3"/>
  <c r="B16" i="2" s="1"/>
  <c r="F25" i="2"/>
  <c r="I23" i="1" s="1"/>
  <c r="H42" i="1"/>
  <c r="G24" i="2"/>
  <c r="H24" i="2"/>
  <c r="E24" i="2"/>
  <c r="D24" i="2"/>
  <c r="D26" i="2" s="1"/>
  <c r="F24" i="2"/>
  <c r="G25" i="7"/>
  <c r="H25" i="7" s="1"/>
  <c r="I25" i="7" s="1"/>
  <c r="J25" i="7" s="1"/>
  <c r="B15" i="7"/>
  <c r="B16" i="7" s="1"/>
  <c r="B17" i="7" s="1"/>
  <c r="B13" i="7"/>
  <c r="B12" i="7" s="1"/>
  <c r="B11" i="7" s="1"/>
  <c r="B28" i="7"/>
  <c r="B26" i="7"/>
  <c r="F10" i="7"/>
  <c r="B30" i="4"/>
  <c r="F30" i="4"/>
  <c r="E30" i="4"/>
  <c r="D30" i="4"/>
  <c r="E34" i="2"/>
  <c r="F34" i="2"/>
  <c r="G34" i="2"/>
  <c r="H34" i="2"/>
  <c r="D34" i="2"/>
  <c r="B64" i="1"/>
  <c r="B53" i="1"/>
  <c r="C62" i="1"/>
  <c r="C64" i="1" s="1"/>
  <c r="C53" i="1"/>
  <c r="D62" i="1"/>
  <c r="D64" i="1" s="1"/>
  <c r="D53" i="1"/>
  <c r="E62" i="1"/>
  <c r="E64" i="1" s="1"/>
  <c r="E53" i="1"/>
  <c r="F62" i="1"/>
  <c r="F64" i="1" s="1"/>
  <c r="F53" i="1"/>
  <c r="B66" i="1"/>
  <c r="B68" i="1" s="1"/>
  <c r="B70" i="1" s="1"/>
  <c r="B56" i="1"/>
  <c r="C66" i="1"/>
  <c r="C68" i="1" s="1"/>
  <c r="C70" i="1" s="1"/>
  <c r="C56" i="1"/>
  <c r="D66" i="1"/>
  <c r="D68" i="1" s="1"/>
  <c r="D70" i="1" s="1"/>
  <c r="D56" i="1"/>
  <c r="E66" i="1"/>
  <c r="E68" i="1" s="1"/>
  <c r="E70" i="1" s="1"/>
  <c r="E56" i="1"/>
  <c r="F66" i="1"/>
  <c r="F68" i="1" s="1"/>
  <c r="F70" i="1" s="1"/>
  <c r="F56" i="1"/>
  <c r="H29" i="1"/>
  <c r="G28" i="1"/>
  <c r="G24" i="1"/>
  <c r="G20" i="1"/>
  <c r="G16" i="1"/>
  <c r="G13" i="1"/>
  <c r="G17" i="1" s="1"/>
  <c r="G21" i="1" s="1"/>
  <c r="G25" i="1" s="1"/>
  <c r="H10" i="1"/>
  <c r="B28" i="3" l="1"/>
  <c r="B18" i="2" s="1"/>
  <c r="B17" i="6" s="1"/>
  <c r="J58" i="1"/>
  <c r="L58" i="1" s="1"/>
  <c r="I58" i="1"/>
  <c r="K58" i="1" s="1"/>
  <c r="G22" i="5"/>
  <c r="I57" i="1"/>
  <c r="J57" i="1"/>
  <c r="J56" i="1"/>
  <c r="L56" i="1" s="1"/>
  <c r="I56" i="1"/>
  <c r="K56" i="1" s="1"/>
  <c r="I55" i="1"/>
  <c r="K55" i="1" s="1"/>
  <c r="J55" i="1"/>
  <c r="L55" i="1" s="1"/>
  <c r="J53" i="1"/>
  <c r="L53" i="1" s="1"/>
  <c r="I53" i="1"/>
  <c r="K53" i="1" s="1"/>
  <c r="I50" i="1"/>
  <c r="K50" i="1" s="1"/>
  <c r="J50" i="1"/>
  <c r="L50" i="1" s="1"/>
  <c r="J47" i="1"/>
  <c r="L47" i="1" s="1"/>
  <c r="I47" i="1"/>
  <c r="K47" i="1" s="1"/>
  <c r="G17" i="5"/>
  <c r="J45" i="1"/>
  <c r="I45" i="1"/>
  <c r="I44" i="1"/>
  <c r="K44" i="1" s="1"/>
  <c r="J44" i="1"/>
  <c r="L44" i="1" s="1"/>
  <c r="J54" i="1"/>
  <c r="L54" i="1" s="1"/>
  <c r="I54" i="1"/>
  <c r="K54" i="1" s="1"/>
  <c r="J51" i="1"/>
  <c r="L51" i="1" s="1"/>
  <c r="I51" i="1"/>
  <c r="K51" i="1" s="1"/>
  <c r="G31" i="1"/>
  <c r="G21" i="5" s="1"/>
  <c r="G8" i="5"/>
  <c r="D40" i="2"/>
  <c r="D41" i="2" s="1"/>
  <c r="I46" i="1"/>
  <c r="K46" i="1" s="1"/>
  <c r="J46" i="1"/>
  <c r="L46" i="1" s="1"/>
  <c r="J43" i="1"/>
  <c r="L43" i="1" s="1"/>
  <c r="I43" i="1"/>
  <c r="K43" i="1" s="1"/>
  <c r="J41" i="1"/>
  <c r="L41" i="1" s="1"/>
  <c r="I41" i="1"/>
  <c r="K41" i="1" s="1"/>
  <c r="J42" i="1"/>
  <c r="L42" i="1" s="1"/>
  <c r="I42" i="1"/>
  <c r="K42" i="1" s="1"/>
  <c r="D27" i="2"/>
  <c r="E23" i="2"/>
  <c r="E26" i="2" s="1"/>
  <c r="D35" i="2"/>
  <c r="G10" i="7"/>
  <c r="H10" i="7" s="1"/>
  <c r="I10" i="7" s="1"/>
  <c r="E10" i="7"/>
  <c r="D10" i="7" s="1"/>
  <c r="C10" i="7" s="1"/>
  <c r="C31" i="4"/>
  <c r="H26" i="5" s="1"/>
  <c r="B32" i="4"/>
  <c r="F57" i="1"/>
  <c r="F59" i="1" s="1"/>
  <c r="E57" i="1"/>
  <c r="E59" i="1" s="1"/>
  <c r="D57" i="1"/>
  <c r="D59" i="1" s="1"/>
  <c r="C57" i="1"/>
  <c r="C59" i="1" s="1"/>
  <c r="B57" i="1"/>
  <c r="B59" i="1" s="1"/>
  <c r="G33" i="1"/>
  <c r="G35" i="1" s="1"/>
  <c r="I29" i="1"/>
  <c r="H28" i="1"/>
  <c r="H24" i="1"/>
  <c r="H20" i="1"/>
  <c r="H16" i="1"/>
  <c r="H13" i="1"/>
  <c r="H17" i="1" s="1"/>
  <c r="H21" i="1" s="1"/>
  <c r="H25" i="1" s="1"/>
  <c r="I10" i="1"/>
  <c r="B20" i="4" l="1"/>
  <c r="H11" i="5"/>
  <c r="G11" i="5"/>
  <c r="G10" i="5"/>
  <c r="G9" i="5"/>
  <c r="G34" i="5"/>
  <c r="G36" i="5" s="1"/>
  <c r="L57" i="1"/>
  <c r="K22" i="5" s="1"/>
  <c r="I22" i="5"/>
  <c r="H31" i="1"/>
  <c r="H21" i="5" s="1"/>
  <c r="H8" i="5"/>
  <c r="E40" i="2"/>
  <c r="E41" i="2" s="1"/>
  <c r="K57" i="1"/>
  <c r="J22" i="5" s="1"/>
  <c r="H22" i="5"/>
  <c r="K45" i="1"/>
  <c r="J17" i="5" s="1"/>
  <c r="H17" i="5"/>
  <c r="L45" i="1"/>
  <c r="K17" i="5" s="1"/>
  <c r="I17" i="5"/>
  <c r="F23" i="2"/>
  <c r="F26" i="2" s="1"/>
  <c r="E35" i="2"/>
  <c r="E27" i="2"/>
  <c r="E28" i="2" s="1"/>
  <c r="E42" i="2" s="1"/>
  <c r="D31" i="4"/>
  <c r="I26" i="5" s="1"/>
  <c r="C32" i="4"/>
  <c r="H33" i="1"/>
  <c r="H35" i="1" s="1"/>
  <c r="J29" i="1"/>
  <c r="I28" i="1"/>
  <c r="I24" i="1"/>
  <c r="I20" i="1"/>
  <c r="I16" i="1"/>
  <c r="I13" i="1"/>
  <c r="I17" i="1" s="1"/>
  <c r="I21" i="1" s="1"/>
  <c r="I25" i="1" s="1"/>
  <c r="J10" i="1"/>
  <c r="C28" i="6" l="1"/>
  <c r="G29" i="6" s="1"/>
  <c r="G31" i="6" s="1"/>
  <c r="I11" i="5"/>
  <c r="H34" i="5"/>
  <c r="H36" i="5" s="1"/>
  <c r="H10" i="5"/>
  <c r="C20" i="4"/>
  <c r="H9" i="5"/>
  <c r="E45" i="2"/>
  <c r="I31" i="1"/>
  <c r="I21" i="5" s="1"/>
  <c r="I8" i="5"/>
  <c r="F40" i="2"/>
  <c r="F41" i="2" s="1"/>
  <c r="B22" i="4"/>
  <c r="B23" i="4" s="1"/>
  <c r="G24" i="5"/>
  <c r="F35" i="2"/>
  <c r="G23" i="2"/>
  <c r="G26" i="2" s="1"/>
  <c r="F27" i="2"/>
  <c r="F28" i="2" s="1"/>
  <c r="F42" i="2" s="1"/>
  <c r="D32" i="4"/>
  <c r="E31" i="4"/>
  <c r="J26" i="5" s="1"/>
  <c r="K29" i="1"/>
  <c r="J28" i="1"/>
  <c r="J24" i="1"/>
  <c r="J20" i="1"/>
  <c r="J16" i="1"/>
  <c r="J13" i="1"/>
  <c r="J17" i="1" s="1"/>
  <c r="J21" i="1" s="1"/>
  <c r="J25" i="1" s="1"/>
  <c r="K10" i="1"/>
  <c r="D25" i="6" l="1"/>
  <c r="I33" i="1"/>
  <c r="I35" i="1" s="1"/>
  <c r="G27" i="5"/>
  <c r="G37" i="5" s="1"/>
  <c r="C22" i="4"/>
  <c r="C23" i="4" s="1"/>
  <c r="H24" i="5"/>
  <c r="H27" i="5" s="1"/>
  <c r="J11" i="5"/>
  <c r="I34" i="5"/>
  <c r="I36" i="5" s="1"/>
  <c r="D20" i="4"/>
  <c r="I9" i="5"/>
  <c r="I10" i="5"/>
  <c r="J31" i="1"/>
  <c r="J21" i="5" s="1"/>
  <c r="J8" i="5"/>
  <c r="G40" i="2"/>
  <c r="G41" i="2" s="1"/>
  <c r="F45" i="2"/>
  <c r="H37" i="5"/>
  <c r="G35" i="2"/>
  <c r="H23" i="2"/>
  <c r="H26" i="2" s="1"/>
  <c r="G27" i="2"/>
  <c r="G28" i="2" s="1"/>
  <c r="G42" i="2" s="1"/>
  <c r="D27" i="6"/>
  <c r="D28" i="6" s="1"/>
  <c r="E32" i="4"/>
  <c r="F31" i="4"/>
  <c r="K26" i="5" s="1"/>
  <c r="K28" i="1"/>
  <c r="K24" i="1"/>
  <c r="K20" i="1"/>
  <c r="K16" i="1"/>
  <c r="K13" i="1"/>
  <c r="K17" i="1" s="1"/>
  <c r="K21" i="1" s="1"/>
  <c r="K25" i="1" s="1"/>
  <c r="D22" i="4" l="1"/>
  <c r="D23" i="4" s="1"/>
  <c r="I24" i="5"/>
  <c r="I27" i="5" s="1"/>
  <c r="K31" i="1"/>
  <c r="K8" i="5"/>
  <c r="B9" i="6"/>
  <c r="B11" i="6" s="1"/>
  <c r="H40" i="2"/>
  <c r="H41" i="2" s="1"/>
  <c r="I37" i="5"/>
  <c r="E25" i="6"/>
  <c r="J33" i="1"/>
  <c r="J35" i="1" s="1"/>
  <c r="G45" i="2"/>
  <c r="F25" i="6"/>
  <c r="H35" i="2"/>
  <c r="H27" i="2"/>
  <c r="H28" i="2" s="1"/>
  <c r="H42" i="2" s="1"/>
  <c r="E27" i="6"/>
  <c r="E28" i="6" s="1"/>
  <c r="F32" i="4"/>
  <c r="H31" i="4"/>
  <c r="J9" i="5" l="1"/>
  <c r="K11" i="5"/>
  <c r="J34" i="5"/>
  <c r="J36" i="5" s="1"/>
  <c r="E20" i="4"/>
  <c r="J10" i="5"/>
  <c r="H44" i="2"/>
  <c r="K33" i="1"/>
  <c r="K35" i="1" s="1"/>
  <c r="K21" i="5"/>
  <c r="F27" i="6"/>
  <c r="F28" i="6" s="1"/>
  <c r="B33" i="4"/>
  <c r="K9" i="5" l="1"/>
  <c r="K34" i="5"/>
  <c r="K36" i="5" s="1"/>
  <c r="F20" i="4"/>
  <c r="K10" i="5"/>
  <c r="H45" i="2"/>
  <c r="C46" i="2" s="1"/>
  <c r="B49" i="2" s="1"/>
  <c r="J37" i="5"/>
  <c r="E22" i="4"/>
  <c r="E23" i="4" s="1"/>
  <c r="J24" i="5"/>
  <c r="J27" i="5" s="1"/>
  <c r="B18" i="6"/>
  <c r="B19" i="6" s="1"/>
  <c r="B21" i="6" s="1"/>
  <c r="G25" i="6"/>
  <c r="B3" i="7"/>
  <c r="B10" i="7" s="1"/>
  <c r="C6" i="8"/>
  <c r="E6" i="8" s="1"/>
  <c r="G46" i="2" l="1"/>
  <c r="F22" i="4"/>
  <c r="K24" i="5"/>
  <c r="K27" i="5" s="1"/>
  <c r="K37" i="5" s="1"/>
  <c r="F46" i="2"/>
  <c r="H46" i="2"/>
  <c r="D46" i="2"/>
  <c r="E46" i="2"/>
  <c r="C5" i="8"/>
  <c r="E5" i="8" s="1"/>
  <c r="B17" i="2" l="1"/>
  <c r="B51" i="2"/>
  <c r="F23" i="4"/>
  <c r="H22" i="4"/>
  <c r="H23" i="4" s="1"/>
  <c r="B53" i="2" l="1"/>
  <c r="B55" i="2" s="1"/>
  <c r="C4" i="8"/>
  <c r="E4" i="8" s="1"/>
  <c r="E7" i="8" s="1"/>
  <c r="B7" i="7" s="1"/>
  <c r="B24" i="4"/>
  <c r="B25" i="7" l="1"/>
</calcChain>
</file>

<file path=xl/sharedStrings.xml><?xml version="1.0" encoding="utf-8"?>
<sst xmlns="http://schemas.openxmlformats.org/spreadsheetml/2006/main" count="320" uniqueCount="237">
  <si>
    <t>Weighted Target Price</t>
  </si>
  <si>
    <t>Valuation Method</t>
  </si>
  <si>
    <t>Per Share Value</t>
  </si>
  <si>
    <t>Weights</t>
  </si>
  <si>
    <t>DCF</t>
  </si>
  <si>
    <t>Exit Multiple</t>
  </si>
  <si>
    <t>DDM</t>
  </si>
  <si>
    <t>Target Price</t>
  </si>
  <si>
    <t>Forecasted Income Statement</t>
  </si>
  <si>
    <t>For the Fiscal Period Ending</t>
  </si>
  <si>
    <t>2025E</t>
  </si>
  <si>
    <t>2026E</t>
  </si>
  <si>
    <t>2027E</t>
  </si>
  <si>
    <t>2028E</t>
  </si>
  <si>
    <t>2029E</t>
  </si>
  <si>
    <t>Currency</t>
  </si>
  <si>
    <t>USD</t>
  </si>
  <si>
    <t>Sales</t>
  </si>
  <si>
    <t>Revenue Growth Rate</t>
  </si>
  <si>
    <t>Other Revenue</t>
  </si>
  <si>
    <t>-</t>
  </si>
  <si>
    <t>Total Revenue</t>
  </si>
  <si>
    <t>Cost Of Goods Sold</t>
  </si>
  <si>
    <t>Gross Profit</t>
  </si>
  <si>
    <t>Operating Expense</t>
  </si>
  <si>
    <t>EBITDA</t>
  </si>
  <si>
    <t>Depreciation &amp; Amort.</t>
  </si>
  <si>
    <t>EBIT</t>
  </si>
  <si>
    <t xml:space="preserve">Interest Expense on Debt </t>
  </si>
  <si>
    <t>Other Financial Expense/(Income)</t>
  </si>
  <si>
    <t>Pretax Income</t>
  </si>
  <si>
    <t>Taxes</t>
  </si>
  <si>
    <t>Net Income</t>
  </si>
  <si>
    <t>FORECASTED BALANCE SHEET</t>
  </si>
  <si>
    <t>Assets (in millions)</t>
  </si>
  <si>
    <t>CAGR</t>
  </si>
  <si>
    <t>Cash</t>
  </si>
  <si>
    <t>Receivables</t>
  </si>
  <si>
    <t>Inventories</t>
  </si>
  <si>
    <t>Other Current Assets</t>
  </si>
  <si>
    <t>Total Current Assets</t>
  </si>
  <si>
    <t>Fixed Assets</t>
  </si>
  <si>
    <t>Total Assets</t>
  </si>
  <si>
    <t>Liabilities and Equity (in millions)</t>
  </si>
  <si>
    <t>Accounts Payable</t>
  </si>
  <si>
    <t>Other Current Liabilities</t>
  </si>
  <si>
    <t>Short-Term Debt (Credit)</t>
  </si>
  <si>
    <t>Total Current Liabilities</t>
  </si>
  <si>
    <t>Long-Term Debt</t>
  </si>
  <si>
    <t>Other Long-Term Liabilities</t>
  </si>
  <si>
    <t>Total Long-Term Liabilities</t>
  </si>
  <si>
    <t>Total Liabilities</t>
  </si>
  <si>
    <t>Shareholder's Equity</t>
  </si>
  <si>
    <t>Total Liabilities and Equity</t>
  </si>
  <si>
    <t>Short Balance Sheet</t>
  </si>
  <si>
    <t>Need of Funds for Operations (NFO)</t>
  </si>
  <si>
    <t>Fixed Assets (FA)</t>
  </si>
  <si>
    <t>Net Assets (NA)</t>
  </si>
  <si>
    <t>Debt (D)</t>
  </si>
  <si>
    <t>Equity (E)</t>
  </si>
  <si>
    <t>D+E</t>
  </si>
  <si>
    <t>Cash Surplus (D + E - NA)</t>
  </si>
  <si>
    <t xml:space="preserve">Notes from 10K </t>
  </si>
  <si>
    <t>Cash Flow from Investing Activity</t>
  </si>
  <si>
    <t>AVERAGE</t>
  </si>
  <si>
    <t>Cpaital Expenditure</t>
  </si>
  <si>
    <t>Notes</t>
  </si>
  <si>
    <t>Depreciation</t>
  </si>
  <si>
    <t>NFO</t>
  </si>
  <si>
    <t>Discounted Cash Flow Valuation with WACC</t>
  </si>
  <si>
    <t>Assumptions in Green Highlight</t>
  </si>
  <si>
    <t>Real</t>
  </si>
  <si>
    <t>Forecast</t>
  </si>
  <si>
    <t>P&amp;L Ratios</t>
  </si>
  <si>
    <t>Assumptions</t>
  </si>
  <si>
    <t>Sales Growth</t>
  </si>
  <si>
    <t>Margin/Sales</t>
  </si>
  <si>
    <t>Opex/Sales</t>
  </si>
  <si>
    <t>Taxes/Pretax Income</t>
  </si>
  <si>
    <t>Cost of Capital and Growth</t>
  </si>
  <si>
    <t>Terminal Growth Rate of FCF (g)</t>
  </si>
  <si>
    <t>Cost of Equity (R_E)</t>
  </si>
  <si>
    <t>Cost of Debt (R_D)</t>
  </si>
  <si>
    <t>Ratio of Debt to Enterprise Value</t>
  </si>
  <si>
    <t>Weighted Average Cost of Capital (WACC)</t>
  </si>
  <si>
    <t>Forecast of Net Assets</t>
  </si>
  <si>
    <t>Beginning-of-period Fixed Assets</t>
  </si>
  <si>
    <t>Capital Expenditures (CAPEX)</t>
  </si>
  <si>
    <t>End-of-Period Fixed Assets</t>
  </si>
  <si>
    <t>Variation in Net Assets (∆NA)</t>
  </si>
  <si>
    <t>Forecast of the Balance Sheet</t>
  </si>
  <si>
    <t>Cash Surplus</t>
  </si>
  <si>
    <t>Debt (fixed-fraction of enterprise value)</t>
  </si>
  <si>
    <t>Equity (book value)</t>
  </si>
  <si>
    <t>FCF Forecast</t>
  </si>
  <si>
    <t>Taxes on EBIT = EBIT x Tax Rate</t>
  </si>
  <si>
    <t>Free Cash Flows FCF = EBIT x (1 - Tax Rate) - ∆NA</t>
  </si>
  <si>
    <t>Terminal Value of FCF: TV = FCF_T x (1 + g)/(WACC - g)</t>
  </si>
  <si>
    <t>FCF + TV of FCF</t>
  </si>
  <si>
    <t>Enterprise Value (EV)</t>
  </si>
  <si>
    <t>Valuation with WACC</t>
  </si>
  <si>
    <t>Total Company Value</t>
  </si>
  <si>
    <t>Debt</t>
  </si>
  <si>
    <t>Market Value of Equity (MVE)</t>
  </si>
  <si>
    <t>Number of Shares Outstanding</t>
  </si>
  <si>
    <t>Stock Price ($) based on FCF)</t>
  </si>
  <si>
    <t xml:space="preserve">FINANCIAL ANALYSIS </t>
  </si>
  <si>
    <t>Financial Ratios</t>
  </si>
  <si>
    <t>FY 2020</t>
  </si>
  <si>
    <t>FY 2021</t>
  </si>
  <si>
    <t>FY 2022</t>
  </si>
  <si>
    <t>FY 2023</t>
  </si>
  <si>
    <t>FY 2024</t>
  </si>
  <si>
    <t>FY 2025 E</t>
  </si>
  <si>
    <t>FY 2026 E</t>
  </si>
  <si>
    <t>FY 2027E</t>
  </si>
  <si>
    <t>FY 2028 E</t>
  </si>
  <si>
    <t>FY 2029 E</t>
  </si>
  <si>
    <t>Profitability Ratios</t>
  </si>
  <si>
    <t>Gross Profit Margin</t>
  </si>
  <si>
    <t>Operating Profit Margin</t>
  </si>
  <si>
    <t>EBIT Margin</t>
  </si>
  <si>
    <t>Net Profit Margin</t>
  </si>
  <si>
    <t>ROA</t>
  </si>
  <si>
    <t>ROE</t>
  </si>
  <si>
    <t>Activity Ratio</t>
  </si>
  <si>
    <t>Inventory Turnover Ratio</t>
  </si>
  <si>
    <t>Days of Inventory on Hand</t>
  </si>
  <si>
    <t>Asset Turnover</t>
  </si>
  <si>
    <t>Liquidity Ratio</t>
  </si>
  <si>
    <t>Current Ratio</t>
  </si>
  <si>
    <t>Financial Leverage</t>
  </si>
  <si>
    <t>Equity Multiplier</t>
  </si>
  <si>
    <t>Debt to Equity Ratio</t>
  </si>
  <si>
    <t>Interest Coverage Ratio</t>
  </si>
  <si>
    <t>Debt to Assets</t>
  </si>
  <si>
    <t>Shareholder Ratios</t>
  </si>
  <si>
    <t>Earnings per share</t>
  </si>
  <si>
    <t>Dividend Payout Ratio</t>
  </si>
  <si>
    <t>Dividend per share</t>
  </si>
  <si>
    <t>2025-2029 dividend paid on average growth rate</t>
  </si>
  <si>
    <t>P/E Ratio</t>
  </si>
  <si>
    <t>2020-2024 data from Bloomberg, 2025-2029 BASED ON AVERAGE SHARE PRICE GROWTH 6.05%)</t>
  </si>
  <si>
    <t>P/S Ratio</t>
  </si>
  <si>
    <t>10% growth rate based on one year return</t>
  </si>
  <si>
    <t>EV/EBITDA</t>
  </si>
  <si>
    <t>Historical average 1.44%</t>
  </si>
  <si>
    <t>EPS Calculation</t>
  </si>
  <si>
    <t>Weighted Average basic shares</t>
  </si>
  <si>
    <t>2024-acquisition thats why increase in share oustanding in 2025,</t>
  </si>
  <si>
    <t xml:space="preserve">EPS </t>
  </si>
  <si>
    <t>EPS x P/E Ratio</t>
  </si>
  <si>
    <t>\</t>
  </si>
  <si>
    <t xml:space="preserve">EXIT MULTIPLE </t>
  </si>
  <si>
    <t xml:space="preserve">For the Fiscal year Ending </t>
  </si>
  <si>
    <t xml:space="preserve">EBITDA MULTIPLE </t>
  </si>
  <si>
    <t xml:space="preserve">EBIT </t>
  </si>
  <si>
    <t>DEP&amp; AMOR</t>
  </si>
  <si>
    <t xml:space="preserve">EBITDA  </t>
  </si>
  <si>
    <t>Calculation of the Terminal Value</t>
  </si>
  <si>
    <t>Growth Rate (g)</t>
  </si>
  <si>
    <t>WACC</t>
  </si>
  <si>
    <t>FCFF (n+1)</t>
  </si>
  <si>
    <t>Value of the Firm (GGM)</t>
  </si>
  <si>
    <t>Average TV</t>
  </si>
  <si>
    <t>TV</t>
  </si>
  <si>
    <t>CF</t>
    <phoneticPr fontId="25" type="noConversion"/>
  </si>
  <si>
    <t>PVCF</t>
  </si>
  <si>
    <t xml:space="preserve">EV </t>
  </si>
  <si>
    <t>OUTSTANDING PRICE</t>
  </si>
  <si>
    <t>SHARE PRICE</t>
  </si>
  <si>
    <t>WACC Calculation</t>
  </si>
  <si>
    <t>CAPM</t>
  </si>
  <si>
    <t>Cost of Equity</t>
  </si>
  <si>
    <t>Beta</t>
  </si>
  <si>
    <t>Yahoo Finance</t>
  </si>
  <si>
    <t>Rf</t>
  </si>
  <si>
    <t>10-Year U.S. Treasury</t>
  </si>
  <si>
    <t>ERP</t>
  </si>
  <si>
    <t>Long-term implied average - Damodaran's Website</t>
  </si>
  <si>
    <t>Ke</t>
  </si>
  <si>
    <t>Market Value of Equity </t>
  </si>
  <si>
    <t>Share Price</t>
  </si>
  <si>
    <t>Share price on 17/04/2024</t>
  </si>
  <si>
    <t>Shares Outstanding</t>
  </si>
  <si>
    <t>10k</t>
  </si>
  <si>
    <t>MV Equity</t>
  </si>
  <si>
    <t>Market Value of Debt</t>
  </si>
  <si>
    <t>Interest Expense</t>
  </si>
  <si>
    <t>Total Debt</t>
  </si>
  <si>
    <t>MV Debt %</t>
  </si>
  <si>
    <t>Tax Rate</t>
  </si>
  <si>
    <t>Assumption</t>
  </si>
  <si>
    <t>Cost of Debt after tax</t>
  </si>
  <si>
    <t xml:space="preserve">MV Debt </t>
  </si>
  <si>
    <t>Total Value</t>
  </si>
  <si>
    <t>Base Case</t>
  </si>
  <si>
    <t>W Debt</t>
  </si>
  <si>
    <t>W Equity</t>
  </si>
  <si>
    <t>Dividends Per Share</t>
  </si>
  <si>
    <t>FY 2015</t>
  </si>
  <si>
    <t>FY 2016</t>
  </si>
  <si>
    <t>FY 2017</t>
  </si>
  <si>
    <t>FY 2018</t>
  </si>
  <si>
    <t>FY 2019</t>
  </si>
  <si>
    <t>Average</t>
  </si>
  <si>
    <t>Growth Rate (DPS)</t>
  </si>
  <si>
    <t xml:space="preserve">DIVIDEND PAYOUT RATIO </t>
  </si>
  <si>
    <t>Dividend</t>
  </si>
  <si>
    <t>Net Income per share</t>
  </si>
  <si>
    <t>Dividend Payout ratio</t>
  </si>
  <si>
    <t>Dividend Forecast Based on Target Payout assumption of 50%</t>
  </si>
  <si>
    <t>FY 2025E</t>
  </si>
  <si>
    <t>FY 2026E</t>
  </si>
  <si>
    <t>FY 2028E</t>
  </si>
  <si>
    <t>FY 2029E</t>
  </si>
  <si>
    <t>Number of Years</t>
  </si>
  <si>
    <t>Target Payout Ratio (Normal Dividend)</t>
  </si>
  <si>
    <t>2024,2025,2026 less net income to 2023</t>
  </si>
  <si>
    <t>No. of shares</t>
  </si>
  <si>
    <t>Dividend per Share</t>
  </si>
  <si>
    <t>NPV</t>
  </si>
  <si>
    <t>DDM Value</t>
  </si>
  <si>
    <t>Dividend Forecast Based on Dividend Growth Rate</t>
  </si>
  <si>
    <t>FY2030E</t>
  </si>
  <si>
    <t>Average Dividend Growth rate</t>
  </si>
  <si>
    <t>Growth Rate(G)</t>
  </si>
  <si>
    <t>Sales CARG</t>
    <phoneticPr fontId="25" type="noConversion"/>
  </si>
  <si>
    <t>CapEX</t>
    <phoneticPr fontId="25" type="noConversion"/>
  </si>
  <si>
    <t>Revenue</t>
    <phoneticPr fontId="25" type="noConversion"/>
  </si>
  <si>
    <t>Stock Price</t>
    <phoneticPr fontId="25" type="noConversion"/>
  </si>
  <si>
    <t>　</t>
  </si>
  <si>
    <t xml:space="preserve"> </t>
    <phoneticPr fontId="25" type="noConversion"/>
  </si>
  <si>
    <t>WACC</t>
    <phoneticPr fontId="26" type="noConversion"/>
  </si>
  <si>
    <t>Sales CARG</t>
    <phoneticPr fontId="26" type="noConversion"/>
  </si>
  <si>
    <t>WACC \ Terminal Growth Rate</t>
  </si>
  <si>
    <t>8.75% (Base Case)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</si>
</sst>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164" formatCode="\$#,##0.00_);[Red]\(\$#,##0.00\)"/>
    <numFmt numFmtId="165" formatCode="&quot;$&quot;#,##0"/>
    <numFmt numFmtId="166" formatCode="&quot;$&quot;#,##0.00"/>
    <numFmt numFmtId="167" formatCode="_(\$* #,##0.00_);_(\$* \(#,##0.00\);_(\$* &quot;-&quot;??_);_(@_)"/>
    <numFmt numFmtId="168" formatCode="_-[$$-409]* #,##0.00_ ;_-[$$-409]* \-#,##0.00\ ;_-[$$-409]* &quot;-&quot;??_ ;_-@_ "/>
    <numFmt numFmtId="169" formatCode="0.0%"/>
  </numFmts>
  <fonts count="41">
    <font>
      <sz val="11"/>
      <color theme="1"/>
      <name val="等线"/>
      <family val="2"/>
      <scheme val="minor"/>
    </font>
    <font>
      <b/>
      <sz val="20"/>
      <color rgb="FFFFFFFF"/>
      <name val="Times New Roman"/>
      <family val="1"/>
    </font>
    <font>
      <b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242424"/>
      <name val="Times New Roman"/>
      <family val="1"/>
    </font>
    <font>
      <b/>
      <sz val="11"/>
      <color theme="1"/>
      <name val="等线"/>
      <family val="2"/>
      <scheme val="minor"/>
    </font>
    <font>
      <b/>
      <sz val="10"/>
      <color rgb="FFFFFFFF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8"/>
      <color theme="0"/>
      <name val="Times New Roman"/>
      <family val="1"/>
    </font>
    <font>
      <sz val="14"/>
      <color theme="0"/>
      <name val="Times New Roman"/>
      <family val="1"/>
    </font>
    <font>
      <b/>
      <sz val="20"/>
      <color theme="0"/>
      <name val="Times New Roman"/>
      <family val="1"/>
    </font>
    <font>
      <b/>
      <sz val="12"/>
      <color theme="0"/>
      <name val="Times New Roman"/>
      <family val="1"/>
    </font>
    <font>
      <b/>
      <sz val="11"/>
      <color theme="1"/>
      <name val="Times New Roman"/>
      <family val="1"/>
    </font>
    <font>
      <b/>
      <sz val="16"/>
      <color theme="0"/>
      <name val="Times New Roman"/>
      <family val="1"/>
    </font>
    <font>
      <b/>
      <sz val="14"/>
      <color rgb="FFFFFFFF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ArialMT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FangSong"/>
      <family val="3"/>
      <charset val="134"/>
    </font>
    <font>
      <sz val="12"/>
      <color theme="1"/>
      <name val="Arial"/>
      <family val="2"/>
    </font>
    <font>
      <sz val="12"/>
      <color theme="1"/>
      <name val="ArialMT"/>
    </font>
    <font>
      <sz val="11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等线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rgb="FF242424"/>
      <name val="Times New Roman"/>
      <family val="1"/>
    </font>
    <font>
      <sz val="12"/>
      <color rgb="FF000000"/>
      <name val="Arial"/>
      <family val="2"/>
    </font>
    <font>
      <b/>
      <sz val="12"/>
      <color theme="0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sz val="11"/>
      <color rgb="FF000000"/>
      <name val="Times New Roman"/>
    </font>
    <font>
      <sz val="10"/>
      <color theme="1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7132"/>
        <bgColor rgb="FF000000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4" fillId="0" borderId="0"/>
    <xf numFmtId="9" fontId="24" fillId="0" borderId="0" applyFont="0" applyFill="0" applyBorder="0" applyAlignment="0" applyProtection="0"/>
  </cellStyleXfs>
  <cellXfs count="319">
    <xf numFmtId="0" fontId="0" fillId="0" borderId="0" xfId="0"/>
    <xf numFmtId="0" fontId="2" fillId="0" borderId="10" xfId="0" applyFont="1" applyBorder="1"/>
    <xf numFmtId="0" fontId="4" fillId="0" borderId="10" xfId="0" applyFont="1" applyBorder="1"/>
    <xf numFmtId="0" fontId="4" fillId="0" borderId="1" xfId="0" applyFont="1" applyBorder="1"/>
    <xf numFmtId="10" fontId="4" fillId="0" borderId="1" xfId="0" applyNumberFormat="1" applyFont="1" applyBorder="1"/>
    <xf numFmtId="0" fontId="2" fillId="0" borderId="1" xfId="0" applyFon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/>
    <xf numFmtId="3" fontId="4" fillId="0" borderId="10" xfId="0" applyNumberFormat="1" applyFont="1" applyBorder="1"/>
    <xf numFmtId="2" fontId="4" fillId="0" borderId="1" xfId="0" applyNumberFormat="1" applyFont="1" applyBorder="1"/>
    <xf numFmtId="2" fontId="4" fillId="0" borderId="1" xfId="0" quotePrefix="1" applyNumberFormat="1" applyFont="1" applyBorder="1"/>
    <xf numFmtId="2" fontId="2" fillId="3" borderId="1" xfId="0" applyNumberFormat="1" applyFont="1" applyFill="1" applyBorder="1"/>
    <xf numFmtId="2" fontId="6" fillId="0" borderId="13" xfId="0" applyNumberFormat="1" applyFont="1" applyBorder="1" applyAlignment="1">
      <alignment horizontal="right"/>
      <extLst>
        <ext xmlns:xfpb="http://schemas.microsoft.com/office/spreadsheetml/2022/featurepropertybag" uri="{C7286773-470A-42A8-94C5-96B5CB345126}">
          <xfpb:xfComplement i="0"/>
        </ext>
      </extLst>
    </xf>
    <xf numFmtId="2" fontId="6" fillId="0" borderId="14" xfId="0" applyNumberFormat="1" applyFont="1" applyBorder="1" applyAlignment="1">
      <alignment horizontal="right"/>
      <extLst>
        <ext xmlns:xfpb="http://schemas.microsoft.com/office/spreadsheetml/2022/featurepropertybag" uri="{C7286773-470A-42A8-94C5-96B5CB345126}">
          <xfpb:xfComplement i="0"/>
        </ext>
      </extLst>
    </xf>
    <xf numFmtId="2" fontId="2" fillId="0" borderId="1" xfId="0" applyNumberFormat="1" applyFont="1" applyBorder="1"/>
    <xf numFmtId="2" fontId="6" fillId="0" borderId="12" xfId="0" applyNumberFormat="1" applyFont="1" applyBorder="1" applyAlignment="1">
      <alignment horizontal="right"/>
      <extLst>
        <ext xmlns:xfpb="http://schemas.microsoft.com/office/spreadsheetml/2022/featurepropertybag" uri="{C7286773-470A-42A8-94C5-96B5CB345126}">
          <xfpb:xfComplement i="0"/>
        </ext>
      </extLst>
    </xf>
    <xf numFmtId="2" fontId="6" fillId="0" borderId="11" xfId="0" applyNumberFormat="1" applyFont="1" applyBorder="1" applyAlignment="1">
      <alignment horizontal="right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0" borderId="0" xfId="0" applyFont="1"/>
    <xf numFmtId="2" fontId="8" fillId="3" borderId="6" xfId="0" applyNumberFormat="1" applyFont="1" applyFill="1" applyBorder="1"/>
    <xf numFmtId="0" fontId="4" fillId="0" borderId="15" xfId="0" applyFont="1" applyBorder="1"/>
    <xf numFmtId="0" fontId="2" fillId="4" borderId="0" xfId="0" applyFont="1" applyFill="1"/>
    <xf numFmtId="0" fontId="4" fillId="4" borderId="0" xfId="0" applyFont="1" applyFill="1"/>
    <xf numFmtId="0" fontId="2" fillId="3" borderId="16" xfId="0" applyFont="1" applyFill="1" applyBorder="1"/>
    <xf numFmtId="2" fontId="2" fillId="3" borderId="16" xfId="0" applyNumberFormat="1" applyFont="1" applyFill="1" applyBorder="1"/>
    <xf numFmtId="0" fontId="4" fillId="0" borderId="0" xfId="0" applyFont="1"/>
    <xf numFmtId="10" fontId="2" fillId="0" borderId="1" xfId="0" applyNumberFormat="1" applyFont="1" applyBorder="1"/>
    <xf numFmtId="3" fontId="4" fillId="0" borderId="1" xfId="0" applyNumberFormat="1" applyFont="1" applyBorder="1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10" fillId="2" borderId="20" xfId="0" applyFont="1" applyFill="1" applyBorder="1"/>
    <xf numFmtId="0" fontId="10" fillId="2" borderId="21" xfId="0" applyFont="1" applyFill="1" applyBorder="1"/>
    <xf numFmtId="0" fontId="10" fillId="2" borderId="22" xfId="0" applyFont="1" applyFill="1" applyBorder="1"/>
    <xf numFmtId="0" fontId="11" fillId="0" borderId="0" xfId="0" applyFont="1"/>
    <xf numFmtId="0" fontId="12" fillId="0" borderId="11" xfId="0" applyFont="1" applyBorder="1"/>
    <xf numFmtId="0" fontId="5" fillId="0" borderId="12" xfId="0" applyFont="1" applyBorder="1"/>
    <xf numFmtId="10" fontId="5" fillId="0" borderId="12" xfId="0" applyNumberFormat="1" applyFont="1" applyBorder="1"/>
    <xf numFmtId="10" fontId="5" fillId="5" borderId="12" xfId="0" applyNumberFormat="1" applyFont="1" applyFill="1" applyBorder="1"/>
    <xf numFmtId="0" fontId="13" fillId="0" borderId="0" xfId="0" applyFont="1" applyAlignment="1">
      <alignment wrapText="1"/>
    </xf>
    <xf numFmtId="9" fontId="5" fillId="0" borderId="12" xfId="0" applyNumberFormat="1" applyFont="1" applyBorder="1"/>
    <xf numFmtId="9" fontId="5" fillId="0" borderId="0" xfId="0" applyNumberFormat="1" applyFont="1"/>
    <xf numFmtId="0" fontId="5" fillId="0" borderId="0" xfId="0" applyFont="1" applyAlignment="1">
      <alignment wrapText="1"/>
    </xf>
    <xf numFmtId="0" fontId="12" fillId="0" borderId="14" xfId="0" applyFont="1" applyBorder="1"/>
    <xf numFmtId="9" fontId="5" fillId="5" borderId="13" xfId="0" applyNumberFormat="1" applyFont="1" applyFill="1" applyBorder="1"/>
    <xf numFmtId="10" fontId="5" fillId="0" borderId="13" xfId="0" applyNumberFormat="1" applyFont="1" applyBorder="1"/>
    <xf numFmtId="9" fontId="5" fillId="0" borderId="13" xfId="0" applyNumberFormat="1" applyFont="1" applyBorder="1"/>
    <xf numFmtId="10" fontId="5" fillId="0" borderId="0" xfId="0" applyNumberFormat="1" applyFont="1"/>
    <xf numFmtId="0" fontId="11" fillId="2" borderId="23" xfId="0" applyFont="1" applyFill="1" applyBorder="1"/>
    <xf numFmtId="0" fontId="11" fillId="2" borderId="24" xfId="0" applyFont="1" applyFill="1" applyBorder="1"/>
    <xf numFmtId="0" fontId="5" fillId="0" borderId="11" xfId="0" applyFont="1" applyBorder="1"/>
    <xf numFmtId="10" fontId="5" fillId="5" borderId="0" xfId="0" applyNumberFormat="1" applyFont="1" applyFill="1"/>
    <xf numFmtId="0" fontId="5" fillId="4" borderId="0" xfId="0" applyFont="1" applyFill="1"/>
    <xf numFmtId="10" fontId="5" fillId="4" borderId="0" xfId="0" applyNumberFormat="1" applyFont="1" applyFill="1"/>
    <xf numFmtId="0" fontId="5" fillId="0" borderId="14" xfId="0" applyFont="1" applyBorder="1"/>
    <xf numFmtId="10" fontId="5" fillId="0" borderId="19" xfId="0" applyNumberFormat="1" applyFont="1" applyBorder="1"/>
    <xf numFmtId="0" fontId="11" fillId="2" borderId="25" xfId="0" applyFont="1" applyFill="1" applyBorder="1"/>
    <xf numFmtId="1" fontId="5" fillId="0" borderId="12" xfId="0" applyNumberFormat="1" applyFont="1" applyBorder="1"/>
    <xf numFmtId="0" fontId="5" fillId="0" borderId="13" xfId="0" applyFont="1" applyBorder="1"/>
    <xf numFmtId="1" fontId="5" fillId="0" borderId="13" xfId="0" applyNumberFormat="1" applyFont="1" applyBorder="1"/>
    <xf numFmtId="0" fontId="5" fillId="5" borderId="12" xfId="0" applyFont="1" applyFill="1" applyBorder="1"/>
    <xf numFmtId="0" fontId="5" fillId="0" borderId="19" xfId="0" applyFont="1" applyBorder="1"/>
    <xf numFmtId="0" fontId="2" fillId="2" borderId="0" xfId="0" applyFont="1" applyFill="1"/>
    <xf numFmtId="0" fontId="0" fillId="2" borderId="0" xfId="0" applyFill="1"/>
    <xf numFmtId="0" fontId="16" fillId="2" borderId="0" xfId="0" applyFont="1" applyFill="1"/>
    <xf numFmtId="2" fontId="5" fillId="0" borderId="12" xfId="0" applyNumberFormat="1" applyFont="1" applyBorder="1"/>
    <xf numFmtId="0" fontId="8" fillId="4" borderId="0" xfId="0" applyFont="1" applyFill="1"/>
    <xf numFmtId="166" fontId="2" fillId="0" borderId="1" xfId="0" applyNumberFormat="1" applyFont="1" applyBorder="1"/>
    <xf numFmtId="0" fontId="2" fillId="3" borderId="0" xfId="0" applyFont="1" applyFill="1"/>
    <xf numFmtId="0" fontId="4" fillId="3" borderId="0" xfId="0" applyFont="1" applyFill="1"/>
    <xf numFmtId="0" fontId="4" fillId="3" borderId="1" xfId="0" applyFont="1" applyFill="1" applyBorder="1"/>
    <xf numFmtId="0" fontId="2" fillId="4" borderId="1" xfId="0" applyFont="1" applyFill="1" applyBorder="1"/>
    <xf numFmtId="0" fontId="4" fillId="4" borderId="1" xfId="0" applyFont="1" applyFill="1" applyBorder="1"/>
    <xf numFmtId="2" fontId="4" fillId="4" borderId="1" xfId="0" applyNumberFormat="1" applyFont="1" applyFill="1" applyBorder="1"/>
    <xf numFmtId="10" fontId="4" fillId="4" borderId="1" xfId="0" applyNumberFormat="1" applyFont="1" applyFill="1" applyBorder="1"/>
    <xf numFmtId="9" fontId="4" fillId="4" borderId="1" xfId="0" applyNumberFormat="1" applyFont="1" applyFill="1" applyBorder="1"/>
    <xf numFmtId="10" fontId="2" fillId="4" borderId="1" xfId="0" applyNumberFormat="1" applyFont="1" applyFill="1" applyBorder="1"/>
    <xf numFmtId="166" fontId="2" fillId="4" borderId="1" xfId="0" applyNumberFormat="1" applyFont="1" applyFill="1" applyBorder="1"/>
    <xf numFmtId="0" fontId="8" fillId="3" borderId="1" xfId="0" applyFont="1" applyFill="1" applyBorder="1"/>
    <xf numFmtId="0" fontId="5" fillId="0" borderId="26" xfId="0" applyFont="1" applyBorder="1"/>
    <xf numFmtId="0" fontId="0" fillId="0" borderId="21" xfId="0" applyBorder="1"/>
    <xf numFmtId="6" fontId="5" fillId="0" borderId="21" xfId="0" applyNumberFormat="1" applyFont="1" applyBorder="1"/>
    <xf numFmtId="0" fontId="5" fillId="0" borderId="30" xfId="0" applyFont="1" applyBorder="1"/>
    <xf numFmtId="0" fontId="0" fillId="0" borderId="12" xfId="0" applyBorder="1"/>
    <xf numFmtId="166" fontId="5" fillId="0" borderId="12" xfId="0" applyNumberFormat="1" applyFont="1" applyBorder="1"/>
    <xf numFmtId="0" fontId="5" fillId="0" borderId="31" xfId="0" applyFont="1" applyBorder="1"/>
    <xf numFmtId="0" fontId="0" fillId="0" borderId="13" xfId="0" applyBorder="1"/>
    <xf numFmtId="6" fontId="5" fillId="0" borderId="12" xfId="0" applyNumberFormat="1" applyFont="1" applyBorder="1"/>
    <xf numFmtId="166" fontId="5" fillId="0" borderId="27" xfId="0" applyNumberFormat="1" applyFont="1" applyBorder="1"/>
    <xf numFmtId="6" fontId="5" fillId="0" borderId="13" xfId="0" applyNumberFormat="1" applyFont="1" applyBorder="1"/>
    <xf numFmtId="6" fontId="5" fillId="0" borderId="27" xfId="0" applyNumberFormat="1" applyFont="1" applyBorder="1"/>
    <xf numFmtId="167" fontId="5" fillId="0" borderId="13" xfId="0" applyNumberFormat="1" applyFont="1" applyBorder="1"/>
    <xf numFmtId="167" fontId="5" fillId="0" borderId="0" xfId="0" applyNumberFormat="1" applyFont="1"/>
    <xf numFmtId="0" fontId="5" fillId="2" borderId="30" xfId="0" applyFont="1" applyFill="1" applyBorder="1"/>
    <xf numFmtId="0" fontId="5" fillId="2" borderId="12" xfId="0" applyFont="1" applyFill="1" applyBorder="1"/>
    <xf numFmtId="0" fontId="5" fillId="0" borderId="20" xfId="0" applyFont="1" applyBorder="1"/>
    <xf numFmtId="167" fontId="5" fillId="0" borderId="21" xfId="0" applyNumberFormat="1" applyFont="1" applyBorder="1"/>
    <xf numFmtId="167" fontId="5" fillId="0" borderId="12" xfId="0" applyNumberFormat="1" applyFont="1" applyBorder="1"/>
    <xf numFmtId="10" fontId="0" fillId="0" borderId="0" xfId="0" applyNumberFormat="1"/>
    <xf numFmtId="0" fontId="5" fillId="6" borderId="14" xfId="0" applyFont="1" applyFill="1" applyBorder="1"/>
    <xf numFmtId="167" fontId="5" fillId="6" borderId="13" xfId="0" applyNumberFormat="1" applyFont="1" applyFill="1" applyBorder="1"/>
    <xf numFmtId="0" fontId="8" fillId="3" borderId="1" xfId="0" applyFont="1" applyFill="1" applyBorder="1" applyAlignment="1">
      <alignment wrapText="1"/>
    </xf>
    <xf numFmtId="0" fontId="8" fillId="3" borderId="17" xfId="0" applyFont="1" applyFill="1" applyBorder="1"/>
    <xf numFmtId="0" fontId="22" fillId="0" borderId="1" xfId="0" applyFont="1" applyBorder="1"/>
    <xf numFmtId="9" fontId="22" fillId="0" borderId="1" xfId="0" applyNumberFormat="1" applyFont="1" applyBorder="1"/>
    <xf numFmtId="0" fontId="23" fillId="0" borderId="0" xfId="0" applyFont="1"/>
    <xf numFmtId="8" fontId="23" fillId="0" borderId="0" xfId="0" applyNumberFormat="1" applyFont="1"/>
    <xf numFmtId="10" fontId="23" fillId="0" borderId="0" xfId="0" applyNumberFormat="1" applyFont="1"/>
    <xf numFmtId="10" fontId="27" fillId="0" borderId="23" xfId="0" applyNumberFormat="1" applyFont="1" applyBorder="1"/>
    <xf numFmtId="167" fontId="0" fillId="0" borderId="0" xfId="0" applyNumberFormat="1"/>
    <xf numFmtId="8" fontId="22" fillId="0" borderId="1" xfId="0" applyNumberFormat="1" applyFont="1" applyBorder="1"/>
    <xf numFmtId="0" fontId="21" fillId="3" borderId="1" xfId="0" applyFont="1" applyFill="1" applyBorder="1"/>
    <xf numFmtId="0" fontId="0" fillId="4" borderId="0" xfId="0" applyFill="1"/>
    <xf numFmtId="0" fontId="11" fillId="4" borderId="0" xfId="0" applyFont="1" applyFill="1"/>
    <xf numFmtId="168" fontId="27" fillId="4" borderId="0" xfId="0" applyNumberFormat="1" applyFont="1" applyFill="1" applyAlignment="1">
      <alignment horizontal="right"/>
    </xf>
    <xf numFmtId="10" fontId="27" fillId="4" borderId="0" xfId="0" applyNumberFormat="1" applyFont="1" applyFill="1"/>
    <xf numFmtId="167" fontId="0" fillId="4" borderId="0" xfId="0" applyNumberFormat="1" applyFill="1"/>
    <xf numFmtId="168" fontId="27" fillId="4" borderId="0" xfId="1" applyNumberFormat="1" applyFont="1" applyFill="1"/>
    <xf numFmtId="2" fontId="4" fillId="0" borderId="0" xfId="0" applyNumberFormat="1" applyFont="1"/>
    <xf numFmtId="0" fontId="21" fillId="0" borderId="0" xfId="0" applyFont="1"/>
    <xf numFmtId="0" fontId="22" fillId="0" borderId="0" xfId="0" applyFont="1"/>
    <xf numFmtId="9" fontId="22" fillId="0" borderId="0" xfId="0" applyNumberFormat="1" applyFont="1"/>
    <xf numFmtId="8" fontId="22" fillId="0" borderId="0" xfId="0" applyNumberFormat="1" applyFont="1"/>
    <xf numFmtId="168" fontId="27" fillId="0" borderId="0" xfId="0" applyNumberFormat="1" applyFont="1" applyAlignment="1">
      <alignment horizontal="right"/>
    </xf>
    <xf numFmtId="10" fontId="27" fillId="0" borderId="0" xfId="0" applyNumberFormat="1" applyFont="1"/>
    <xf numFmtId="168" fontId="27" fillId="0" borderId="0" xfId="1" applyNumberFormat="1" applyFont="1"/>
    <xf numFmtId="10" fontId="4" fillId="0" borderId="0" xfId="0" applyNumberFormat="1" applyFont="1"/>
    <xf numFmtId="2" fontId="4" fillId="0" borderId="0" xfId="0" quotePrefix="1" applyNumberFormat="1" applyFont="1"/>
    <xf numFmtId="2" fontId="2" fillId="0" borderId="0" xfId="0" applyNumberFormat="1" applyFont="1"/>
    <xf numFmtId="0" fontId="28" fillId="0" borderId="0" xfId="0" applyFont="1"/>
    <xf numFmtId="10" fontId="28" fillId="0" borderId="0" xfId="0" applyNumberFormat="1" applyFont="1"/>
    <xf numFmtId="2" fontId="6" fillId="0" borderId="0" xfId="0" applyNumberFormat="1" applyFont="1" applyAlignment="1">
      <alignment horizontal="right"/>
    </xf>
    <xf numFmtId="0" fontId="29" fillId="0" borderId="0" xfId="0" applyFont="1"/>
    <xf numFmtId="2" fontId="28" fillId="0" borderId="0" xfId="0" applyNumberFormat="1" applyFont="1"/>
    <xf numFmtId="10" fontId="29" fillId="0" borderId="0" xfId="0" applyNumberFormat="1" applyFont="1"/>
    <xf numFmtId="0" fontId="30" fillId="2" borderId="26" xfId="0" applyFont="1" applyFill="1" applyBorder="1"/>
    <xf numFmtId="0" fontId="30" fillId="2" borderId="22" xfId="0" applyFont="1" applyFill="1" applyBorder="1"/>
    <xf numFmtId="0" fontId="30" fillId="2" borderId="28" xfId="0" applyFont="1" applyFill="1" applyBorder="1"/>
    <xf numFmtId="0" fontId="6" fillId="0" borderId="11" xfId="0" applyFont="1" applyBorder="1"/>
    <xf numFmtId="2" fontId="6" fillId="0" borderId="12" xfId="0" applyNumberFormat="1" applyFont="1" applyBorder="1"/>
    <xf numFmtId="2" fontId="6" fillId="0" borderId="6" xfId="0" applyNumberFormat="1" applyFont="1" applyBorder="1"/>
    <xf numFmtId="10" fontId="6" fillId="0" borderId="6" xfId="0" applyNumberFormat="1" applyFont="1" applyBorder="1"/>
    <xf numFmtId="0" fontId="6" fillId="0" borderId="12" xfId="0" applyFont="1" applyBorder="1"/>
    <xf numFmtId="0" fontId="6" fillId="0" borderId="6" xfId="0" applyFont="1" applyBorder="1"/>
    <xf numFmtId="0" fontId="6" fillId="0" borderId="14" xfId="0" applyFont="1" applyBorder="1"/>
    <xf numFmtId="0" fontId="6" fillId="0" borderId="13" xfId="0" applyFont="1" applyBorder="1"/>
    <xf numFmtId="0" fontId="6" fillId="0" borderId="27" xfId="0" applyFont="1" applyBorder="1"/>
    <xf numFmtId="10" fontId="6" fillId="0" borderId="9" xfId="0" applyNumberFormat="1" applyFont="1" applyBorder="1"/>
    <xf numFmtId="165" fontId="6" fillId="0" borderId="13" xfId="0" applyNumberFormat="1" applyFont="1" applyBorder="1"/>
    <xf numFmtId="165" fontId="6" fillId="0" borderId="27" xfId="0" applyNumberFormat="1" applyFont="1" applyBorder="1"/>
    <xf numFmtId="0" fontId="31" fillId="0" borderId="0" xfId="0" applyFont="1"/>
    <xf numFmtId="0" fontId="30" fillId="2" borderId="20" xfId="0" applyFont="1" applyFill="1" applyBorder="1"/>
    <xf numFmtId="0" fontId="30" fillId="2" borderId="21" xfId="0" applyFont="1" applyFill="1" applyBorder="1"/>
    <xf numFmtId="165" fontId="6" fillId="0" borderId="12" xfId="0" applyNumberFormat="1" applyFont="1" applyBorder="1"/>
    <xf numFmtId="165" fontId="6" fillId="0" borderId="0" xfId="0" applyNumberFormat="1" applyFont="1"/>
    <xf numFmtId="0" fontId="6" fillId="0" borderId="0" xfId="0" applyFont="1"/>
    <xf numFmtId="0" fontId="6" fillId="0" borderId="19" xfId="0" applyFont="1" applyBorder="1"/>
    <xf numFmtId="165" fontId="6" fillId="0" borderId="19" xfId="0" applyNumberFormat="1" applyFont="1" applyBorder="1"/>
    <xf numFmtId="0" fontId="31" fillId="0" borderId="11" xfId="0" applyFont="1" applyBorder="1"/>
    <xf numFmtId="0" fontId="9" fillId="2" borderId="1" xfId="0" applyFont="1" applyFill="1" applyBorder="1"/>
    <xf numFmtId="10" fontId="31" fillId="0" borderId="0" xfId="0" applyNumberFormat="1" applyFont="1"/>
    <xf numFmtId="0" fontId="30" fillId="2" borderId="6" xfId="0" applyFont="1" applyFill="1" applyBorder="1"/>
    <xf numFmtId="2" fontId="6" fillId="0" borderId="29" xfId="0" applyNumberFormat="1" applyFont="1" applyBorder="1"/>
    <xf numFmtId="2" fontId="6" fillId="0" borderId="9" xfId="0" applyNumberFormat="1" applyFont="1" applyBorder="1"/>
    <xf numFmtId="166" fontId="6" fillId="0" borderId="9" xfId="0" applyNumberFormat="1" applyFont="1" applyBorder="1"/>
    <xf numFmtId="166" fontId="6" fillId="0" borderId="6" xfId="0" applyNumberFormat="1" applyFont="1" applyBorder="1"/>
    <xf numFmtId="166" fontId="6" fillId="0" borderId="8" xfId="0" applyNumberFormat="1" applyFont="1" applyBorder="1"/>
    <xf numFmtId="0" fontId="30" fillId="2" borderId="4" xfId="0" applyFont="1" applyFill="1" applyBorder="1"/>
    <xf numFmtId="0" fontId="6" fillId="0" borderId="5" xfId="0" applyFont="1" applyBorder="1" applyAlignment="1">
      <alignment wrapText="1"/>
    </xf>
    <xf numFmtId="2" fontId="6" fillId="0" borderId="0" xfId="0" applyNumberFormat="1" applyFont="1"/>
    <xf numFmtId="0" fontId="6" fillId="0" borderId="7" xfId="0" applyFont="1" applyBorder="1" applyAlignment="1">
      <alignment wrapText="1"/>
    </xf>
    <xf numFmtId="2" fontId="6" fillId="0" borderId="8" xfId="0" applyNumberFormat="1" applyFont="1" applyBorder="1"/>
    <xf numFmtId="0" fontId="30" fillId="3" borderId="16" xfId="0" applyFont="1" applyFill="1" applyBorder="1"/>
    <xf numFmtId="0" fontId="30" fillId="4" borderId="32" xfId="0" applyFont="1" applyFill="1" applyBorder="1"/>
    <xf numFmtId="0" fontId="6" fillId="4" borderId="32" xfId="0" applyFont="1" applyFill="1" applyBorder="1"/>
    <xf numFmtId="0" fontId="6" fillId="0" borderId="32" xfId="0" applyFont="1" applyBorder="1"/>
    <xf numFmtId="10" fontId="6" fillId="0" borderId="32" xfId="0" applyNumberFormat="1" applyFont="1" applyBorder="1"/>
    <xf numFmtId="0" fontId="6" fillId="0" borderId="10" xfId="0" applyFont="1" applyBorder="1"/>
    <xf numFmtId="2" fontId="6" fillId="0" borderId="10" xfId="0" applyNumberFormat="1" applyFont="1" applyBorder="1"/>
    <xf numFmtId="0" fontId="6" fillId="0" borderId="8" xfId="0" applyFont="1" applyBorder="1"/>
    <xf numFmtId="2" fontId="6" fillId="0" borderId="32" xfId="0" applyNumberFormat="1" applyFont="1" applyBorder="1"/>
    <xf numFmtId="10" fontId="6" fillId="4" borderId="32" xfId="0" applyNumberFormat="1" applyFont="1" applyFill="1" applyBorder="1"/>
    <xf numFmtId="0" fontId="6" fillId="4" borderId="10" xfId="0" applyFont="1" applyFill="1" applyBorder="1"/>
    <xf numFmtId="0" fontId="6" fillId="4" borderId="8" xfId="0" applyFont="1" applyFill="1" applyBorder="1"/>
    <xf numFmtId="10" fontId="6" fillId="0" borderId="0" xfId="0" applyNumberFormat="1" applyFont="1"/>
    <xf numFmtId="0" fontId="6" fillId="0" borderId="0" xfId="0" applyFont="1" applyAlignment="1">
      <alignment wrapText="1"/>
    </xf>
    <xf numFmtId="0" fontId="32" fillId="0" borderId="1" xfId="0" applyFont="1" applyBorder="1"/>
    <xf numFmtId="8" fontId="32" fillId="0" borderId="1" xfId="0" applyNumberFormat="1" applyFont="1" applyBorder="1"/>
    <xf numFmtId="8" fontId="32" fillId="6" borderId="1" xfId="0" applyNumberFormat="1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33" fillId="2" borderId="0" xfId="0" applyFont="1" applyFill="1" applyAlignment="1">
      <alignment horizontal="center" wrapText="1"/>
    </xf>
    <xf numFmtId="0" fontId="32" fillId="0" borderId="1" xfId="0" applyFont="1" applyBorder="1" applyAlignment="1">
      <alignment wrapText="1"/>
    </xf>
    <xf numFmtId="0" fontId="32" fillId="0" borderId="17" xfId="0" applyFont="1" applyBorder="1"/>
    <xf numFmtId="10" fontId="32" fillId="0" borderId="1" xfId="0" applyNumberFormat="1" applyFont="1" applyBorder="1"/>
    <xf numFmtId="10" fontId="32" fillId="0" borderId="17" xfId="0" applyNumberFormat="1" applyFont="1" applyBorder="1"/>
    <xf numFmtId="2" fontId="32" fillId="0" borderId="1" xfId="0" applyNumberFormat="1" applyFont="1" applyBorder="1"/>
    <xf numFmtId="2" fontId="32" fillId="0" borderId="17" xfId="0" applyNumberFormat="1" applyFont="1" applyBorder="1"/>
    <xf numFmtId="8" fontId="32" fillId="0" borderId="17" xfId="0" applyNumberFormat="1" applyFont="1" applyBorder="1"/>
    <xf numFmtId="0" fontId="32" fillId="6" borderId="1" xfId="0" applyFont="1" applyFill="1" applyBorder="1" applyAlignment="1">
      <alignment wrapText="1"/>
    </xf>
    <xf numFmtId="0" fontId="18" fillId="3" borderId="1" xfId="0" applyFont="1" applyFill="1" applyBorder="1" applyAlignment="1">
      <alignment wrapText="1"/>
    </xf>
    <xf numFmtId="0" fontId="18" fillId="3" borderId="1" xfId="0" applyFont="1" applyFill="1" applyBorder="1"/>
    <xf numFmtId="0" fontId="18" fillId="3" borderId="17" xfId="0" applyFont="1" applyFill="1" applyBorder="1"/>
    <xf numFmtId="0" fontId="32" fillId="3" borderId="1" xfId="0" applyFont="1" applyFill="1" applyBorder="1"/>
    <xf numFmtId="4" fontId="32" fillId="0" borderId="1" xfId="0" applyNumberFormat="1" applyFont="1" applyBorder="1"/>
    <xf numFmtId="4" fontId="32" fillId="0" borderId="17" xfId="0" applyNumberFormat="1" applyFont="1" applyBorder="1"/>
    <xf numFmtId="0" fontId="34" fillId="0" borderId="1" xfId="0" applyFont="1" applyBorder="1"/>
    <xf numFmtId="0" fontId="32" fillId="3" borderId="5" xfId="0" applyFont="1" applyFill="1" applyBorder="1" applyAlignment="1">
      <alignment wrapText="1"/>
    </xf>
    <xf numFmtId="0" fontId="18" fillId="3" borderId="0" xfId="0" applyFont="1" applyFill="1"/>
    <xf numFmtId="0" fontId="18" fillId="3" borderId="6" xfId="0" applyFont="1" applyFill="1" applyBorder="1"/>
    <xf numFmtId="0" fontId="32" fillId="3" borderId="1" xfId="0" applyFont="1" applyFill="1" applyBorder="1" applyAlignment="1">
      <alignment wrapText="1"/>
    </xf>
    <xf numFmtId="0" fontId="32" fillId="0" borderId="1" xfId="0" applyFont="1" applyBorder="1" applyAlignment="1">
      <alignment horizontal="right"/>
    </xf>
    <xf numFmtId="0" fontId="10" fillId="0" borderId="0" xfId="0" applyFont="1"/>
    <xf numFmtId="10" fontId="35" fillId="0" borderId="0" xfId="0" applyNumberFormat="1" applyFont="1"/>
    <xf numFmtId="9" fontId="0" fillId="0" borderId="0" xfId="0" applyNumberFormat="1"/>
    <xf numFmtId="8" fontId="23" fillId="0" borderId="23" xfId="0" applyNumberFormat="1" applyFont="1" applyBorder="1"/>
    <xf numFmtId="10" fontId="23" fillId="0" borderId="23" xfId="0" applyNumberFormat="1" applyFont="1" applyBorder="1"/>
    <xf numFmtId="0" fontId="10" fillId="7" borderId="20" xfId="0" applyFont="1" applyFill="1" applyBorder="1"/>
    <xf numFmtId="0" fontId="10" fillId="7" borderId="21" xfId="0" applyFont="1" applyFill="1" applyBorder="1"/>
    <xf numFmtId="0" fontId="27" fillId="0" borderId="23" xfId="0" applyFont="1" applyBorder="1"/>
    <xf numFmtId="0" fontId="30" fillId="2" borderId="0" xfId="0" applyFont="1" applyFill="1"/>
    <xf numFmtId="0" fontId="30" fillId="3" borderId="1" xfId="0" applyFont="1" applyFill="1" applyBorder="1"/>
    <xf numFmtId="10" fontId="6" fillId="0" borderId="1" xfId="0" applyNumberFormat="1" applyFont="1" applyBorder="1"/>
    <xf numFmtId="0" fontId="0" fillId="8" borderId="0" xfId="0" applyFill="1"/>
    <xf numFmtId="2" fontId="22" fillId="0" borderId="1" xfId="0" applyNumberFormat="1" applyFont="1" applyBorder="1"/>
    <xf numFmtId="2" fontId="6" fillId="4" borderId="32" xfId="0" applyNumberFormat="1" applyFont="1" applyFill="1" applyBorder="1"/>
    <xf numFmtId="10" fontId="0" fillId="4" borderId="0" xfId="0" applyNumberFormat="1" applyFill="1"/>
    <xf numFmtId="0" fontId="6" fillId="4" borderId="0" xfId="0" applyFont="1" applyFill="1"/>
    <xf numFmtId="0" fontId="6" fillId="4" borderId="5" xfId="0" applyFont="1" applyFill="1" applyBorder="1" applyAlignment="1">
      <alignment wrapText="1"/>
    </xf>
    <xf numFmtId="2" fontId="6" fillId="4" borderId="0" xfId="0" applyNumberFormat="1" applyFont="1" applyFill="1"/>
    <xf numFmtId="0" fontId="31" fillId="4" borderId="0" xfId="0" applyFont="1" applyFill="1"/>
    <xf numFmtId="0" fontId="6" fillId="4" borderId="0" xfId="0" applyFont="1" applyFill="1" applyAlignment="1">
      <alignment wrapText="1"/>
    </xf>
    <xf numFmtId="169" fontId="0" fillId="0" borderId="0" xfId="2" applyNumberFormat="1" applyFont="1"/>
    <xf numFmtId="10" fontId="0" fillId="0" borderId="0" xfId="2" applyNumberFormat="1" applyFont="1"/>
    <xf numFmtId="168" fontId="27" fillId="2" borderId="23" xfId="0" applyNumberFormat="1" applyFont="1" applyFill="1" applyBorder="1" applyAlignment="1">
      <alignment horizontal="right"/>
    </xf>
    <xf numFmtId="0" fontId="5" fillId="8" borderId="13" xfId="0" applyFont="1" applyFill="1" applyBorder="1"/>
    <xf numFmtId="1" fontId="5" fillId="8" borderId="13" xfId="0" applyNumberFormat="1" applyFont="1" applyFill="1" applyBorder="1"/>
    <xf numFmtId="0" fontId="29" fillId="0" borderId="1" xfId="0" applyFont="1" applyBorder="1"/>
    <xf numFmtId="0" fontId="29" fillId="2" borderId="1" xfId="0" applyFont="1" applyFill="1" applyBorder="1"/>
    <xf numFmtId="10" fontId="27" fillId="0" borderId="33" xfId="0" applyNumberFormat="1" applyFont="1" applyBorder="1"/>
    <xf numFmtId="10" fontId="27" fillId="0" borderId="20" xfId="0" applyNumberFormat="1" applyFont="1" applyBorder="1"/>
    <xf numFmtId="164" fontId="29" fillId="0" borderId="16" xfId="0" applyNumberFormat="1" applyFont="1" applyBorder="1"/>
    <xf numFmtId="0" fontId="29" fillId="0" borderId="16" xfId="0" applyFont="1" applyBorder="1"/>
    <xf numFmtId="166" fontId="0" fillId="0" borderId="0" xfId="0" applyNumberFormat="1"/>
    <xf numFmtId="8" fontId="0" fillId="0" borderId="0" xfId="0" applyNumberFormat="1"/>
    <xf numFmtId="8" fontId="0" fillId="0" borderId="1" xfId="0" applyNumberFormat="1" applyBorder="1"/>
    <xf numFmtId="10" fontId="8" fillId="0" borderId="1" xfId="0" applyNumberFormat="1" applyFont="1" applyBorder="1"/>
    <xf numFmtId="0" fontId="8" fillId="2" borderId="1" xfId="0" applyFont="1" applyFill="1" applyBorder="1"/>
    <xf numFmtId="10" fontId="8" fillId="2" borderId="1" xfId="0" applyNumberFormat="1" applyFont="1" applyFill="1" applyBorder="1"/>
    <xf numFmtId="8" fontId="8" fillId="6" borderId="1" xfId="0" applyNumberFormat="1" applyFont="1" applyFill="1" applyBorder="1"/>
    <xf numFmtId="10" fontId="8" fillId="4" borderId="1" xfId="0" applyNumberFormat="1" applyFont="1" applyFill="1" applyBorder="1"/>
    <xf numFmtId="8" fontId="5" fillId="0" borderId="13" xfId="0" applyNumberFormat="1" applyFont="1" applyBorder="1"/>
    <xf numFmtId="0" fontId="21" fillId="0" borderId="1" xfId="0" applyFont="1" applyBorder="1"/>
    <xf numFmtId="0" fontId="21" fillId="2" borderId="1" xfId="0" applyFont="1" applyFill="1" applyBorder="1"/>
    <xf numFmtId="0" fontId="37" fillId="3" borderId="16" xfId="0" applyFont="1" applyFill="1" applyBorder="1"/>
    <xf numFmtId="0" fontId="38" fillId="0" borderId="1" xfId="0" applyFont="1" applyBorder="1"/>
    <xf numFmtId="0" fontId="38" fillId="0" borderId="0" xfId="0" applyFont="1"/>
    <xf numFmtId="2" fontId="38" fillId="0" borderId="1" xfId="0" applyNumberFormat="1" applyFont="1" applyBorder="1"/>
    <xf numFmtId="0" fontId="39" fillId="0" borderId="1" xfId="0" applyFont="1" applyBorder="1" applyAlignment="1">
      <alignment wrapText="1"/>
    </xf>
    <xf numFmtId="10" fontId="39" fillId="0" borderId="1" xfId="0" applyNumberFormat="1" applyFont="1" applyBorder="1"/>
    <xf numFmtId="10" fontId="39" fillId="0" borderId="1" xfId="0" applyNumberFormat="1" applyFont="1" applyBorder="1" applyAlignment="1">
      <alignment wrapText="1"/>
    </xf>
    <xf numFmtId="6" fontId="39" fillId="0" borderId="1" xfId="0" applyNumberFormat="1" applyFont="1" applyBorder="1" applyAlignment="1">
      <alignment wrapText="1"/>
    </xf>
    <xf numFmtId="0" fontId="37" fillId="2" borderId="0" xfId="0" applyFont="1" applyFill="1"/>
    <xf numFmtId="0" fontId="40" fillId="0" borderId="1" xfId="0" applyFont="1" applyBorder="1"/>
    <xf numFmtId="6" fontId="40" fillId="0" borderId="1" xfId="0" applyNumberFormat="1" applyFont="1" applyBorder="1"/>
    <xf numFmtId="8" fontId="40" fillId="0" borderId="1" xfId="0" applyNumberFormat="1" applyFont="1" applyBorder="1"/>
    <xf numFmtId="0" fontId="40" fillId="6" borderId="1" xfId="0" applyFont="1" applyFill="1" applyBorder="1"/>
    <xf numFmtId="8" fontId="40" fillId="6" borderId="1" xfId="0" applyNumberFormat="1" applyFont="1" applyFill="1" applyBorder="1"/>
    <xf numFmtId="8" fontId="0" fillId="0" borderId="0" xfId="0" applyNumberFormat="1" applyAlignment="1">
      <alignment horizontal="center"/>
    </xf>
    <xf numFmtId="10" fontId="8" fillId="0" borderId="0" xfId="0" applyNumberFormat="1" applyFont="1" applyAlignment="1">
      <alignment horizontal="left"/>
    </xf>
    <xf numFmtId="10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9" fontId="8" fillId="0" borderId="0" xfId="0" applyNumberFormat="1" applyFont="1"/>
    <xf numFmtId="10" fontId="8" fillId="4" borderId="0" xfId="0" applyNumberFormat="1" applyFont="1" applyFill="1"/>
    <xf numFmtId="9" fontId="8" fillId="4" borderId="0" xfId="0" applyNumberFormat="1" applyFont="1" applyFill="1"/>
    <xf numFmtId="8" fontId="0" fillId="4" borderId="0" xfId="0" applyNumberFormat="1" applyFill="1"/>
    <xf numFmtId="167" fontId="28" fillId="4" borderId="0" xfId="0" applyNumberFormat="1" applyFont="1" applyFill="1"/>
    <xf numFmtId="10" fontId="28" fillId="4" borderId="0" xfId="0" applyNumberFormat="1" applyFont="1" applyFill="1"/>
    <xf numFmtId="10" fontId="29" fillId="4" borderId="0" xfId="0" applyNumberFormat="1" applyFont="1" applyFill="1"/>
    <xf numFmtId="0" fontId="29" fillId="4" borderId="0" xfId="0" applyFont="1" applyFill="1"/>
    <xf numFmtId="8" fontId="8" fillId="4" borderId="0" xfId="0" applyNumberFormat="1" applyFont="1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30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5" fillId="0" borderId="19" xfId="0" applyFont="1" applyBorder="1" applyAlignment="1">
      <alignment horizontal="center"/>
    </xf>
    <xf numFmtId="0" fontId="17" fillId="2" borderId="2" xfId="0" applyFont="1" applyFill="1" applyBorder="1" applyAlignment="1">
      <alignment horizontal="center" wrapText="1"/>
    </xf>
    <xf numFmtId="0" fontId="17" fillId="2" borderId="3" xfId="0" applyFont="1" applyFill="1" applyBorder="1" applyAlignment="1">
      <alignment horizontal="center" wrapText="1"/>
    </xf>
    <xf numFmtId="0" fontId="17" fillId="2" borderId="4" xfId="0" applyFont="1" applyFill="1" applyBorder="1" applyAlignment="1">
      <alignment horizontal="center" wrapText="1"/>
    </xf>
    <xf numFmtId="0" fontId="19" fillId="2" borderId="0" xfId="0" applyFont="1" applyFill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horizontal="left"/>
    </xf>
    <xf numFmtId="0" fontId="19" fillId="2" borderId="0" xfId="0" applyFont="1" applyFill="1" applyAlignment="1">
      <alignment horizontal="center" wrapText="1"/>
    </xf>
    <xf numFmtId="0" fontId="20" fillId="2" borderId="17" xfId="0" applyFont="1" applyFill="1" applyBorder="1" applyAlignment="1"/>
    <xf numFmtId="0" fontId="20" fillId="2" borderId="18" xfId="0" applyFont="1" applyFill="1" applyBorder="1" applyAlignment="1"/>
    <xf numFmtId="0" fontId="20" fillId="2" borderId="15" xfId="0" applyFont="1" applyFill="1" applyBorder="1" applyAlignment="1"/>
    <xf numFmtId="0" fontId="0" fillId="2" borderId="0" xfId="0" applyFill="1" applyAlignment="1"/>
    <xf numFmtId="0" fontId="0" fillId="2" borderId="8" xfId="0" applyFill="1" applyBorder="1" applyAlignment="1"/>
    <xf numFmtId="0" fontId="37" fillId="2" borderId="2" xfId="0" applyFont="1" applyFill="1" applyBorder="1" applyAlignment="1"/>
    <xf numFmtId="0" fontId="37" fillId="2" borderId="4" xfId="0" applyFont="1" applyFill="1" applyBorder="1" applyAlignment="1"/>
    <xf numFmtId="0" fontId="9" fillId="2" borderId="17" xfId="0" applyFont="1" applyFill="1" applyBorder="1" applyAlignment="1"/>
    <xf numFmtId="0" fontId="9" fillId="2" borderId="18" xfId="0" applyFont="1" applyFill="1" applyBorder="1" applyAlignment="1"/>
    <xf numFmtId="0" fontId="9" fillId="2" borderId="15" xfId="0" applyFont="1" applyFill="1" applyBorder="1" applyAlignment="1"/>
    <xf numFmtId="0" fontId="20" fillId="0" borderId="0" xfId="0" applyFont="1" applyAlignment="1"/>
  </cellXfs>
  <cellStyles count="3">
    <cellStyle name="Normal" xfId="0" builtinId="0"/>
    <cellStyle name="Normal 2" xfId="1" xr:uid="{A84B76C4-F86E-5443-8CD7-63092032734F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Forecast</a:t>
            </a:r>
            <a:r>
              <a:rPr lang="en-US" altLang="zh-CN" baseline="0"/>
              <a:t> </a:t>
            </a:r>
            <a:r>
              <a:rPr lang="en-US" altLang="zh-CN"/>
              <a:t>Free</a:t>
            </a:r>
            <a:r>
              <a:rPr lang="en-US" altLang="zh-CN" baseline="0"/>
              <a:t> Cash Flow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'DCF Valuation'!$C$32:$H$32</c:f>
              <c:numCache>
                <c:formatCode>General</c:formatCode>
                <c:ptCount val="6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</c:numCache>
            </c:numRef>
          </c:cat>
          <c:val>
            <c:numRef>
              <c:f>'DCF Valuation'!$C$43:$H$43</c:f>
              <c:numCache>
                <c:formatCode>"$"#,##0_);[Red]\("$"#,##0\)</c:formatCode>
                <c:ptCount val="6"/>
                <c:pt idx="0">
                  <c:v>15560.76</c:v>
                </c:pt>
                <c:pt idx="1">
                  <c:v>16888.493393838111</c:v>
                </c:pt>
                <c:pt idx="2">
                  <c:v>15784.426401809804</c:v>
                </c:pt>
                <c:pt idx="3">
                  <c:v>16273.743620265908</c:v>
                </c:pt>
                <c:pt idx="4">
                  <c:v>16778.229672494137</c:v>
                </c:pt>
                <c:pt idx="5">
                  <c:v>17298.354792341474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D-F74B-BAAC-8ACE7EBBE0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8024592"/>
        <c:axId val="327838928"/>
      </c:barChart>
      <c:catAx>
        <c:axId val="5580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838928"/>
        <c:crosses val="autoZero"/>
        <c:auto val="1"/>
        <c:lblAlgn val="ctr"/>
        <c:lblOffset val="100"/>
        <c:noMultiLvlLbl val="0"/>
      </c:catAx>
      <c:valAx>
        <c:axId val="3278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02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EV/EBITDA</a:t>
            </a:r>
            <a:endParaRPr lang="en-US" altLang="zh-C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'Exit Multiple'!$C$4:$G$4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'Exit Multiple'!$C$5:$G$5</c:f>
              <c:numCache>
                <c:formatCode>General</c:formatCode>
                <c:ptCount val="5"/>
                <c:pt idx="0">
                  <c:v>14.82</c:v>
                </c:pt>
                <c:pt idx="1">
                  <c:v>15.18</c:v>
                </c:pt>
                <c:pt idx="2">
                  <c:v>15.69</c:v>
                </c:pt>
                <c:pt idx="3">
                  <c:v>13.11</c:v>
                </c:pt>
                <c:pt idx="4">
                  <c:v>15.26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8-4624-9F3E-0F5D68DC7B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3396543"/>
        <c:axId val="933398943"/>
      </c:barChart>
      <c:catAx>
        <c:axId val="93339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398943"/>
        <c:crosses val="autoZero"/>
        <c:auto val="1"/>
        <c:lblAlgn val="ctr"/>
        <c:lblOffset val="100"/>
        <c:noMultiLvlLbl val="0"/>
      </c:catAx>
      <c:valAx>
        <c:axId val="93339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39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Dividends Per</a:t>
            </a:r>
            <a:r>
              <a:rPr lang="en-US" altLang="zh-CN" baseline="0"/>
              <a:t> Shares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DDM!$B$4:$K$4</c:f>
              <c:strCache>
                <c:ptCount val="10"/>
                <c:pt idx="0">
                  <c:v>FY 2015</c:v>
                </c:pt>
                <c:pt idx="1">
                  <c:v>FY 2016</c:v>
                </c:pt>
                <c:pt idx="2">
                  <c:v>FY 2017</c:v>
                </c:pt>
                <c:pt idx="3">
                  <c:v>FY 2018</c:v>
                </c:pt>
                <c:pt idx="4">
                  <c:v>FY 2019</c:v>
                </c:pt>
                <c:pt idx="5">
                  <c:v>FY 2020</c:v>
                </c:pt>
                <c:pt idx="6">
                  <c:v>FY 2021</c:v>
                </c:pt>
                <c:pt idx="7">
                  <c:v>FY 2022</c:v>
                </c:pt>
                <c:pt idx="8">
                  <c:v>FY 2023</c:v>
                </c:pt>
                <c:pt idx="9">
                  <c:v>FY 2024</c:v>
                </c:pt>
              </c:strCache>
            </c:strRef>
          </c:cat>
          <c:val>
            <c:numRef>
              <c:f>DDM!$B$5:$K$5</c:f>
              <c:numCache>
                <c:formatCode>General</c:formatCode>
                <c:ptCount val="10"/>
                <c:pt idx="0">
                  <c:v>2.36</c:v>
                </c:pt>
                <c:pt idx="1">
                  <c:v>2.76</c:v>
                </c:pt>
                <c:pt idx="2">
                  <c:v>3.56</c:v>
                </c:pt>
                <c:pt idx="3">
                  <c:v>4.12</c:v>
                </c:pt>
                <c:pt idx="4">
                  <c:v>5.44</c:v>
                </c:pt>
                <c:pt idx="5">
                  <c:v>6</c:v>
                </c:pt>
                <c:pt idx="6">
                  <c:v>6.6</c:v>
                </c:pt>
                <c:pt idx="7">
                  <c:v>7.6</c:v>
                </c:pt>
                <c:pt idx="8">
                  <c:v>8.36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5-482D-8B19-2ADAD84BAF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3555167"/>
        <c:axId val="493557567"/>
      </c:barChart>
      <c:catAx>
        <c:axId val="49355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557567"/>
        <c:crosses val="autoZero"/>
        <c:auto val="1"/>
        <c:lblAlgn val="ctr"/>
        <c:lblOffset val="100"/>
        <c:noMultiLvlLbl val="0"/>
      </c:catAx>
      <c:valAx>
        <c:axId val="49355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55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Payout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DDM!$B$13:$K$13</c:f>
              <c:numCache>
                <c:formatCode>0.00%</c:formatCode>
                <c:ptCount val="10"/>
                <c:pt idx="0">
                  <c:v>0.49789029535864976</c:v>
                </c:pt>
                <c:pt idx="1">
                  <c:v>0.50273224043715836</c:v>
                </c:pt>
                <c:pt idx="2">
                  <c:v>0.55023183925811436</c:v>
                </c:pt>
                <c:pt idx="3">
                  <c:v>0.42126789366053174</c:v>
                </c:pt>
                <c:pt idx="4">
                  <c:v>0.52866861030126344</c:v>
                </c:pt>
                <c:pt idx="5">
                  <c:v>0.5008347245409015</c:v>
                </c:pt>
                <c:pt idx="6">
                  <c:v>0.42334830019243103</c:v>
                </c:pt>
                <c:pt idx="7">
                  <c:v>0.45400238948626048</c:v>
                </c:pt>
                <c:pt idx="8">
                  <c:v>0.55327597617471869</c:v>
                </c:pt>
                <c:pt idx="9">
                  <c:v>0.60362173038229372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F-4A0B-9B73-59870C55A4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3885039"/>
        <c:axId val="493885519"/>
      </c:barChart>
      <c:catAx>
        <c:axId val="49388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85519"/>
        <c:crosses val="autoZero"/>
        <c:auto val="1"/>
        <c:lblAlgn val="ctr"/>
        <c:lblOffset val="100"/>
        <c:noMultiLvlLbl val="0"/>
      </c:catAx>
      <c:valAx>
        <c:axId val="49388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8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2513509</xdr:colOff>
      <xdr:row>29</xdr:row>
      <xdr:rowOff>62018</xdr:rowOff>
    </xdr:from>
    <xdr:to>
      <xdr:col>11</xdr:col>
      <xdr:colOff>151154</xdr:colOff>
      <xdr:row>48</xdr:row>
      <xdr:rowOff>104670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D24D66E-6524-5ED4-03FC-B0488B2DC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664264</xdr:colOff>
      <xdr:row>18</xdr:row>
      <xdr:rowOff>2070</xdr:rowOff>
    </xdr:from>
    <xdr:to>
      <xdr:col>16</xdr:col>
      <xdr:colOff>484946</xdr:colOff>
      <xdr:row>32</xdr:row>
      <xdr:rowOff>169379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DDC33B-4D9C-76B3-D673-23042B21A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138112</xdr:colOff>
      <xdr:row>3</xdr:row>
      <xdr:rowOff>142875</xdr:rowOff>
    </xdr:from>
    <xdr:to>
      <xdr:col>20</xdr:col>
      <xdr:colOff>566737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2ACE92-7C3D-D0C3-8196-68D0C2EA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18</xdr:col>
      <xdr:colOff>514350</xdr:colOff>
      <xdr:row>28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F381F6-8F5D-B87F-6BCF-C67BD24F6B26}"/>
            </a:ext>
            <a:ext uri="{147F2762-F138-4A5C-976F-8EAC2B608ADB}">
              <a16:predDERef xmlns:a16="http://schemas.microsoft.com/office/drawing/2014/main" pred="{DF2ACE92-7C3D-D0C3-8196-68D0C2EA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19545-4B75-4FB8-9912-4B8B4D6C1D94}">
  <dimension ref="B2:Y31"/>
  <sheetViews>
    <sheetView zoomScale="125" workbookViewId="0">
      <selection activeCell="D19" sqref="D19"/>
    </sheetView>
  </sheetViews>
  <sheetFormatPr defaultColWidth="8.875" defaultRowHeight="15"/>
  <cols>
    <col min="2" max="2" width="14.625" customWidth="1"/>
    <col min="3" max="3" width="17.875" customWidth="1"/>
    <col min="4" max="5" width="15.5" customWidth="1"/>
    <col min="6" max="6" width="17" customWidth="1"/>
    <col min="7" max="7" width="9.875" bestFit="1" customWidth="1"/>
    <col min="9" max="9" width="10.625" bestFit="1" customWidth="1"/>
    <col min="10" max="15" width="9.625" bestFit="1" customWidth="1"/>
    <col min="17" max="17" width="10.625" bestFit="1" customWidth="1"/>
  </cols>
  <sheetData>
    <row r="2" spans="2:19" ht="18">
      <c r="B2" s="308" t="s">
        <v>0</v>
      </c>
      <c r="C2" s="309"/>
      <c r="D2" s="309"/>
      <c r="E2" s="310"/>
    </row>
    <row r="3" spans="2:19" ht="18">
      <c r="B3" s="111" t="s">
        <v>1</v>
      </c>
      <c r="C3" s="111" t="s">
        <v>2</v>
      </c>
      <c r="D3" s="111" t="s">
        <v>3</v>
      </c>
      <c r="E3" s="111"/>
    </row>
    <row r="4" spans="2:19" ht="18">
      <c r="B4" s="103" t="s">
        <v>4</v>
      </c>
      <c r="C4" s="226">
        <f>'DCF Valuation'!B55</f>
        <v>177.66543918523519</v>
      </c>
      <c r="D4" s="104">
        <v>0.25</v>
      </c>
      <c r="E4" s="103">
        <f>C4*D4</f>
        <v>44.416359796308797</v>
      </c>
      <c r="M4" s="98"/>
    </row>
    <row r="5" spans="2:19" ht="18">
      <c r="B5" s="103" t="s">
        <v>5</v>
      </c>
      <c r="C5" s="110">
        <f>'Exit Multiple'!G31</f>
        <v>329.93044284950236</v>
      </c>
      <c r="D5" s="104">
        <v>0.5</v>
      </c>
      <c r="E5" s="103">
        <f>C5*D5</f>
        <v>164.96522142475118</v>
      </c>
    </row>
    <row r="6" spans="2:19" ht="18">
      <c r="B6" s="103" t="s">
        <v>6</v>
      </c>
      <c r="C6" s="110">
        <f>DDM!B33</f>
        <v>257.73857398872343</v>
      </c>
      <c r="D6" s="104">
        <v>0.25</v>
      </c>
      <c r="E6" s="103">
        <f>C6*D6</f>
        <v>64.434643497180858</v>
      </c>
    </row>
    <row r="7" spans="2:19" ht="18.75">
      <c r="B7" s="103"/>
      <c r="C7" s="103"/>
      <c r="D7" s="254" t="s">
        <v>7</v>
      </c>
      <c r="E7" s="255">
        <f>SUM(E4:E6)</f>
        <v>273.81622471824085</v>
      </c>
    </row>
    <row r="11" spans="2:19" ht="15.95">
      <c r="I11" s="34"/>
      <c r="J11" s="34"/>
      <c r="K11" s="34"/>
      <c r="L11" s="34"/>
      <c r="M11" s="34"/>
      <c r="N11" s="34"/>
      <c r="O11" s="34"/>
      <c r="P11" s="34"/>
      <c r="Q11" s="34"/>
    </row>
    <row r="12" spans="2:19" ht="15.95">
      <c r="I12" s="123"/>
      <c r="J12" s="124"/>
      <c r="K12" s="124"/>
      <c r="L12" s="124"/>
      <c r="M12" s="124"/>
      <c r="N12" s="124"/>
      <c r="O12" s="124"/>
      <c r="P12" s="124"/>
      <c r="Q12" s="124"/>
      <c r="S12" s="98"/>
    </row>
    <row r="13" spans="2:19" ht="15.95">
      <c r="I13" s="124"/>
      <c r="J13" s="109"/>
      <c r="K13" s="125"/>
      <c r="L13" s="125"/>
      <c r="M13" s="125"/>
      <c r="N13" s="125"/>
      <c r="O13" s="125"/>
      <c r="P13" s="125"/>
      <c r="Q13" s="125"/>
    </row>
    <row r="14" spans="2:19" ht="15.95">
      <c r="I14" s="124"/>
      <c r="J14" s="125"/>
      <c r="K14" s="125"/>
      <c r="L14" s="125"/>
      <c r="M14" s="125"/>
      <c r="N14" s="125"/>
      <c r="O14" s="125"/>
      <c r="P14" s="125"/>
      <c r="Q14" s="125"/>
    </row>
    <row r="15" spans="2:19" ht="15.95">
      <c r="I15" s="124"/>
      <c r="J15" s="125"/>
      <c r="K15" s="125"/>
      <c r="L15" s="125"/>
      <c r="M15" s="125"/>
      <c r="N15" s="125"/>
      <c r="O15" s="125"/>
      <c r="P15" s="125"/>
      <c r="Q15" s="125"/>
    </row>
    <row r="27" spans="16:25" ht="15.95">
      <c r="P27" s="112"/>
      <c r="Q27" s="113"/>
      <c r="R27" s="113"/>
      <c r="S27" s="113"/>
      <c r="T27" s="113"/>
      <c r="U27" s="113"/>
      <c r="V27" s="113"/>
      <c r="W27" s="113"/>
      <c r="X27" s="113"/>
      <c r="Y27" s="113"/>
    </row>
    <row r="28" spans="16:25" ht="15.95">
      <c r="P28" s="112"/>
      <c r="Q28" s="114"/>
      <c r="R28" s="115"/>
      <c r="S28" s="115"/>
      <c r="T28" s="115"/>
      <c r="U28" s="115"/>
      <c r="V28" s="115"/>
      <c r="W28" s="115"/>
      <c r="X28" s="115"/>
      <c r="Y28" s="115"/>
    </row>
    <row r="29" spans="16:25" ht="15.95">
      <c r="P29" s="112"/>
      <c r="Q29" s="115"/>
      <c r="R29" s="116"/>
      <c r="S29" s="117"/>
      <c r="T29" s="117"/>
      <c r="U29" s="117"/>
      <c r="V29" s="117"/>
      <c r="W29" s="117"/>
      <c r="X29" s="117"/>
      <c r="Y29" s="117"/>
    </row>
    <row r="30" spans="16:25" ht="15.95">
      <c r="P30" s="112"/>
      <c r="Q30" s="115"/>
      <c r="R30" s="117"/>
      <c r="S30" s="117"/>
      <c r="T30" s="117"/>
      <c r="U30" s="117"/>
      <c r="V30" s="117"/>
      <c r="W30" s="117"/>
      <c r="X30" s="117"/>
      <c r="Y30" s="117"/>
    </row>
    <row r="31" spans="16:25" ht="15.95">
      <c r="P31" s="112"/>
      <c r="Q31" s="115"/>
      <c r="R31" s="117"/>
      <c r="S31" s="117"/>
      <c r="T31" s="117"/>
      <c r="U31" s="117"/>
      <c r="V31" s="117"/>
      <c r="W31" s="117"/>
      <c r="X31" s="117"/>
      <c r="Y31" s="117"/>
    </row>
  </sheetData>
  <mergeCells count="1">
    <mergeCell ref="B2:E2"/>
  </mergeCells>
  <phoneticPr fontId="2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B91"/>
  <sheetViews>
    <sheetView zoomScale="150" workbookViewId="0">
      <selection activeCell="O84" sqref="O84"/>
    </sheetView>
  </sheetViews>
  <sheetFormatPr defaultColWidth="8.875" defaultRowHeight="15"/>
  <cols>
    <col min="1" max="1" width="46.875" customWidth="1"/>
    <col min="2" max="2" width="20.375" customWidth="1"/>
    <col min="3" max="3" width="16.5" customWidth="1"/>
    <col min="4" max="4" width="15.5" customWidth="1"/>
    <col min="5" max="5" width="16.375" customWidth="1"/>
    <col min="6" max="6" width="13.5" customWidth="1"/>
    <col min="7" max="7" width="17.625" customWidth="1"/>
    <col min="8" max="8" width="15.375" customWidth="1"/>
    <col min="9" max="9" width="13.875" customWidth="1"/>
    <col min="10" max="10" width="15.125" customWidth="1"/>
    <col min="11" max="11" width="15.375" customWidth="1"/>
    <col min="12" max="12" width="15.875" customWidth="1"/>
    <col min="13" max="13" width="12.5" customWidth="1"/>
    <col min="15" max="15" width="10.5" bestFit="1" customWidth="1"/>
    <col min="21" max="21" width="11.875" bestFit="1" customWidth="1"/>
  </cols>
  <sheetData>
    <row r="4" spans="1:14">
      <c r="A4" s="284" t="s">
        <v>8</v>
      </c>
      <c r="B4" s="285"/>
      <c r="C4" s="285"/>
      <c r="D4" s="285"/>
      <c r="E4" s="285"/>
      <c r="F4" s="285"/>
      <c r="G4" s="285"/>
      <c r="H4" s="285"/>
      <c r="I4" s="285"/>
      <c r="J4" s="285"/>
      <c r="K4" s="286"/>
    </row>
    <row r="5" spans="1:14">
      <c r="A5" s="287"/>
      <c r="B5" s="288"/>
      <c r="C5" s="288"/>
      <c r="D5" s="288"/>
      <c r="E5" s="288"/>
      <c r="F5" s="288"/>
      <c r="G5" s="288"/>
      <c r="H5" s="288"/>
      <c r="I5" s="288"/>
      <c r="J5" s="288"/>
      <c r="K5" s="289"/>
    </row>
    <row r="6" spans="1:14">
      <c r="A6" s="290"/>
      <c r="B6" s="291"/>
      <c r="C6" s="291"/>
      <c r="D6" s="291"/>
      <c r="E6" s="291"/>
      <c r="F6" s="291"/>
      <c r="G6" s="291"/>
      <c r="H6" s="291"/>
      <c r="I6" s="291"/>
      <c r="J6" s="291"/>
      <c r="K6" s="292"/>
    </row>
    <row r="7" spans="1:14">
      <c r="A7" s="6" t="s">
        <v>9</v>
      </c>
      <c r="B7" s="6">
        <v>2020</v>
      </c>
      <c r="C7" s="6">
        <v>2021</v>
      </c>
      <c r="D7" s="6">
        <v>2022</v>
      </c>
      <c r="E7" s="6">
        <v>2023</v>
      </c>
      <c r="F7" s="7">
        <v>2024</v>
      </c>
      <c r="G7" s="6" t="s">
        <v>10</v>
      </c>
      <c r="H7" s="6" t="s">
        <v>11</v>
      </c>
      <c r="I7" s="6" t="s">
        <v>12</v>
      </c>
      <c r="J7" s="6" t="s">
        <v>13</v>
      </c>
      <c r="K7" s="6" t="s">
        <v>14</v>
      </c>
    </row>
    <row r="8" spans="1:14">
      <c r="A8" s="8" t="s">
        <v>15</v>
      </c>
      <c r="B8" s="8" t="s">
        <v>16</v>
      </c>
      <c r="C8" s="8" t="s">
        <v>16</v>
      </c>
      <c r="D8" s="8" t="s">
        <v>16</v>
      </c>
      <c r="E8" s="8" t="s">
        <v>16</v>
      </c>
      <c r="F8" s="8" t="s">
        <v>16</v>
      </c>
      <c r="G8" s="8" t="s">
        <v>16</v>
      </c>
      <c r="H8" s="8" t="s">
        <v>16</v>
      </c>
      <c r="I8" s="8" t="s">
        <v>16</v>
      </c>
      <c r="J8" s="8" t="s">
        <v>16</v>
      </c>
      <c r="K8" s="8" t="s">
        <v>16</v>
      </c>
    </row>
    <row r="9" spans="1:14">
      <c r="A9" s="1"/>
      <c r="B9" s="9"/>
      <c r="C9" s="2"/>
      <c r="D9" s="2"/>
      <c r="E9" s="2"/>
      <c r="F9" s="2"/>
      <c r="G9" s="2"/>
      <c r="H9" s="2"/>
      <c r="I9" s="2"/>
      <c r="J9" s="2"/>
      <c r="K9" s="2"/>
    </row>
    <row r="10" spans="1:14">
      <c r="A10" s="3" t="s">
        <v>17</v>
      </c>
      <c r="B10" s="10">
        <v>132110</v>
      </c>
      <c r="C10" s="10">
        <v>151157</v>
      </c>
      <c r="D10" s="10">
        <v>157403</v>
      </c>
      <c r="E10" s="10">
        <v>152669</v>
      </c>
      <c r="F10" s="10">
        <v>159514</v>
      </c>
      <c r="G10" s="10">
        <f>F10*(1+2.8%)</f>
        <v>163980.39199999999</v>
      </c>
      <c r="H10" s="10">
        <f>G10*(1+3.1%)</f>
        <v>169063.78415199998</v>
      </c>
      <c r="I10" s="10">
        <f>H10*(1+3.1%)</f>
        <v>174304.76146071198</v>
      </c>
      <c r="J10" s="10">
        <f t="shared" ref="J10:K10" si="0">I10*(1+3.1%)</f>
        <v>179708.20906599404</v>
      </c>
      <c r="K10" s="10">
        <f t="shared" si="0"/>
        <v>185279.16354703985</v>
      </c>
      <c r="N10" s="98"/>
    </row>
    <row r="11" spans="1:14">
      <c r="A11" s="3" t="s">
        <v>18</v>
      </c>
      <c r="B11" s="10"/>
      <c r="C11" s="4">
        <f>(C10-B10)/B10</f>
        <v>0.14417530845507531</v>
      </c>
      <c r="D11" s="4">
        <f t="shared" ref="D11:F11" si="1">(D10-C10)/C10</f>
        <v>4.1321275230389594E-2</v>
      </c>
      <c r="E11" s="4">
        <f t="shared" si="1"/>
        <v>-3.007566564804991E-2</v>
      </c>
      <c r="F11" s="4">
        <f t="shared" si="1"/>
        <v>4.4835559281845037E-2</v>
      </c>
      <c r="G11" s="4">
        <f>'DCF Valuation'!D8</f>
        <v>2.8000000000000001E-2</v>
      </c>
      <c r="H11" s="4">
        <f>'DCF Valuation'!E8</f>
        <v>3.1E-2</v>
      </c>
      <c r="I11" s="4">
        <f>'DCF Valuation'!F8</f>
        <v>3.1E-2</v>
      </c>
      <c r="J11" s="4">
        <f>'DCF Valuation'!G8</f>
        <v>3.1E-2</v>
      </c>
      <c r="K11" s="4">
        <f>'DCF Valuation'!H8</f>
        <v>3.1E-2</v>
      </c>
      <c r="N11" s="98"/>
    </row>
    <row r="12" spans="1:14">
      <c r="A12" s="3" t="s">
        <v>19</v>
      </c>
      <c r="B12" s="11" t="s">
        <v>20</v>
      </c>
      <c r="C12" s="10"/>
      <c r="D12" s="11" t="s">
        <v>20</v>
      </c>
      <c r="E12" s="11" t="s">
        <v>20</v>
      </c>
      <c r="F12" s="11" t="s">
        <v>20</v>
      </c>
      <c r="G12" s="10"/>
      <c r="H12" s="10"/>
      <c r="I12" s="10"/>
      <c r="J12" s="10"/>
      <c r="K12" s="10"/>
    </row>
    <row r="13" spans="1:14">
      <c r="A13" s="6" t="s">
        <v>21</v>
      </c>
      <c r="B13" s="6">
        <f>B10</f>
        <v>132110</v>
      </c>
      <c r="C13" s="6">
        <f>C10</f>
        <v>151157</v>
      </c>
      <c r="D13" s="6">
        <f>D10</f>
        <v>157403</v>
      </c>
      <c r="E13" s="6">
        <f t="shared" ref="E13:K13" si="2">E10</f>
        <v>152669</v>
      </c>
      <c r="F13" s="12">
        <f>F10</f>
        <v>159514</v>
      </c>
      <c r="G13" s="12">
        <f t="shared" si="2"/>
        <v>163980.39199999999</v>
      </c>
      <c r="H13" s="12">
        <f t="shared" si="2"/>
        <v>169063.78415199998</v>
      </c>
      <c r="I13" s="12">
        <f t="shared" si="2"/>
        <v>174304.76146071198</v>
      </c>
      <c r="J13" s="12">
        <f t="shared" si="2"/>
        <v>179708.20906599404</v>
      </c>
      <c r="K13" s="12">
        <f t="shared" si="2"/>
        <v>185279.16354703985</v>
      </c>
    </row>
    <row r="14" spans="1: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4">
      <c r="A15" s="3" t="s">
        <v>22</v>
      </c>
      <c r="B15" s="13">
        <v>87257</v>
      </c>
      <c r="C15" s="14">
        <v>100325</v>
      </c>
      <c r="D15" s="14">
        <v>104625</v>
      </c>
      <c r="E15" s="13">
        <v>101709</v>
      </c>
      <c r="F15" s="14">
        <v>106206</v>
      </c>
      <c r="G15" s="10">
        <v>109866.86263999999</v>
      </c>
      <c r="H15" s="10">
        <v>113272.73538183999</v>
      </c>
      <c r="I15" s="10">
        <v>116784.19017867702</v>
      </c>
      <c r="J15" s="10">
        <v>120404.500074216</v>
      </c>
      <c r="K15" s="10">
        <v>124137.03957651669</v>
      </c>
    </row>
    <row r="16" spans="1:14">
      <c r="A16" s="3"/>
      <c r="B16" s="4">
        <f>B15/B10</f>
        <v>0.6604874725607448</v>
      </c>
      <c r="C16" s="4">
        <f>C15/C10</f>
        <v>0.66371388688582067</v>
      </c>
      <c r="D16" s="4">
        <f t="shared" ref="D16:G16" si="3">D15/D10</f>
        <v>0.66469508205053274</v>
      </c>
      <c r="E16" s="4">
        <f t="shared" si="3"/>
        <v>0.66620597501784906</v>
      </c>
      <c r="F16" s="4">
        <f t="shared" si="3"/>
        <v>0.66580989756385023</v>
      </c>
      <c r="G16" s="4">
        <f t="shared" si="3"/>
        <v>0.66999999999999993</v>
      </c>
      <c r="H16" s="4">
        <f t="shared" ref="H16" si="4">H15/H10</f>
        <v>0.67</v>
      </c>
      <c r="I16" s="4">
        <f t="shared" ref="I16" si="5">I15/I10</f>
        <v>0.66999999999999993</v>
      </c>
      <c r="J16" s="4">
        <f t="shared" ref="J16" si="6">J15/J10</f>
        <v>0.66999999999999993</v>
      </c>
      <c r="K16" s="4">
        <f t="shared" ref="K16" si="7">K15/K10</f>
        <v>0.66999999999999993</v>
      </c>
    </row>
    <row r="17" spans="1:28">
      <c r="A17" s="6" t="s">
        <v>23</v>
      </c>
      <c r="B17" s="12">
        <f>B13-B15</f>
        <v>44853</v>
      </c>
      <c r="C17" s="12">
        <f t="shared" ref="C17:K17" si="8">C13-C15</f>
        <v>50832</v>
      </c>
      <c r="D17" s="12">
        <f t="shared" si="8"/>
        <v>52778</v>
      </c>
      <c r="E17" s="12">
        <f t="shared" si="8"/>
        <v>50960</v>
      </c>
      <c r="F17" s="12">
        <f t="shared" si="8"/>
        <v>53308</v>
      </c>
      <c r="G17" s="12">
        <f>G13-G15</f>
        <v>54113.52936</v>
      </c>
      <c r="H17" s="12">
        <f t="shared" si="8"/>
        <v>55791.048770159992</v>
      </c>
      <c r="I17" s="12">
        <f t="shared" si="8"/>
        <v>57520.571282034958</v>
      </c>
      <c r="J17" s="12">
        <f t="shared" si="8"/>
        <v>59303.708991778039</v>
      </c>
      <c r="K17" s="12">
        <f t="shared" si="8"/>
        <v>61142.123970523156</v>
      </c>
    </row>
    <row r="18" spans="1:2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28">
      <c r="A19" s="3" t="s">
        <v>24</v>
      </c>
      <c r="B19" s="13">
        <v>24447</v>
      </c>
      <c r="C19" s="14">
        <v>25406</v>
      </c>
      <c r="D19" s="14">
        <v>26284</v>
      </c>
      <c r="E19" s="13">
        <v>26598</v>
      </c>
      <c r="F19" s="14">
        <v>28748</v>
      </c>
      <c r="G19" s="10">
        <v>29516.470559999998</v>
      </c>
      <c r="H19" s="10">
        <v>30431.481147359995</v>
      </c>
      <c r="I19" s="10">
        <v>31374.857062928153</v>
      </c>
      <c r="J19" s="10">
        <v>32347.477631878926</v>
      </c>
      <c r="K19" s="10">
        <v>33350.249438467174</v>
      </c>
    </row>
    <row r="20" spans="1:28">
      <c r="A20" s="3"/>
      <c r="B20" s="4">
        <f>B19/B10</f>
        <v>0.1850503368405117</v>
      </c>
      <c r="C20" s="4">
        <f t="shared" ref="C20:E20" si="9">C19/C10</f>
        <v>0.16807690017663754</v>
      </c>
      <c r="D20" s="4">
        <f t="shared" si="9"/>
        <v>0.16698538147303418</v>
      </c>
      <c r="E20" s="4">
        <f t="shared" si="9"/>
        <v>0.17422004467180632</v>
      </c>
      <c r="F20" s="4">
        <f t="shared" ref="F20" si="10">F19/F10</f>
        <v>0.1802224256178141</v>
      </c>
      <c r="G20" s="4">
        <f t="shared" ref="G20" si="11">G19/G10</f>
        <v>0.18</v>
      </c>
      <c r="H20" s="4">
        <f t="shared" ref="H20" si="12">H19/H10</f>
        <v>0.18</v>
      </c>
      <c r="I20" s="4">
        <f t="shared" ref="I20" si="13">I19/I10</f>
        <v>0.18</v>
      </c>
      <c r="J20" s="4">
        <f t="shared" ref="J20" si="14">J19/J10</f>
        <v>0.18</v>
      </c>
      <c r="K20" s="4">
        <f t="shared" ref="K20" si="15">K19/K10</f>
        <v>0.18</v>
      </c>
    </row>
    <row r="21" spans="1:28">
      <c r="A21" s="6" t="s">
        <v>25</v>
      </c>
      <c r="B21" s="12">
        <f>B17-B19</f>
        <v>20406</v>
      </c>
      <c r="C21" s="12">
        <f t="shared" ref="C21:K21" si="16">C17-C19</f>
        <v>25426</v>
      </c>
      <c r="D21" s="12">
        <f t="shared" si="16"/>
        <v>26494</v>
      </c>
      <c r="E21" s="12">
        <f t="shared" si="16"/>
        <v>24362</v>
      </c>
      <c r="F21" s="12">
        <f>F17-F19</f>
        <v>24560</v>
      </c>
      <c r="G21" s="12">
        <f>G17-G19</f>
        <v>24597.058800000003</v>
      </c>
      <c r="H21" s="12">
        <f t="shared" si="16"/>
        <v>25359.567622799997</v>
      </c>
      <c r="I21" s="12">
        <f t="shared" si="16"/>
        <v>26145.714219106805</v>
      </c>
      <c r="J21" s="12">
        <f t="shared" si="16"/>
        <v>26956.231359899113</v>
      </c>
      <c r="K21" s="12">
        <f t="shared" si="16"/>
        <v>27791.874532055983</v>
      </c>
    </row>
    <row r="22" spans="1:28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28">
      <c r="A23" s="3" t="s">
        <v>26</v>
      </c>
      <c r="B23" s="13">
        <v>2128</v>
      </c>
      <c r="C23" s="14">
        <v>2386</v>
      </c>
      <c r="D23" s="14">
        <v>2455</v>
      </c>
      <c r="E23" s="13">
        <v>2673</v>
      </c>
      <c r="F23" s="14">
        <v>3034</v>
      </c>
      <c r="G23" s="10">
        <f>'DCF Valuation'!D25</f>
        <v>2755.4723526958069</v>
      </c>
      <c r="H23" s="10">
        <f>'DCF Valuation'!E25</f>
        <v>2840.8919956293767</v>
      </c>
      <c r="I23" s="10">
        <f>'DCF Valuation'!F25</f>
        <v>2928.9596474938876</v>
      </c>
      <c r="J23" s="10">
        <f>'DCF Valuation'!G25</f>
        <v>3019.7573965661977</v>
      </c>
      <c r="K23" s="10">
        <f>'DCF Valuation'!H25</f>
        <v>3113.3698758597498</v>
      </c>
    </row>
    <row r="24" spans="1:28">
      <c r="A24" s="3"/>
      <c r="B24" s="4">
        <f>B23/B10</f>
        <v>1.6107788963742337E-2</v>
      </c>
      <c r="C24" s="4">
        <f t="shared" ref="C24:E24" si="17">C23/C10</f>
        <v>1.578491237587409E-2</v>
      </c>
      <c r="D24" s="4">
        <f t="shared" si="17"/>
        <v>1.5596907301639739E-2</v>
      </c>
      <c r="E24" s="4">
        <f t="shared" si="17"/>
        <v>1.7508466027811802E-2</v>
      </c>
      <c r="F24" s="4">
        <f>F23/F10</f>
        <v>1.9020274082525671E-2</v>
      </c>
      <c r="G24" s="4">
        <f t="shared" ref="G24" si="18">G23/G10</f>
        <v>1.6803669750318728E-2</v>
      </c>
      <c r="H24" s="4">
        <f t="shared" ref="H24" si="19">H23/H10</f>
        <v>1.6803669750318728E-2</v>
      </c>
      <c r="I24" s="4">
        <f t="shared" ref="I24" si="20">I23/I10</f>
        <v>1.6803669750318728E-2</v>
      </c>
      <c r="J24" s="4">
        <f>J23/J10</f>
        <v>1.6803669750318728E-2</v>
      </c>
      <c r="K24" s="4">
        <f t="shared" ref="K24" si="21">K23/K10</f>
        <v>1.6803669750318728E-2</v>
      </c>
      <c r="L24" s="4"/>
    </row>
    <row r="25" spans="1:28">
      <c r="A25" s="6" t="s">
        <v>27</v>
      </c>
      <c r="B25" s="12">
        <f>B21-B23</f>
        <v>18278</v>
      </c>
      <c r="C25" s="12">
        <f t="shared" ref="C25:K25" si="22">C21-C23</f>
        <v>23040</v>
      </c>
      <c r="D25" s="12">
        <f t="shared" si="22"/>
        <v>24039</v>
      </c>
      <c r="E25" s="12">
        <f t="shared" si="22"/>
        <v>21689</v>
      </c>
      <c r="F25" s="12">
        <f t="shared" si="22"/>
        <v>21526</v>
      </c>
      <c r="G25" s="12">
        <f t="shared" si="22"/>
        <v>21841.586447304195</v>
      </c>
      <c r="H25" s="12">
        <f>H21-H23</f>
        <v>22518.675627170622</v>
      </c>
      <c r="I25" s="12">
        <f t="shared" si="22"/>
        <v>23216.754571612917</v>
      </c>
      <c r="J25" s="12">
        <f t="shared" si="22"/>
        <v>23936.473963332915</v>
      </c>
      <c r="K25" s="12">
        <f t="shared" si="22"/>
        <v>24678.504656196234</v>
      </c>
    </row>
    <row r="26" spans="1:28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28">
      <c r="A27" s="3" t="s">
        <v>28</v>
      </c>
      <c r="B27" s="16">
        <v>1347</v>
      </c>
      <c r="C27" s="17">
        <v>1347</v>
      </c>
      <c r="D27" s="17">
        <v>1617</v>
      </c>
      <c r="E27" s="16">
        <v>1943</v>
      </c>
      <c r="F27" s="17">
        <v>2321</v>
      </c>
      <c r="G27" s="10">
        <v>2385.9880000000003</v>
      </c>
      <c r="H27" s="10">
        <v>2459.9536280000002</v>
      </c>
      <c r="I27" s="10">
        <v>2536.2121904679998</v>
      </c>
      <c r="J27" s="10">
        <v>2614.8347683725074</v>
      </c>
      <c r="K27" s="10">
        <v>2695.894646192055</v>
      </c>
    </row>
    <row r="28" spans="1:28" ht="15.95">
      <c r="A28" s="3"/>
      <c r="B28" s="4">
        <f t="shared" ref="B28:K28" si="23">B27/B10</f>
        <v>1.0196048747256074E-2</v>
      </c>
      <c r="C28" s="4">
        <f t="shared" si="23"/>
        <v>8.9112644468995819E-3</v>
      </c>
      <c r="D28" s="4">
        <f t="shared" si="23"/>
        <v>1.0272993526171673E-2</v>
      </c>
      <c r="E28" s="4">
        <f t="shared" si="23"/>
        <v>1.2726879720178949E-2</v>
      </c>
      <c r="F28" s="4">
        <f t="shared" si="23"/>
        <v>1.4550446982709981E-2</v>
      </c>
      <c r="G28" s="4">
        <f t="shared" si="23"/>
        <v>1.4550446982709984E-2</v>
      </c>
      <c r="H28" s="4">
        <f t="shared" si="23"/>
        <v>1.4550446982709984E-2</v>
      </c>
      <c r="I28" s="4">
        <f t="shared" si="23"/>
        <v>1.4550446982709983E-2</v>
      </c>
      <c r="J28" s="4">
        <f t="shared" si="23"/>
        <v>1.4550446982709981E-2</v>
      </c>
      <c r="K28" s="4">
        <f t="shared" si="23"/>
        <v>1.4550446982709981E-2</v>
      </c>
      <c r="U28" s="34"/>
      <c r="V28" s="34"/>
      <c r="W28" s="34"/>
      <c r="X28" s="34"/>
      <c r="Y28" s="34"/>
      <c r="Z28" s="34"/>
      <c r="AA28" s="34"/>
      <c r="AB28" s="34"/>
    </row>
    <row r="29" spans="1:28" ht="15.95">
      <c r="A29" s="18" t="s">
        <v>29</v>
      </c>
      <c r="B29" s="10">
        <v>-47</v>
      </c>
      <c r="C29" s="10">
        <v>-44</v>
      </c>
      <c r="D29" s="10">
        <v>-55</v>
      </c>
      <c r="E29" s="10">
        <v>-178</v>
      </c>
      <c r="F29" s="10">
        <v>-201</v>
      </c>
      <c r="G29" s="10">
        <f>F29*(1+G11)</f>
        <v>-206.62800000000001</v>
      </c>
      <c r="H29" s="10">
        <f t="shared" ref="H29:K29" si="24">G29*(1+H11)</f>
        <v>-213.033468</v>
      </c>
      <c r="I29" s="10">
        <f t="shared" si="24"/>
        <v>-219.63750550799998</v>
      </c>
      <c r="J29" s="10">
        <f t="shared" si="24"/>
        <v>-226.44626817874794</v>
      </c>
      <c r="K29" s="10">
        <f t="shared" si="24"/>
        <v>-233.46610249228911</v>
      </c>
      <c r="U29" s="133"/>
      <c r="V29" s="129"/>
      <c r="W29" s="129"/>
      <c r="X29" s="129"/>
      <c r="Y29" s="129"/>
      <c r="Z29" s="132"/>
      <c r="AA29" s="132"/>
      <c r="AB29" s="132"/>
    </row>
    <row r="30" spans="1:28" ht="15.95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U30" s="130"/>
    </row>
    <row r="31" spans="1:28" ht="15.95">
      <c r="A31" s="6" t="s">
        <v>30</v>
      </c>
      <c r="B31" s="12">
        <f>B25-B27-(B29)</f>
        <v>16978</v>
      </c>
      <c r="C31" s="12">
        <f t="shared" ref="C31:F31" si="25">C25-C27-(C29)</f>
        <v>21737</v>
      </c>
      <c r="D31" s="12">
        <f t="shared" si="25"/>
        <v>22477</v>
      </c>
      <c r="E31" s="12">
        <f t="shared" si="25"/>
        <v>19924</v>
      </c>
      <c r="F31" s="12">
        <f t="shared" si="25"/>
        <v>19406</v>
      </c>
      <c r="G31" s="19">
        <f>G25-G27+(G29)</f>
        <v>19248.970447304193</v>
      </c>
      <c r="H31" s="19">
        <f t="shared" ref="H31:K31" si="26">H25-H27+(H29)</f>
        <v>19845.688531170621</v>
      </c>
      <c r="I31" s="19">
        <f t="shared" si="26"/>
        <v>20460.904875636919</v>
      </c>
      <c r="J31" s="19">
        <f t="shared" si="26"/>
        <v>21095.192926781659</v>
      </c>
      <c r="K31" s="19">
        <f t="shared" si="26"/>
        <v>21749.143907511891</v>
      </c>
      <c r="U31" s="130"/>
    </row>
    <row r="32" spans="1:28" ht="15.95">
      <c r="A32" s="3"/>
      <c r="B32" s="3"/>
      <c r="C32" s="3"/>
      <c r="D32" s="3"/>
      <c r="E32" s="3"/>
      <c r="F32" s="3"/>
      <c r="G32" s="15"/>
      <c r="H32" s="3"/>
      <c r="I32" s="20"/>
      <c r="J32" s="3"/>
      <c r="K32" s="3"/>
      <c r="U32" s="130"/>
    </row>
    <row r="33" spans="1:21" ht="15.95">
      <c r="A33" s="3" t="s">
        <v>31</v>
      </c>
      <c r="B33" s="13">
        <v>4112</v>
      </c>
      <c r="C33" s="14">
        <v>5304</v>
      </c>
      <c r="D33" s="14">
        <v>5372</v>
      </c>
      <c r="E33" s="13">
        <v>4781</v>
      </c>
      <c r="F33" s="14">
        <v>4600</v>
      </c>
      <c r="G33" s="10">
        <f>G31*H34</f>
        <v>4619.7529073530059</v>
      </c>
      <c r="H33" s="10">
        <f t="shared" ref="H33:J33" si="27">H31*I34</f>
        <v>4762.9652474809491</v>
      </c>
      <c r="I33" s="10">
        <f t="shared" si="27"/>
        <v>4910.6171701528601</v>
      </c>
      <c r="J33" s="10">
        <f t="shared" si="27"/>
        <v>5062.8463024275979</v>
      </c>
      <c r="K33" s="10">
        <f>K31*J34</f>
        <v>5219.7945378028535</v>
      </c>
      <c r="U33" s="130"/>
    </row>
    <row r="34" spans="1:21" ht="15.95">
      <c r="A34" s="5"/>
      <c r="B34" s="4"/>
      <c r="C34" s="4"/>
      <c r="D34" s="4"/>
      <c r="E34" s="4"/>
      <c r="F34" s="4">
        <v>0.23699999999999999</v>
      </c>
      <c r="G34" s="4">
        <v>0.24</v>
      </c>
      <c r="H34" s="4">
        <v>0.24</v>
      </c>
      <c r="I34" s="4">
        <v>0.24</v>
      </c>
      <c r="J34" s="4">
        <v>0.24</v>
      </c>
      <c r="K34" s="4">
        <v>0.24</v>
      </c>
      <c r="U34" s="130"/>
    </row>
    <row r="35" spans="1:21" ht="15.95">
      <c r="A35" s="23" t="s">
        <v>32</v>
      </c>
      <c r="B35" s="24">
        <f>B31-B33</f>
        <v>12866</v>
      </c>
      <c r="C35" s="24">
        <f t="shared" ref="C35:K35" si="28">C31-C33</f>
        <v>16433</v>
      </c>
      <c r="D35" s="24">
        <f t="shared" si="28"/>
        <v>17105</v>
      </c>
      <c r="E35" s="24">
        <f t="shared" si="28"/>
        <v>15143</v>
      </c>
      <c r="F35" s="24">
        <f t="shared" si="28"/>
        <v>14806</v>
      </c>
      <c r="G35" s="24">
        <f t="shared" si="28"/>
        <v>14629.217539951187</v>
      </c>
      <c r="H35" s="24">
        <f>H31-H33</f>
        <v>15082.723283689673</v>
      </c>
      <c r="I35" s="24">
        <f t="shared" si="28"/>
        <v>15550.287705484059</v>
      </c>
      <c r="J35" s="24">
        <f t="shared" si="28"/>
        <v>16032.346624354061</v>
      </c>
      <c r="K35" s="24">
        <f t="shared" si="28"/>
        <v>16529.349369709038</v>
      </c>
      <c r="U35" s="130"/>
    </row>
    <row r="36" spans="1:2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</row>
    <row r="37" spans="1:2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</row>
    <row r="38" spans="1:21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311"/>
    </row>
    <row r="39" spans="1:21" ht="24.95">
      <c r="A39" s="63"/>
      <c r="B39" s="63"/>
      <c r="C39" s="63"/>
      <c r="D39" s="63"/>
      <c r="E39" s="64" t="s">
        <v>33</v>
      </c>
      <c r="F39" s="63"/>
      <c r="G39" s="63"/>
      <c r="H39" s="63"/>
      <c r="I39" s="63"/>
      <c r="J39" s="63"/>
      <c r="K39" s="63"/>
      <c r="L39" s="312"/>
    </row>
    <row r="40" spans="1:21" ht="15.75" customHeight="1">
      <c r="A40" s="135" t="s">
        <v>34</v>
      </c>
      <c r="B40" s="136">
        <v>2020</v>
      </c>
      <c r="C40" s="136">
        <v>2021</v>
      </c>
      <c r="D40" s="136">
        <v>2022</v>
      </c>
      <c r="E40" s="136">
        <v>2023</v>
      </c>
      <c r="F40" s="136">
        <v>2024</v>
      </c>
      <c r="G40" s="137" t="s">
        <v>35</v>
      </c>
      <c r="H40" s="167">
        <v>2025</v>
      </c>
      <c r="I40" s="167">
        <v>2026</v>
      </c>
      <c r="J40" s="167">
        <v>2027</v>
      </c>
      <c r="K40" s="167">
        <v>2028</v>
      </c>
      <c r="L40" s="167">
        <v>2029</v>
      </c>
    </row>
    <row r="41" spans="1:21">
      <c r="A41" s="138" t="s">
        <v>36</v>
      </c>
      <c r="B41" s="139">
        <v>2133</v>
      </c>
      <c r="C41" s="139">
        <v>7895</v>
      </c>
      <c r="D41" s="139">
        <v>2343</v>
      </c>
      <c r="E41" s="139">
        <v>2757</v>
      </c>
      <c r="F41" s="140">
        <v>3760</v>
      </c>
      <c r="G41" s="141">
        <f>(F41/B41)^(1/4)-1</f>
        <v>0.15225671401861196</v>
      </c>
      <c r="H41" s="140">
        <f>F41*(1+G11)</f>
        <v>3865.28</v>
      </c>
      <c r="I41" s="140">
        <f>H41*(1+H11)</f>
        <v>3985.1036799999997</v>
      </c>
      <c r="J41" s="140">
        <f>H41*(1+I11)</f>
        <v>3985.1036799999997</v>
      </c>
      <c r="K41" s="140">
        <f>I41*(1+J11)</f>
        <v>4108.6418940799995</v>
      </c>
      <c r="L41" s="140">
        <f>J41*(1+K11)</f>
        <v>4108.6418940799995</v>
      </c>
    </row>
    <row r="42" spans="1:21">
      <c r="A42" s="138" t="s">
        <v>37</v>
      </c>
      <c r="B42" s="142">
        <v>2106</v>
      </c>
      <c r="C42" s="142">
        <v>2992</v>
      </c>
      <c r="D42" s="142">
        <v>3426</v>
      </c>
      <c r="E42" s="142">
        <v>3317</v>
      </c>
      <c r="F42" s="143">
        <v>3328</v>
      </c>
      <c r="G42" s="141">
        <f t="shared" ref="G42:G47" si="29">(F42/B42)^(1/4)-1</f>
        <v>0.121195220338286</v>
      </c>
      <c r="H42" s="140">
        <f>F42*(1+G11)</f>
        <v>3421.1840000000002</v>
      </c>
      <c r="I42" s="140">
        <f>H42*(1+H11)</f>
        <v>3527.2407039999998</v>
      </c>
      <c r="J42" s="140">
        <f>H42*(1+I11)</f>
        <v>3527.2407039999998</v>
      </c>
      <c r="K42" s="140">
        <f>I42*(1+J11)</f>
        <v>3636.5851658239994</v>
      </c>
      <c r="L42" s="140">
        <f>J42*(1+K11)</f>
        <v>3636.5851658239994</v>
      </c>
    </row>
    <row r="43" spans="1:21">
      <c r="A43" s="138" t="s">
        <v>38</v>
      </c>
      <c r="B43" s="142">
        <v>14531</v>
      </c>
      <c r="C43" s="142">
        <v>16627</v>
      </c>
      <c r="D43" s="142">
        <v>22068</v>
      </c>
      <c r="E43" s="142">
        <v>24886</v>
      </c>
      <c r="F43" s="143">
        <v>20976</v>
      </c>
      <c r="G43" s="141">
        <f t="shared" si="29"/>
        <v>9.6116695846894418E-2</v>
      </c>
      <c r="H43" s="140">
        <f>F43*(1+G11)</f>
        <v>21563.328000000001</v>
      </c>
      <c r="I43" s="140">
        <f>H43*(1+H11)</f>
        <v>22231.791168</v>
      </c>
      <c r="J43" s="140">
        <f>H43*(1+I11)</f>
        <v>22231.791168</v>
      </c>
      <c r="K43" s="140">
        <f>I43*(1+J11)</f>
        <v>22920.976694207999</v>
      </c>
      <c r="L43" s="140">
        <f>J43*(1+K11)</f>
        <v>22920.976694207999</v>
      </c>
    </row>
    <row r="44" spans="1:21" ht="15.95" thickBot="1">
      <c r="A44" s="144" t="s">
        <v>39</v>
      </c>
      <c r="B44" s="145">
        <v>1040</v>
      </c>
      <c r="C44" s="145">
        <v>963</v>
      </c>
      <c r="D44" s="145">
        <v>1218</v>
      </c>
      <c r="E44" s="145">
        <v>1511</v>
      </c>
      <c r="F44" s="146">
        <v>1711</v>
      </c>
      <c r="G44" s="147">
        <f t="shared" si="29"/>
        <v>0.13254161115207563</v>
      </c>
      <c r="H44" s="162">
        <f>F44*(1+G11)</f>
        <v>1758.9080000000001</v>
      </c>
      <c r="I44" s="162">
        <f>H44*(1+H11)</f>
        <v>1813.4341480000001</v>
      </c>
      <c r="J44" s="162">
        <f>H44*(1+I11)</f>
        <v>1813.4341480000001</v>
      </c>
      <c r="K44" s="162">
        <f>I44*(1+J11)</f>
        <v>1869.6506065879998</v>
      </c>
      <c r="L44" s="162">
        <f>J44*(1+K11)</f>
        <v>1869.6506065879998</v>
      </c>
    </row>
    <row r="45" spans="1:21">
      <c r="A45" s="138" t="s">
        <v>40</v>
      </c>
      <c r="B45" s="142">
        <f>SUM(B41:B44)</f>
        <v>19810</v>
      </c>
      <c r="C45" s="142">
        <f>SUM(C41:C44)</f>
        <v>28477</v>
      </c>
      <c r="D45" s="142">
        <f>SUM(D41:D44)</f>
        <v>29055</v>
      </c>
      <c r="E45" s="142">
        <f>SUM(E41:E44)</f>
        <v>32471</v>
      </c>
      <c r="F45" s="143">
        <f>SUM(F41:F44)</f>
        <v>29775</v>
      </c>
      <c r="G45" s="141">
        <f t="shared" si="29"/>
        <v>0.10724014531019921</v>
      </c>
      <c r="H45" s="140">
        <f>F45*(1+G11)</f>
        <v>30608.7</v>
      </c>
      <c r="I45" s="140">
        <f>H45*(1+H11)</f>
        <v>31557.5697</v>
      </c>
      <c r="J45" s="140">
        <f>H45*(1+I11)</f>
        <v>31557.5697</v>
      </c>
      <c r="K45" s="140">
        <f>I45*(1+J11)</f>
        <v>32535.854360699996</v>
      </c>
      <c r="L45" s="140">
        <f>J45*(1+K11)</f>
        <v>32535.854360699996</v>
      </c>
    </row>
    <row r="46" spans="1:21">
      <c r="A46" s="144" t="s">
        <v>41</v>
      </c>
      <c r="B46" s="145">
        <f>B47-B45</f>
        <v>31426</v>
      </c>
      <c r="C46" s="145">
        <f>C47-C45</f>
        <v>42104</v>
      </c>
      <c r="D46" s="145">
        <f>D47-D45</f>
        <v>42821</v>
      </c>
      <c r="E46" s="145">
        <f>E47-E45</f>
        <v>43974</v>
      </c>
      <c r="F46" s="146">
        <f>F47-F45</f>
        <v>46755</v>
      </c>
      <c r="G46" s="147">
        <f t="shared" si="29"/>
        <v>0.10442121070929211</v>
      </c>
      <c r="H46" s="163">
        <f>F46*(1+G11)</f>
        <v>48064.14</v>
      </c>
      <c r="I46" s="163">
        <f>H46*(1+H11)</f>
        <v>49554.128339999996</v>
      </c>
      <c r="J46" s="163">
        <f>H46*(1+I11)</f>
        <v>49554.128339999996</v>
      </c>
      <c r="K46" s="163">
        <f>I46*(1+J11)</f>
        <v>51090.306318539988</v>
      </c>
      <c r="L46" s="163">
        <f>J46*(1+K11)</f>
        <v>51090.306318539988</v>
      </c>
    </row>
    <row r="47" spans="1:21">
      <c r="A47" s="144" t="s">
        <v>42</v>
      </c>
      <c r="B47" s="148">
        <v>51236</v>
      </c>
      <c r="C47" s="148">
        <v>70581</v>
      </c>
      <c r="D47" s="148">
        <v>71876</v>
      </c>
      <c r="E47" s="148">
        <v>76445</v>
      </c>
      <c r="F47" s="149">
        <v>76530</v>
      </c>
      <c r="G47" s="147">
        <f t="shared" si="29"/>
        <v>0.10551368772008285</v>
      </c>
      <c r="H47" s="164">
        <f>F47*(1+G11)</f>
        <v>78672.84</v>
      </c>
      <c r="I47" s="164">
        <f>H47*(1+H11)</f>
        <v>81111.698039999988</v>
      </c>
      <c r="J47" s="164">
        <f>H47*(1+I11)</f>
        <v>81111.698039999988</v>
      </c>
      <c r="K47" s="164">
        <f>I47*(1+J11)</f>
        <v>83626.160679239983</v>
      </c>
      <c r="L47" s="164">
        <f>J47*(1+K11)</f>
        <v>83626.160679239983</v>
      </c>
    </row>
    <row r="48" spans="1:21">
      <c r="A48" s="150"/>
      <c r="B48" s="150"/>
      <c r="C48" s="150"/>
      <c r="D48" s="150"/>
      <c r="E48" s="150"/>
      <c r="F48" s="150"/>
      <c r="G48" s="150"/>
      <c r="H48" s="155"/>
      <c r="I48" s="155"/>
      <c r="J48" s="155"/>
      <c r="K48" s="155"/>
      <c r="L48" s="155"/>
    </row>
    <row r="49" spans="1:13" ht="15.75" customHeight="1">
      <c r="A49" s="151" t="s">
        <v>43</v>
      </c>
      <c r="B49" s="152">
        <v>2020</v>
      </c>
      <c r="C49" s="152">
        <v>2021</v>
      </c>
      <c r="D49" s="152">
        <v>2022</v>
      </c>
      <c r="E49" s="152">
        <v>2023</v>
      </c>
      <c r="F49" s="136">
        <v>2024</v>
      </c>
      <c r="G49" s="137" t="s">
        <v>35</v>
      </c>
      <c r="H49" s="161">
        <v>2025</v>
      </c>
      <c r="I49" s="161">
        <v>2026</v>
      </c>
      <c r="J49" s="161">
        <v>2027</v>
      </c>
      <c r="K49" s="161">
        <v>2028</v>
      </c>
      <c r="L49" s="161">
        <v>2029</v>
      </c>
      <c r="M49" s="66"/>
    </row>
    <row r="50" spans="1:13">
      <c r="A50" s="138" t="s">
        <v>44</v>
      </c>
      <c r="B50" s="153">
        <v>7787</v>
      </c>
      <c r="C50" s="153">
        <v>11606</v>
      </c>
      <c r="D50" s="153">
        <v>13462</v>
      </c>
      <c r="E50" s="153">
        <v>11443</v>
      </c>
      <c r="F50" s="154">
        <v>10037</v>
      </c>
      <c r="G50" s="141">
        <f>(F50/B50)^(1/4)-1</f>
        <v>6.5512226152737885E-2</v>
      </c>
      <c r="H50" s="165">
        <f>F50*(1+G11)</f>
        <v>10318.036</v>
      </c>
      <c r="I50" s="165">
        <f>H50*(1+H11)</f>
        <v>10637.895116</v>
      </c>
      <c r="J50" s="165">
        <f>H50*(1+I11)</f>
        <v>10637.895116</v>
      </c>
      <c r="K50" s="165">
        <f>I50*(1+J11)</f>
        <v>10967.669864595999</v>
      </c>
      <c r="L50" s="165">
        <f>J50*(1+K11)</f>
        <v>10967.669864595999</v>
      </c>
    </row>
    <row r="51" spans="1:13">
      <c r="A51" s="138" t="s">
        <v>45</v>
      </c>
      <c r="B51" s="142">
        <f>1494+605+2116+55+1839+828+2677</f>
        <v>9614</v>
      </c>
      <c r="C51" s="142">
        <f>2463+774+2823+193+1416+828+3063</f>
        <v>11560</v>
      </c>
      <c r="D51" s="142">
        <f>2426+848+3596+158+2447+830+3891</f>
        <v>14196</v>
      </c>
      <c r="E51" s="142">
        <f>1991+528+3064+50+1231+945+3858</f>
        <v>11667</v>
      </c>
      <c r="F51" s="155">
        <f>2096+449+2762+28+1368+1050+4225</f>
        <v>11978</v>
      </c>
      <c r="G51" s="141">
        <f t="shared" ref="G51:G59" si="30">(F51/B51)^(1/4)-1</f>
        <v>5.6501329097540909E-2</v>
      </c>
      <c r="H51" s="165">
        <f>F51*(1+G11)</f>
        <v>12313.384</v>
      </c>
      <c r="I51" s="165">
        <f>H51*(1+H11)</f>
        <v>12695.098903999999</v>
      </c>
      <c r="J51" s="165">
        <f>H51*(1+I11)</f>
        <v>12695.098903999999</v>
      </c>
      <c r="K51" s="165">
        <f>I51*(1+J11)</f>
        <v>13088.646970023998</v>
      </c>
      <c r="L51" s="165">
        <f>J51*(1+K11)</f>
        <v>13088.646970023998</v>
      </c>
    </row>
    <row r="52" spans="1:13">
      <c r="A52" s="144" t="s">
        <v>46</v>
      </c>
      <c r="B52" s="145">
        <v>974</v>
      </c>
      <c r="C52" s="145">
        <v>0</v>
      </c>
      <c r="D52" s="145">
        <v>1035</v>
      </c>
      <c r="E52" s="145">
        <v>0</v>
      </c>
      <c r="F52" s="156">
        <v>0</v>
      </c>
      <c r="G52" s="147"/>
      <c r="H52" s="166"/>
      <c r="I52" s="164"/>
      <c r="J52" s="164"/>
      <c r="K52" s="164"/>
      <c r="L52" s="164"/>
    </row>
    <row r="53" spans="1:13">
      <c r="A53" s="138" t="s">
        <v>47</v>
      </c>
      <c r="B53" s="142">
        <f>SUM(B50:B52)</f>
        <v>18375</v>
      </c>
      <c r="C53" s="142">
        <f>SUM(C50:C52)</f>
        <v>23166</v>
      </c>
      <c r="D53" s="142">
        <f>SUM(D50:D52)</f>
        <v>28693</v>
      </c>
      <c r="E53" s="142">
        <f>SUM(E50:E52)</f>
        <v>23110</v>
      </c>
      <c r="F53" s="155">
        <f>SUM(F50:F52)</f>
        <v>22015</v>
      </c>
      <c r="G53" s="141">
        <f t="shared" si="30"/>
        <v>4.6219560537352322E-2</v>
      </c>
      <c r="H53" s="165">
        <f>F53*(1+G11)</f>
        <v>22631.420000000002</v>
      </c>
      <c r="I53" s="165">
        <f>H53*(1+H11)</f>
        <v>23332.994019999998</v>
      </c>
      <c r="J53" s="165">
        <f>H53*(1+I11)</f>
        <v>23332.994019999998</v>
      </c>
      <c r="K53" s="165">
        <f>I53*(1+J11)</f>
        <v>24056.316834619996</v>
      </c>
      <c r="L53" s="165">
        <f>J53*(1+K11)</f>
        <v>24056.316834619996</v>
      </c>
    </row>
    <row r="54" spans="1:13">
      <c r="A54" s="138" t="s">
        <v>48</v>
      </c>
      <c r="B54" s="142">
        <v>28670</v>
      </c>
      <c r="C54" s="142">
        <v>35822</v>
      </c>
      <c r="D54" s="142">
        <v>36604</v>
      </c>
      <c r="E54" s="142">
        <v>41962</v>
      </c>
      <c r="F54" s="155">
        <v>42743</v>
      </c>
      <c r="G54" s="141">
        <f t="shared" si="30"/>
        <v>0.10499249141549916</v>
      </c>
      <c r="H54" s="165">
        <f>F54*(1+G11)</f>
        <v>43939.804000000004</v>
      </c>
      <c r="I54" s="165">
        <f>H54*(1+H11)</f>
        <v>45301.937923999998</v>
      </c>
      <c r="J54" s="165">
        <f>H54*(1+I11)</f>
        <v>45301.937923999998</v>
      </c>
      <c r="K54" s="165">
        <f>I54*(1+J11)</f>
        <v>46706.297999643997</v>
      </c>
      <c r="L54" s="165">
        <f>J54*(1+K11)</f>
        <v>46706.297999643997</v>
      </c>
    </row>
    <row r="55" spans="1:13">
      <c r="A55" s="144" t="s">
        <v>49</v>
      </c>
      <c r="B55" s="145">
        <f>5066+706+1535</f>
        <v>7307</v>
      </c>
      <c r="C55" s="145">
        <f>5356+1131+1807</f>
        <v>8294</v>
      </c>
      <c r="D55" s="145">
        <f>5353+909+2013</f>
        <v>8275</v>
      </c>
      <c r="E55" s="145">
        <f>6226+1019+2566</f>
        <v>9811</v>
      </c>
      <c r="F55" s="156">
        <f>7082+863+2783</f>
        <v>10728</v>
      </c>
      <c r="G55" s="147">
        <f t="shared" si="30"/>
        <v>0.10076576575761531</v>
      </c>
      <c r="H55" s="164">
        <f>F55*(1+G11)</f>
        <v>11028.384</v>
      </c>
      <c r="I55" s="164">
        <f>H55*(1+H11)</f>
        <v>11370.263903999999</v>
      </c>
      <c r="J55" s="164">
        <f>H55*(1+I11)</f>
        <v>11370.263903999999</v>
      </c>
      <c r="K55" s="164">
        <f>I55*(1+J11)</f>
        <v>11722.742085023998</v>
      </c>
      <c r="L55" s="164">
        <f>J55*(1+K11)</f>
        <v>11722.742085023998</v>
      </c>
    </row>
    <row r="56" spans="1:13">
      <c r="A56" s="144" t="s">
        <v>50</v>
      </c>
      <c r="B56" s="145">
        <f>B54+B55</f>
        <v>35977</v>
      </c>
      <c r="C56" s="145">
        <f>C54+C55</f>
        <v>44116</v>
      </c>
      <c r="D56" s="145">
        <f>D54+D55</f>
        <v>44879</v>
      </c>
      <c r="E56" s="145">
        <f>E54+E55</f>
        <v>51773</v>
      </c>
      <c r="F56" s="156">
        <f>F54+F55</f>
        <v>53471</v>
      </c>
      <c r="G56" s="147">
        <f t="shared" si="30"/>
        <v>0.10413795729711151</v>
      </c>
      <c r="H56" s="164">
        <f>F56*(1+G11)</f>
        <v>54968.188000000002</v>
      </c>
      <c r="I56" s="164">
        <f>H56*(1+H11)</f>
        <v>56672.201827999997</v>
      </c>
      <c r="J56" s="164">
        <f>H56*(1+I11)</f>
        <v>56672.201827999997</v>
      </c>
      <c r="K56" s="164">
        <f>I56*(1+J11)</f>
        <v>58429.040084667991</v>
      </c>
      <c r="L56" s="164">
        <f>J56*(1+K11)</f>
        <v>58429.040084667991</v>
      </c>
    </row>
    <row r="57" spans="1:13">
      <c r="A57" s="138" t="s">
        <v>51</v>
      </c>
      <c r="B57" s="142">
        <f>B53+B56</f>
        <v>54352</v>
      </c>
      <c r="C57" s="142">
        <f>C53+C56</f>
        <v>67282</v>
      </c>
      <c r="D57" s="142">
        <f>D53+D56</f>
        <v>73572</v>
      </c>
      <c r="E57" s="142">
        <f>E53+E56</f>
        <v>74883</v>
      </c>
      <c r="F57" s="155">
        <f>F53+F56</f>
        <v>75486</v>
      </c>
      <c r="G57" s="141">
        <f t="shared" si="30"/>
        <v>8.5582217752951273E-2</v>
      </c>
      <c r="H57" s="165">
        <f>F57*(1+G11)</f>
        <v>77599.608000000007</v>
      </c>
      <c r="I57" s="165">
        <f>H57*(1+H11)</f>
        <v>80005.195848000003</v>
      </c>
      <c r="J57" s="165">
        <f>H57*(1+I11)</f>
        <v>80005.195848000003</v>
      </c>
      <c r="K57" s="165">
        <f>I57*(1+J11)</f>
        <v>82485.356919287995</v>
      </c>
      <c r="L57" s="165">
        <f>J57*(1+K11)</f>
        <v>82485.356919287995</v>
      </c>
    </row>
    <row r="58" spans="1:13">
      <c r="A58" s="144" t="s">
        <v>52</v>
      </c>
      <c r="B58" s="145">
        <v>-3116</v>
      </c>
      <c r="C58" s="145">
        <v>3299</v>
      </c>
      <c r="D58" s="145">
        <v>-1696</v>
      </c>
      <c r="E58" s="145">
        <v>1562</v>
      </c>
      <c r="F58" s="156">
        <v>1044</v>
      </c>
      <c r="G58" s="147">
        <f>(F58/-B58)^(1/4)-1</f>
        <v>-0.23919078809114303</v>
      </c>
      <c r="H58" s="164">
        <f>F58*(1+G11)</f>
        <v>1073.232</v>
      </c>
      <c r="I58" s="164">
        <f>H58*(1+H11)</f>
        <v>1106.5021919999999</v>
      </c>
      <c r="J58" s="164">
        <f>H58*(1+I11)</f>
        <v>1106.5021919999999</v>
      </c>
      <c r="K58" s="164">
        <f>I58*(1+J11)</f>
        <v>1140.8037599519998</v>
      </c>
      <c r="L58" s="164">
        <f>J58*(1+K11)</f>
        <v>1140.8037599519998</v>
      </c>
    </row>
    <row r="59" spans="1:13">
      <c r="A59" s="144" t="s">
        <v>53</v>
      </c>
      <c r="B59" s="148">
        <f>B57+B58</f>
        <v>51236</v>
      </c>
      <c r="C59" s="148">
        <f>C57+C58</f>
        <v>70581</v>
      </c>
      <c r="D59" s="148">
        <f>D57-D58</f>
        <v>75268</v>
      </c>
      <c r="E59" s="148">
        <f>E57+E58</f>
        <v>76445</v>
      </c>
      <c r="F59" s="157">
        <f>F57+F58</f>
        <v>76530</v>
      </c>
      <c r="G59" s="147">
        <f t="shared" si="30"/>
        <v>0.10551368772008285</v>
      </c>
      <c r="H59" s="164">
        <f>F59*(1+G11)</f>
        <v>78672.84</v>
      </c>
      <c r="I59" s="164">
        <f>G59*(1+H11)</f>
        <v>0.10878461203940541</v>
      </c>
      <c r="J59" s="164">
        <f>H59*(1+I11)</f>
        <v>81111.698039999988</v>
      </c>
      <c r="K59" s="164">
        <f>I59*(1+J11)</f>
        <v>0.11215693501262697</v>
      </c>
      <c r="L59" s="164">
        <f>J59*(1+K11)</f>
        <v>83626.160679239983</v>
      </c>
    </row>
    <row r="60" spans="1:13">
      <c r="A60" s="150"/>
      <c r="B60" s="150"/>
      <c r="C60" s="150"/>
      <c r="D60" s="150"/>
      <c r="E60" s="150"/>
      <c r="F60" s="160"/>
      <c r="G60" s="150"/>
    </row>
    <row r="61" spans="1:13">
      <c r="A61" s="151" t="s">
        <v>54</v>
      </c>
      <c r="B61" s="152">
        <v>2020</v>
      </c>
      <c r="C61" s="152">
        <v>2021</v>
      </c>
      <c r="D61" s="152">
        <v>2022</v>
      </c>
      <c r="E61" s="152">
        <v>2023</v>
      </c>
      <c r="F61" s="152">
        <v>2024</v>
      </c>
      <c r="G61" s="152"/>
    </row>
    <row r="62" spans="1:13">
      <c r="A62" s="138" t="s">
        <v>55</v>
      </c>
      <c r="B62" s="142">
        <f>(B42+B43+B44)-(B50-B51)</f>
        <v>19504</v>
      </c>
      <c r="C62" s="142">
        <f>(C42+C43+C44)-(C50-C51)</f>
        <v>20536</v>
      </c>
      <c r="D62" s="142">
        <f t="shared" ref="D62:F62" si="31">(D42+D43+D44)-(D50-D51)</f>
        <v>27446</v>
      </c>
      <c r="E62" s="142">
        <f t="shared" si="31"/>
        <v>29938</v>
      </c>
      <c r="F62" s="142">
        <f t="shared" si="31"/>
        <v>27956</v>
      </c>
      <c r="G62" s="142"/>
    </row>
    <row r="63" spans="1:13">
      <c r="A63" s="144" t="s">
        <v>56</v>
      </c>
      <c r="B63" s="145">
        <f>B46</f>
        <v>31426</v>
      </c>
      <c r="C63" s="145">
        <f t="shared" ref="C63:F63" si="32">C46</f>
        <v>42104</v>
      </c>
      <c r="D63" s="145">
        <f t="shared" si="32"/>
        <v>42821</v>
      </c>
      <c r="E63" s="145">
        <f t="shared" si="32"/>
        <v>43974</v>
      </c>
      <c r="F63" s="145">
        <f t="shared" si="32"/>
        <v>46755</v>
      </c>
      <c r="G63" s="145"/>
    </row>
    <row r="64" spans="1:13">
      <c r="A64" s="138" t="s">
        <v>57</v>
      </c>
      <c r="B64" s="142">
        <f>B62+B63</f>
        <v>50930</v>
      </c>
      <c r="C64" s="142">
        <f>C62+C63</f>
        <v>62640</v>
      </c>
      <c r="D64" s="142">
        <f>D62+D63</f>
        <v>70267</v>
      </c>
      <c r="E64" s="142">
        <f>E62+E63</f>
        <v>73912</v>
      </c>
      <c r="F64" s="142">
        <f>F62+F63</f>
        <v>74711</v>
      </c>
      <c r="G64" s="142"/>
    </row>
    <row r="65" spans="1:19" ht="14.25">
      <c r="A65" s="158"/>
      <c r="B65" s="142"/>
      <c r="C65" s="142"/>
      <c r="D65" s="142"/>
      <c r="E65" s="142"/>
      <c r="F65" s="142"/>
      <c r="G65" s="142"/>
    </row>
    <row r="66" spans="1:19">
      <c r="A66" s="138" t="s">
        <v>58</v>
      </c>
      <c r="B66" s="142">
        <f t="shared" ref="B66:E66" si="33">B52+B54+B55</f>
        <v>36951</v>
      </c>
      <c r="C66" s="142">
        <f t="shared" si="33"/>
        <v>44116</v>
      </c>
      <c r="D66" s="142">
        <f t="shared" si="33"/>
        <v>45914</v>
      </c>
      <c r="E66" s="142">
        <f t="shared" si="33"/>
        <v>51773</v>
      </c>
      <c r="F66" s="142">
        <f>F52+F54+F55</f>
        <v>53471</v>
      </c>
      <c r="G66" s="142"/>
    </row>
    <row r="67" spans="1:19">
      <c r="A67" s="144" t="s">
        <v>59</v>
      </c>
      <c r="B67" s="145">
        <f>B58</f>
        <v>-3116</v>
      </c>
      <c r="C67" s="145">
        <f>C58</f>
        <v>3299</v>
      </c>
      <c r="D67" s="145">
        <f>D58</f>
        <v>-1696</v>
      </c>
      <c r="E67" s="145">
        <f>E58</f>
        <v>1562</v>
      </c>
      <c r="F67" s="145">
        <f>F58</f>
        <v>1044</v>
      </c>
      <c r="G67" s="145"/>
    </row>
    <row r="68" spans="1:19">
      <c r="A68" s="138" t="s">
        <v>60</v>
      </c>
      <c r="B68" s="142">
        <f>B66+B67</f>
        <v>33835</v>
      </c>
      <c r="C68" s="142">
        <f>C66+C67</f>
        <v>47415</v>
      </c>
      <c r="D68" s="142">
        <f>D66+D67</f>
        <v>44218</v>
      </c>
      <c r="E68" s="142">
        <f>E66+E67</f>
        <v>53335</v>
      </c>
      <c r="F68" s="142">
        <f>F66+F67</f>
        <v>54515</v>
      </c>
      <c r="G68" s="142"/>
    </row>
    <row r="69" spans="1:19" ht="14.25">
      <c r="A69" s="158"/>
      <c r="B69" s="142"/>
      <c r="C69" s="142"/>
      <c r="D69" s="142"/>
      <c r="E69" s="142"/>
      <c r="F69" s="142"/>
      <c r="G69" s="142"/>
    </row>
    <row r="70" spans="1:19" ht="15.95">
      <c r="A70" s="144" t="s">
        <v>61</v>
      </c>
      <c r="B70" s="145">
        <f>B68-B64</f>
        <v>-17095</v>
      </c>
      <c r="C70" s="145">
        <f>C68-C64</f>
        <v>-15225</v>
      </c>
      <c r="D70" s="145">
        <f>D68-D64</f>
        <v>-26049</v>
      </c>
      <c r="E70" s="145">
        <f>E68-E64</f>
        <v>-20577</v>
      </c>
      <c r="F70" s="145">
        <f>F68-F64</f>
        <v>-20196</v>
      </c>
      <c r="G70" s="145"/>
      <c r="L70" s="34"/>
      <c r="M70" s="34"/>
      <c r="N70" s="34"/>
      <c r="O70" s="34"/>
      <c r="P70" s="34"/>
      <c r="Q70" s="34"/>
      <c r="R70" s="34"/>
      <c r="S70" s="34"/>
    </row>
    <row r="71" spans="1:19" ht="15.95">
      <c r="A71" s="150"/>
      <c r="B71" s="150"/>
      <c r="C71" s="150"/>
      <c r="D71" s="150"/>
      <c r="E71" s="150"/>
      <c r="F71" s="150"/>
      <c r="G71" s="150"/>
      <c r="L71" s="133"/>
      <c r="M71" s="130"/>
      <c r="N71" s="130"/>
      <c r="O71" s="130"/>
      <c r="P71" s="130"/>
      <c r="Q71" s="134"/>
      <c r="R71" s="134"/>
      <c r="S71" s="134"/>
    </row>
    <row r="72" spans="1:19" ht="15.95">
      <c r="A72" s="222" t="s">
        <v>62</v>
      </c>
      <c r="B72" s="150"/>
      <c r="C72" s="150"/>
      <c r="D72" s="150"/>
      <c r="E72" s="150"/>
      <c r="F72" s="150"/>
      <c r="G72" s="150"/>
      <c r="L72" s="130"/>
    </row>
    <row r="73" spans="1:19" ht="15.95">
      <c r="A73" s="223" t="s">
        <v>63</v>
      </c>
      <c r="B73" s="223">
        <v>2020</v>
      </c>
      <c r="C73" s="223">
        <v>2021</v>
      </c>
      <c r="D73" s="223">
        <v>2022</v>
      </c>
      <c r="E73" s="223">
        <v>2023</v>
      </c>
      <c r="F73" s="223">
        <v>2024</v>
      </c>
      <c r="G73" s="223" t="s">
        <v>64</v>
      </c>
      <c r="L73" s="130"/>
    </row>
    <row r="74" spans="1:19" ht="15.95">
      <c r="A74" s="189" t="s">
        <v>65</v>
      </c>
      <c r="B74" s="189">
        <v>2463</v>
      </c>
      <c r="C74" s="189">
        <v>2566</v>
      </c>
      <c r="D74" s="189">
        <v>3119</v>
      </c>
      <c r="E74" s="189">
        <v>3226</v>
      </c>
      <c r="F74" s="189">
        <v>3485</v>
      </c>
      <c r="G74" s="189"/>
      <c r="L74" s="130"/>
    </row>
    <row r="75" spans="1:19" ht="15.95">
      <c r="A75" s="189"/>
      <c r="B75" s="224">
        <f>B74/B10</f>
        <v>1.8643554613579593E-2</v>
      </c>
      <c r="C75" s="224">
        <f t="shared" ref="C75:E75" si="34">C74/C10</f>
        <v>1.6975727224012121E-2</v>
      </c>
      <c r="D75" s="224">
        <f t="shared" si="34"/>
        <v>1.9815378360005846E-2</v>
      </c>
      <c r="E75" s="224">
        <f t="shared" si="34"/>
        <v>2.113068140879943E-2</v>
      </c>
      <c r="F75" s="224">
        <f>F74/F10</f>
        <v>2.1847612121820029E-2</v>
      </c>
      <c r="G75" s="224">
        <f>AVERAGE(B75:F75)</f>
        <v>1.9682590745643404E-2</v>
      </c>
      <c r="L75" s="130"/>
    </row>
    <row r="76" spans="1:19" ht="15.95">
      <c r="A76" s="155"/>
      <c r="B76" s="155"/>
      <c r="C76" s="155"/>
      <c r="D76" s="155"/>
      <c r="E76" s="155"/>
      <c r="F76" s="155"/>
      <c r="G76" s="155"/>
      <c r="L76" s="130"/>
    </row>
    <row r="77" spans="1:19" ht="15.95">
      <c r="A77" s="223" t="s">
        <v>66</v>
      </c>
      <c r="B77" s="223">
        <v>2020</v>
      </c>
      <c r="C77" s="223">
        <v>2021</v>
      </c>
      <c r="D77" s="223">
        <v>2022</v>
      </c>
      <c r="E77" s="223">
        <v>2023</v>
      </c>
      <c r="F77" s="223">
        <v>2024</v>
      </c>
      <c r="G77" s="223" t="s">
        <v>64</v>
      </c>
      <c r="L77" s="130"/>
    </row>
    <row r="78" spans="1:19">
      <c r="A78" s="189" t="s">
        <v>67</v>
      </c>
      <c r="B78" s="224">
        <v>1.6107788963742337E-2</v>
      </c>
      <c r="C78" s="224">
        <v>1.578491237587409E-2</v>
      </c>
      <c r="D78" s="224">
        <v>1.5596907301639739E-2</v>
      </c>
      <c r="E78" s="224">
        <v>1.7508466027811802E-2</v>
      </c>
      <c r="F78" s="224">
        <v>1.9020274082525671E-2</v>
      </c>
      <c r="G78" s="224">
        <f>AVERAGE(B78:F78)</f>
        <v>1.6803669750318728E-2</v>
      </c>
    </row>
    <row r="79" spans="1:19">
      <c r="A79" s="177" t="s">
        <v>68</v>
      </c>
      <c r="B79" s="147">
        <f>B62/B10</f>
        <v>0.14763454696843539</v>
      </c>
      <c r="C79" s="147">
        <f>C62/C10</f>
        <v>0.13585874289645866</v>
      </c>
      <c r="D79" s="147">
        <f t="shared" ref="D79:F79" si="35">D62/D10</f>
        <v>0.17436770582517486</v>
      </c>
      <c r="E79" s="147">
        <f t="shared" si="35"/>
        <v>0.19609743955878403</v>
      </c>
      <c r="F79" s="147">
        <f t="shared" si="35"/>
        <v>0.17525734418295572</v>
      </c>
      <c r="G79" s="147">
        <f>AVERAGE(B79:F79)</f>
        <v>0.16584315588636173</v>
      </c>
    </row>
    <row r="80" spans="1:19">
      <c r="A80" s="150"/>
      <c r="B80" s="155"/>
      <c r="C80" s="185"/>
      <c r="D80" s="155"/>
      <c r="E80" s="155"/>
      <c r="F80" s="155"/>
      <c r="G80" s="155"/>
    </row>
    <row r="81" spans="1:17">
      <c r="A81" s="150"/>
      <c r="B81" s="150"/>
      <c r="C81" s="150"/>
      <c r="D81" s="150"/>
      <c r="E81" s="150"/>
      <c r="F81" s="150"/>
      <c r="G81" s="150"/>
    </row>
    <row r="82" spans="1:17">
      <c r="A82" s="150"/>
      <c r="B82" s="150"/>
      <c r="C82" s="150"/>
      <c r="D82" s="150"/>
      <c r="E82" s="150"/>
      <c r="F82" s="150"/>
      <c r="G82" s="150"/>
    </row>
    <row r="83" spans="1:17">
      <c r="A83" s="150"/>
      <c r="B83" s="150"/>
      <c r="C83" s="150"/>
      <c r="D83" s="150"/>
      <c r="E83" s="150"/>
      <c r="F83" s="150"/>
      <c r="G83" s="150"/>
    </row>
    <row r="84" spans="1:17">
      <c r="A84" s="150"/>
      <c r="B84" s="150"/>
      <c r="C84" s="150"/>
      <c r="D84" s="150"/>
      <c r="E84" s="150"/>
      <c r="F84" s="150"/>
      <c r="G84" s="150"/>
    </row>
    <row r="85" spans="1:17">
      <c r="A85" s="150"/>
      <c r="B85" s="150"/>
      <c r="C85" s="150"/>
      <c r="D85" s="150"/>
      <c r="E85" s="150"/>
      <c r="F85" s="150"/>
      <c r="G85" s="150"/>
    </row>
    <row r="86" spans="1:17">
      <c r="A86" s="150"/>
      <c r="B86" s="150"/>
      <c r="C86" s="150"/>
      <c r="D86" s="150"/>
      <c r="E86" s="150"/>
      <c r="F86" s="150"/>
      <c r="G86" s="150"/>
    </row>
    <row r="87" spans="1:17" ht="18">
      <c r="A87" s="150"/>
      <c r="B87" s="150"/>
      <c r="C87" s="150"/>
      <c r="D87" s="150"/>
      <c r="E87" s="150"/>
      <c r="F87" s="150"/>
      <c r="G87" s="150"/>
      <c r="N87" s="120"/>
      <c r="O87" s="120"/>
      <c r="P87" s="121"/>
      <c r="Q87" s="120"/>
    </row>
    <row r="88" spans="1:17" ht="18">
      <c r="A88" s="150"/>
      <c r="B88" s="150"/>
      <c r="C88" s="150"/>
      <c r="D88" s="150"/>
      <c r="E88" s="150"/>
      <c r="F88" s="150"/>
      <c r="G88" s="150"/>
      <c r="N88" s="120"/>
      <c r="O88" s="122"/>
      <c r="P88" s="121"/>
      <c r="Q88" s="120"/>
    </row>
    <row r="89" spans="1:17" ht="18">
      <c r="A89" s="150"/>
      <c r="B89" s="150"/>
      <c r="C89" s="150"/>
      <c r="D89" s="150"/>
      <c r="E89" s="150"/>
      <c r="F89" s="150"/>
      <c r="G89" s="150"/>
      <c r="N89" s="120"/>
      <c r="O89" s="122"/>
      <c r="P89" s="121"/>
      <c r="Q89" s="120"/>
    </row>
    <row r="90" spans="1:17" ht="18">
      <c r="A90" s="150"/>
      <c r="B90" s="150"/>
      <c r="C90" s="150"/>
      <c r="D90" s="150"/>
      <c r="E90" s="150"/>
      <c r="F90" s="150"/>
      <c r="G90" s="150"/>
      <c r="N90" s="120"/>
      <c r="O90" s="120"/>
      <c r="P90" s="120"/>
      <c r="Q90" s="120"/>
    </row>
    <row r="91" spans="1:17">
      <c r="A91" s="150"/>
      <c r="B91" s="150"/>
      <c r="C91" s="150"/>
      <c r="D91" s="150"/>
      <c r="E91" s="150"/>
      <c r="F91" s="150"/>
      <c r="G91" s="150"/>
    </row>
  </sheetData>
  <mergeCells count="2">
    <mergeCell ref="A4:K6"/>
    <mergeCell ref="L38:L39"/>
  </mergeCells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3261-4713-4C6C-B8AC-18BD1C9C632C}">
  <dimension ref="A2:X55"/>
  <sheetViews>
    <sheetView topLeftCell="A23" zoomScale="150" zoomScaleNormal="91" workbookViewId="0">
      <selection activeCell="C38" sqref="C38"/>
    </sheetView>
  </sheetViews>
  <sheetFormatPr defaultColWidth="8.875" defaultRowHeight="15"/>
  <cols>
    <col min="1" max="1" width="42.5" bestFit="1" customWidth="1"/>
    <col min="2" max="4" width="16.375" bestFit="1" customWidth="1"/>
    <col min="5" max="6" width="20.875" customWidth="1"/>
    <col min="7" max="7" width="16.5" customWidth="1"/>
    <col min="8" max="8" width="21.125" bestFit="1" customWidth="1"/>
    <col min="10" max="10" width="82.125" customWidth="1"/>
    <col min="13" max="24" width="14.375" bestFit="1" customWidth="1"/>
  </cols>
  <sheetData>
    <row r="2" spans="1:24" ht="23.1">
      <c r="A2" s="297" t="s">
        <v>69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</row>
    <row r="3" spans="1:24" ht="18">
      <c r="A3" s="298" t="s">
        <v>70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</row>
    <row r="4" spans="1:24" ht="15.9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24" ht="15.95">
      <c r="A5" s="29"/>
      <c r="B5" s="29"/>
      <c r="C5" s="30" t="s">
        <v>71</v>
      </c>
      <c r="D5" s="299" t="s">
        <v>72</v>
      </c>
      <c r="E5" s="299"/>
      <c r="F5" s="299"/>
      <c r="G5" s="299"/>
      <c r="H5" s="299"/>
      <c r="I5" s="29"/>
      <c r="J5" s="29"/>
      <c r="K5" s="29"/>
      <c r="L5" s="29"/>
      <c r="M5" s="29"/>
    </row>
    <row r="6" spans="1:24" ht="15.95">
      <c r="A6" s="29"/>
      <c r="B6" s="29"/>
      <c r="C6" s="29"/>
      <c r="D6" s="29">
        <v>1</v>
      </c>
      <c r="E6" s="29">
        <v>2</v>
      </c>
      <c r="F6" s="29">
        <v>3</v>
      </c>
      <c r="G6" s="29">
        <v>4</v>
      </c>
      <c r="H6" s="29">
        <v>5</v>
      </c>
      <c r="I6" s="29"/>
      <c r="J6" s="29"/>
      <c r="K6" s="29"/>
      <c r="L6" s="29"/>
      <c r="M6" s="29"/>
    </row>
    <row r="7" spans="1:24" ht="15.95">
      <c r="A7" s="31" t="s">
        <v>73</v>
      </c>
      <c r="B7" s="32" t="s">
        <v>74</v>
      </c>
      <c r="C7" s="32">
        <v>2024</v>
      </c>
      <c r="D7" s="32">
        <v>2025</v>
      </c>
      <c r="E7" s="32">
        <v>2026</v>
      </c>
      <c r="F7" s="32">
        <v>2027</v>
      </c>
      <c r="G7" s="32">
        <v>2028</v>
      </c>
      <c r="H7" s="33">
        <v>2029</v>
      </c>
      <c r="I7" s="34"/>
      <c r="J7" s="34"/>
      <c r="K7" s="34"/>
      <c r="L7" s="34"/>
      <c r="M7" s="34"/>
    </row>
    <row r="8" spans="1:24" ht="15.95">
      <c r="A8" s="35" t="s">
        <v>75</v>
      </c>
      <c r="B8" s="36"/>
      <c r="C8" s="37">
        <v>4.48E-2</v>
      </c>
      <c r="D8" s="38">
        <v>2.8000000000000001E-2</v>
      </c>
      <c r="E8" s="38">
        <v>3.1E-2</v>
      </c>
      <c r="F8" s="38">
        <v>3.1E-2</v>
      </c>
      <c r="G8" s="38">
        <v>3.1E-2</v>
      </c>
      <c r="H8" s="38">
        <v>3.1E-2</v>
      </c>
      <c r="I8" s="29"/>
      <c r="J8" s="39"/>
      <c r="K8" s="29"/>
      <c r="L8" s="29"/>
      <c r="M8" s="29"/>
    </row>
    <row r="9" spans="1:24" ht="15.95">
      <c r="A9" s="35" t="s">
        <v>76</v>
      </c>
      <c r="B9" s="38">
        <v>0.33</v>
      </c>
      <c r="C9" s="37">
        <v>0.3342</v>
      </c>
      <c r="D9" s="40">
        <v>0.33</v>
      </c>
      <c r="E9" s="40">
        <v>0.33</v>
      </c>
      <c r="F9" s="40">
        <v>0.33</v>
      </c>
      <c r="G9" s="40">
        <v>0.33</v>
      </c>
      <c r="H9" s="41">
        <v>0.33</v>
      </c>
      <c r="I9" s="29"/>
      <c r="J9" s="42"/>
      <c r="K9" s="29"/>
      <c r="L9" s="29"/>
      <c r="M9" s="29"/>
    </row>
    <row r="10" spans="1:24" ht="15.95">
      <c r="A10" s="35" t="s">
        <v>77</v>
      </c>
      <c r="B10" s="38">
        <v>0.18</v>
      </c>
      <c r="C10" s="37">
        <v>0.1802</v>
      </c>
      <c r="D10" s="40">
        <v>0.18</v>
      </c>
      <c r="E10" s="40">
        <v>0.18</v>
      </c>
      <c r="F10" s="40">
        <v>0.18</v>
      </c>
      <c r="G10" s="40">
        <v>0.18</v>
      </c>
      <c r="H10" s="41">
        <v>0.18</v>
      </c>
      <c r="I10" s="29"/>
      <c r="J10" s="29"/>
      <c r="K10" s="29"/>
      <c r="L10" s="29"/>
      <c r="M10" s="29"/>
    </row>
    <row r="11" spans="1:24" ht="15.95">
      <c r="A11" s="43" t="s">
        <v>78</v>
      </c>
      <c r="B11" s="44">
        <v>0.24</v>
      </c>
      <c r="C11" s="45">
        <v>0.23699999999999999</v>
      </c>
      <c r="D11" s="46">
        <v>0.24</v>
      </c>
      <c r="E11" s="46">
        <v>0.24</v>
      </c>
      <c r="F11" s="46">
        <v>0.24</v>
      </c>
      <c r="G11" s="46">
        <v>0.24</v>
      </c>
      <c r="H11" s="46">
        <v>0.24</v>
      </c>
      <c r="I11" s="29"/>
      <c r="J11" s="29"/>
      <c r="K11" s="29"/>
      <c r="L11" s="29"/>
      <c r="M11" s="29"/>
    </row>
    <row r="12" spans="1:24" ht="15.95">
      <c r="A12" s="29"/>
      <c r="B12" s="29"/>
      <c r="C12" s="29"/>
      <c r="D12" s="47"/>
      <c r="E12" s="47"/>
      <c r="F12" s="47"/>
      <c r="G12" s="47"/>
      <c r="H12" s="47"/>
      <c r="I12" s="29"/>
      <c r="J12" s="29"/>
      <c r="K12" s="29"/>
      <c r="L12" s="29"/>
      <c r="M12" s="29"/>
    </row>
    <row r="13" spans="1:24" ht="15.95">
      <c r="A13" s="48" t="s">
        <v>79</v>
      </c>
      <c r="B13" s="49" t="s">
        <v>74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</row>
    <row r="14" spans="1:24" ht="15.95">
      <c r="A14" s="50" t="s">
        <v>80</v>
      </c>
      <c r="B14" s="51">
        <v>2.5000000000000001E-2</v>
      </c>
      <c r="C14" s="52"/>
      <c r="D14" s="29"/>
      <c r="E14" s="29"/>
      <c r="F14" s="29"/>
      <c r="G14" s="29"/>
      <c r="H14" s="29"/>
      <c r="I14" s="29"/>
      <c r="J14" s="29"/>
      <c r="K14" s="29"/>
      <c r="L14" s="29"/>
      <c r="M14" s="29"/>
      <c r="Q14" s="214"/>
      <c r="R14" s="214"/>
      <c r="S14" s="214"/>
      <c r="T14" s="214"/>
      <c r="U14" s="214"/>
      <c r="V14" s="214"/>
      <c r="W14" s="214"/>
      <c r="X14" s="214"/>
    </row>
    <row r="15" spans="1:24" ht="15.95">
      <c r="A15" s="50" t="s">
        <v>81</v>
      </c>
      <c r="B15" s="51">
        <f>WACC!B8</f>
        <v>9.4500000000000001E-2</v>
      </c>
      <c r="C15" s="53"/>
      <c r="D15" s="29"/>
      <c r="E15" s="29"/>
      <c r="F15" s="29"/>
      <c r="G15" s="29"/>
      <c r="H15" s="29"/>
      <c r="I15" s="29"/>
      <c r="J15" s="29"/>
      <c r="K15" s="29"/>
      <c r="L15" s="29"/>
      <c r="M15" s="29"/>
      <c r="Q15" s="106"/>
      <c r="R15" s="215"/>
      <c r="S15" s="215"/>
      <c r="T15" s="215"/>
      <c r="U15" s="107"/>
      <c r="V15" s="107"/>
      <c r="W15" s="107"/>
      <c r="X15" s="107"/>
    </row>
    <row r="16" spans="1:24" ht="15.95">
      <c r="A16" s="50" t="s">
        <v>82</v>
      </c>
      <c r="B16" s="51">
        <f>WACC!B21</f>
        <v>4.1268979715976886E-2</v>
      </c>
      <c r="C16" s="53"/>
      <c r="D16" s="29"/>
      <c r="E16" s="29"/>
      <c r="F16" s="29"/>
      <c r="G16" s="29"/>
      <c r="H16" s="29"/>
      <c r="I16" s="29"/>
      <c r="J16" s="29"/>
      <c r="K16" s="29"/>
      <c r="L16" s="29"/>
      <c r="M16" s="29"/>
      <c r="Q16" s="107"/>
      <c r="R16" s="106"/>
      <c r="S16" s="106"/>
      <c r="T16" s="106"/>
      <c r="U16" s="106"/>
      <c r="V16" s="106"/>
      <c r="W16" s="106"/>
      <c r="X16" s="106"/>
    </row>
    <row r="17" spans="1:24" ht="15.95">
      <c r="A17" s="50" t="s">
        <v>83</v>
      </c>
      <c r="B17" s="47">
        <f>B52/B49</f>
        <v>0.21365628807651904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Q17" s="107"/>
      <c r="R17" s="106"/>
      <c r="S17" s="106"/>
      <c r="T17" s="106"/>
      <c r="U17" s="106"/>
      <c r="V17" s="106"/>
      <c r="W17" s="106"/>
      <c r="X17" s="106"/>
    </row>
    <row r="18" spans="1:24" ht="15.95">
      <c r="A18" s="54" t="s">
        <v>84</v>
      </c>
      <c r="B18" s="55">
        <f>WACC!B28</f>
        <v>8.7480187724792227E-2</v>
      </c>
      <c r="C18" s="47"/>
      <c r="D18" s="47"/>
      <c r="E18" s="47"/>
      <c r="F18" s="29"/>
      <c r="G18" s="29"/>
      <c r="H18" s="29"/>
      <c r="I18" s="29"/>
      <c r="J18" s="29"/>
      <c r="K18" s="29"/>
      <c r="L18" s="29"/>
      <c r="M18" s="29"/>
      <c r="Q18" s="107"/>
      <c r="R18" s="106"/>
      <c r="S18" s="106"/>
      <c r="T18" s="106"/>
      <c r="U18" s="106"/>
      <c r="V18" s="106"/>
      <c r="W18" s="106"/>
      <c r="X18" s="106"/>
    </row>
    <row r="19" spans="1:24" ht="15.95">
      <c r="Q19" s="107"/>
      <c r="R19" s="106"/>
      <c r="S19" s="106"/>
      <c r="T19" s="106"/>
      <c r="U19" s="106"/>
      <c r="V19" s="106"/>
      <c r="W19" s="106"/>
      <c r="X19" s="106"/>
    </row>
    <row r="20" spans="1:24" ht="15.95">
      <c r="A20" s="29"/>
      <c r="B20" s="29"/>
      <c r="C20" s="29" t="s">
        <v>71</v>
      </c>
      <c r="D20" s="299" t="s">
        <v>72</v>
      </c>
      <c r="E20" s="299"/>
      <c r="F20" s="299"/>
      <c r="G20" s="299"/>
      <c r="H20" s="299"/>
      <c r="Q20" s="107"/>
      <c r="R20" s="106"/>
      <c r="S20" s="106"/>
      <c r="T20" s="106"/>
      <c r="U20" s="106"/>
      <c r="V20" s="106"/>
      <c r="W20" s="106"/>
      <c r="X20" s="106"/>
    </row>
    <row r="21" spans="1:24" ht="15.95">
      <c r="A21" s="29"/>
      <c r="B21" s="29"/>
      <c r="C21" s="29"/>
      <c r="D21" s="29">
        <v>1</v>
      </c>
      <c r="E21" s="29">
        <v>2</v>
      </c>
      <c r="F21" s="29">
        <v>3</v>
      </c>
      <c r="G21" s="29">
        <v>4</v>
      </c>
      <c r="H21" s="29">
        <v>5</v>
      </c>
      <c r="Q21" s="107"/>
      <c r="R21" s="106"/>
      <c r="S21" s="106"/>
      <c r="T21" s="106"/>
      <c r="U21" s="106"/>
      <c r="V21" s="106"/>
      <c r="W21" s="106"/>
      <c r="X21" s="106"/>
    </row>
    <row r="22" spans="1:24" ht="15.95">
      <c r="A22" s="48" t="s">
        <v>85</v>
      </c>
      <c r="B22" s="56" t="s">
        <v>74</v>
      </c>
      <c r="C22" s="56">
        <v>2024</v>
      </c>
      <c r="D22" s="56">
        <v>2025</v>
      </c>
      <c r="E22" s="56">
        <v>2026</v>
      </c>
      <c r="F22" s="56">
        <v>2027</v>
      </c>
      <c r="G22" s="56">
        <v>2028</v>
      </c>
      <c r="H22" s="49">
        <v>2029</v>
      </c>
      <c r="Q22" s="107"/>
      <c r="R22" s="106"/>
      <c r="S22" s="106"/>
      <c r="T22" s="106"/>
      <c r="U22" s="106"/>
      <c r="V22" s="106"/>
      <c r="W22" s="106"/>
      <c r="X22" s="106"/>
    </row>
    <row r="23" spans="1:24" ht="15.95">
      <c r="A23" s="50" t="s">
        <v>86</v>
      </c>
      <c r="B23" s="36"/>
      <c r="C23" s="57">
        <f>'Forecasted Income Statement &amp;BS'!E46</f>
        <v>43974</v>
      </c>
      <c r="D23" s="57">
        <f>C26</f>
        <v>46755</v>
      </c>
      <c r="E23" s="57">
        <f t="shared" ref="E23" si="0">D26</f>
        <v>47227.086593350374</v>
      </c>
      <c r="F23" s="57">
        <f>E26</f>
        <v>47713.807871094607</v>
      </c>
      <c r="G23" s="57">
        <f>F26</f>
        <v>48215.617508448908</v>
      </c>
      <c r="H23" s="57">
        <f>G26</f>
        <v>48732.983244561197</v>
      </c>
    </row>
    <row r="24" spans="1:24" ht="15.95">
      <c r="A24" s="50" t="s">
        <v>87</v>
      </c>
      <c r="B24" s="38">
        <f>'Forecasted Income Statement &amp;BS'!G75</f>
        <v>1.9682590745643404E-2</v>
      </c>
      <c r="C24" s="57">
        <f>(C26-C23+C25)</f>
        <v>5815</v>
      </c>
      <c r="D24" s="57">
        <f>'Forecasted Income Statement &amp;BS'!G10*'DCF Valuation'!$B$24</f>
        <v>3227.5589460461774</v>
      </c>
      <c r="E24" s="57">
        <f>'Forecasted Income Statement &amp;BS'!H10*'DCF Valuation'!$B$24</f>
        <v>3327.613273373609</v>
      </c>
      <c r="F24" s="57">
        <f>'Forecasted Income Statement &amp;BS'!I10*'DCF Valuation'!$B$24</f>
        <v>3430.7692848481906</v>
      </c>
      <c r="G24" s="57">
        <f>'Forecasted Income Statement &amp;BS'!J10*'DCF Valuation'!$B$24</f>
        <v>3537.1231326784846</v>
      </c>
      <c r="H24" s="57">
        <f>'Forecasted Income Statement &amp;BS'!K10*'DCF Valuation'!$B$24</f>
        <v>3646.7739497915172</v>
      </c>
    </row>
    <row r="25" spans="1:24" ht="15.95">
      <c r="A25" s="50" t="s">
        <v>67</v>
      </c>
      <c r="B25" s="38">
        <f>'Forecasted Income Statement &amp;BS'!G78</f>
        <v>1.6803669750318728E-2</v>
      </c>
      <c r="C25" s="57">
        <f>'Forecasted Income Statement &amp;BS'!F23</f>
        <v>3034</v>
      </c>
      <c r="D25" s="65">
        <f>'Forecasted Income Statement &amp;BS'!G10*'DCF Valuation'!$B$25</f>
        <v>2755.4723526958069</v>
      </c>
      <c r="E25" s="65">
        <f>'Forecasted Income Statement &amp;BS'!H10*'DCF Valuation'!$B$25</f>
        <v>2840.8919956293767</v>
      </c>
      <c r="F25" s="65">
        <f>'Forecasted Income Statement &amp;BS'!I10*'DCF Valuation'!$B$25</f>
        <v>2928.9596474938876</v>
      </c>
      <c r="G25" s="65">
        <f>'Forecasted Income Statement &amp;BS'!J10*'DCF Valuation'!$B$25</f>
        <v>3019.7573965661977</v>
      </c>
      <c r="H25" s="65">
        <f>'Forecasted Income Statement &amp;BS'!K10*'DCF Valuation'!$B$25</f>
        <v>3113.3698758597498</v>
      </c>
    </row>
    <row r="26" spans="1:24" ht="15.95">
      <c r="A26" s="54" t="s">
        <v>88</v>
      </c>
      <c r="B26" s="58"/>
      <c r="C26" s="59">
        <f>'Forecasted Income Statement &amp;BS'!F46</f>
        <v>46755</v>
      </c>
      <c r="D26" s="59">
        <f>D23+D24-D25</f>
        <v>47227.086593350374</v>
      </c>
      <c r="E26" s="59">
        <f>E23+E24-E25</f>
        <v>47713.807871094607</v>
      </c>
      <c r="F26" s="59">
        <f>F23+F24-F25</f>
        <v>48215.617508448908</v>
      </c>
      <c r="G26" s="59">
        <f>G23+G24-G25</f>
        <v>48732.983244561197</v>
      </c>
      <c r="H26" s="59">
        <f>H23+H24-H25</f>
        <v>49266.387318492962</v>
      </c>
      <c r="M26" s="106"/>
      <c r="N26" s="107"/>
      <c r="O26" s="107"/>
      <c r="P26" s="107"/>
      <c r="Q26" s="107"/>
      <c r="R26" s="107"/>
      <c r="S26" s="107"/>
      <c r="T26" s="107"/>
    </row>
    <row r="27" spans="1:24" ht="15.95">
      <c r="A27" s="54" t="s">
        <v>57</v>
      </c>
      <c r="B27" s="58"/>
      <c r="C27" s="59">
        <f>C26+C34</f>
        <v>74711</v>
      </c>
      <c r="D27" s="59">
        <f t="shared" ref="D27:H27" si="1">D26+D34</f>
        <v>74422.112306113078</v>
      </c>
      <c r="E27" s="59">
        <f t="shared" si="1"/>
        <v>75751.879380952945</v>
      </c>
      <c r="F27" s="59">
        <f t="shared" si="1"/>
        <v>77122.869235112856</v>
      </c>
      <c r="G27" s="59">
        <f t="shared" si="1"/>
        <v>78536.359774751734</v>
      </c>
      <c r="H27" s="59">
        <f t="shared" si="1"/>
        <v>79993.668521119398</v>
      </c>
      <c r="M27" s="107"/>
      <c r="N27" s="106"/>
      <c r="O27" s="106"/>
      <c r="P27" s="106"/>
      <c r="Q27" s="106"/>
      <c r="R27" s="106"/>
      <c r="S27" s="106"/>
      <c r="T27" s="106"/>
    </row>
    <row r="28" spans="1:24" ht="15.95">
      <c r="A28" s="54" t="s">
        <v>89</v>
      </c>
      <c r="B28" s="58"/>
      <c r="C28" s="237"/>
      <c r="D28" s="238">
        <f>D27-C27</f>
        <v>-288.88769388692162</v>
      </c>
      <c r="E28" s="238">
        <f t="shared" ref="E28:H28" si="2">E27-D27</f>
        <v>1329.7670748398668</v>
      </c>
      <c r="F28" s="238">
        <f t="shared" si="2"/>
        <v>1370.9898541599105</v>
      </c>
      <c r="G28" s="59">
        <f t="shared" si="2"/>
        <v>1413.4905396388785</v>
      </c>
      <c r="H28" s="59">
        <f t="shared" si="2"/>
        <v>1457.3087463676638</v>
      </c>
      <c r="M28" s="107"/>
      <c r="N28" s="106"/>
      <c r="O28" s="106"/>
      <c r="P28" s="106"/>
      <c r="Q28" s="106"/>
      <c r="R28" s="106"/>
      <c r="S28" s="106"/>
      <c r="T28" s="106"/>
    </row>
    <row r="29" spans="1:24" ht="15.95">
      <c r="A29" s="29"/>
      <c r="B29" s="29"/>
      <c r="C29" s="29"/>
      <c r="D29" s="29"/>
      <c r="E29" s="29"/>
      <c r="F29" s="29"/>
      <c r="G29" s="29"/>
      <c r="H29" s="29"/>
      <c r="M29" s="107"/>
      <c r="N29" s="106"/>
      <c r="O29" s="106"/>
      <c r="P29" s="106"/>
      <c r="Q29" s="106"/>
      <c r="R29" s="106"/>
      <c r="S29" s="106"/>
      <c r="T29" s="106"/>
    </row>
    <row r="30" spans="1:24" ht="15.95">
      <c r="A30" s="29"/>
      <c r="B30" s="29"/>
      <c r="C30" s="29" t="s">
        <v>71</v>
      </c>
      <c r="D30" s="299" t="s">
        <v>72</v>
      </c>
      <c r="E30" s="299"/>
      <c r="F30" s="299"/>
      <c r="G30" s="299"/>
      <c r="H30" s="299"/>
      <c r="M30" s="107"/>
      <c r="N30" s="106"/>
      <c r="O30" s="106"/>
      <c r="P30" s="106"/>
      <c r="Q30" s="106"/>
      <c r="R30" s="106"/>
      <c r="S30" s="106"/>
      <c r="T30" s="106"/>
    </row>
    <row r="31" spans="1:24" ht="15.95">
      <c r="C31" s="29"/>
      <c r="D31" s="29">
        <v>1</v>
      </c>
      <c r="E31" s="29">
        <v>2</v>
      </c>
      <c r="F31" s="29">
        <v>3</v>
      </c>
      <c r="G31" s="29">
        <v>4</v>
      </c>
      <c r="H31" s="29">
        <v>5</v>
      </c>
      <c r="M31" s="107"/>
      <c r="N31" s="106"/>
      <c r="O31" s="106"/>
      <c r="P31" s="106"/>
      <c r="Q31" s="106"/>
      <c r="R31" s="106"/>
      <c r="S31" s="106"/>
      <c r="T31" s="106"/>
    </row>
    <row r="32" spans="1:24" ht="15.95">
      <c r="A32" s="48" t="s">
        <v>90</v>
      </c>
      <c r="B32" s="56" t="s">
        <v>74</v>
      </c>
      <c r="C32" s="56">
        <v>2024</v>
      </c>
      <c r="D32" s="56">
        <v>2025</v>
      </c>
      <c r="E32" s="56">
        <v>2026</v>
      </c>
      <c r="F32" s="56">
        <v>2027</v>
      </c>
      <c r="G32" s="56">
        <v>2028</v>
      </c>
      <c r="H32" s="49">
        <v>2029</v>
      </c>
      <c r="M32" s="107"/>
      <c r="N32" s="106"/>
      <c r="O32" s="106"/>
      <c r="P32" s="106"/>
      <c r="Q32" s="106"/>
      <c r="R32" s="106"/>
      <c r="S32" s="106"/>
      <c r="T32" s="106"/>
    </row>
    <row r="33" spans="1:20" ht="15.95">
      <c r="A33" s="50" t="s">
        <v>91</v>
      </c>
      <c r="B33" s="60">
        <v>0</v>
      </c>
      <c r="C33" s="36">
        <f>'Forecasted Income Statement &amp;BS'!F70</f>
        <v>-20196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M33" s="107"/>
      <c r="N33" s="106"/>
      <c r="O33" s="106"/>
      <c r="P33" s="106"/>
      <c r="Q33" s="106"/>
      <c r="R33" s="106"/>
      <c r="S33" s="106"/>
      <c r="T33" s="106"/>
    </row>
    <row r="34" spans="1:20" ht="15.95">
      <c r="A34" s="50" t="s">
        <v>55</v>
      </c>
      <c r="B34" s="38">
        <f>'Forecasted Income Statement &amp;BS'!G79</f>
        <v>0.16584315588636173</v>
      </c>
      <c r="C34" s="36">
        <f>'Forecasted Income Statement &amp;BS'!F62</f>
        <v>27956</v>
      </c>
      <c r="D34" s="65">
        <f>'Forecasted Income Statement &amp;BS'!G10*'DCF Valuation'!$B$34</f>
        <v>27195.025712762701</v>
      </c>
      <c r="E34" s="65">
        <f>'Forecasted Income Statement &amp;BS'!H10*'DCF Valuation'!$B$34</f>
        <v>28038.071509858342</v>
      </c>
      <c r="F34" s="65">
        <f>'Forecasted Income Statement &amp;BS'!I10*'DCF Valuation'!$B$34</f>
        <v>28907.251726663952</v>
      </c>
      <c r="G34" s="65">
        <f>'Forecasted Income Statement &amp;BS'!J10*'DCF Valuation'!$B$34</f>
        <v>29803.376530190533</v>
      </c>
      <c r="H34" s="65">
        <f>'Forecasted Income Statement &amp;BS'!K10*'DCF Valuation'!$B$34</f>
        <v>30727.28120262644</v>
      </c>
    </row>
    <row r="35" spans="1:20" ht="15.95">
      <c r="A35" s="50" t="s">
        <v>41</v>
      </c>
      <c r="B35" s="36"/>
      <c r="C35" s="57">
        <f>'Forecasted Income Statement &amp;BS'!F63</f>
        <v>46755</v>
      </c>
      <c r="D35" s="57">
        <f>D26</f>
        <v>47227.086593350374</v>
      </c>
      <c r="E35" s="57">
        <f t="shared" ref="E35:H35" si="3">E26</f>
        <v>47713.807871094607</v>
      </c>
      <c r="F35" s="57">
        <f t="shared" si="3"/>
        <v>48215.617508448908</v>
      </c>
      <c r="G35" s="57">
        <f t="shared" si="3"/>
        <v>48732.983244561197</v>
      </c>
      <c r="H35" s="57">
        <f t="shared" si="3"/>
        <v>49266.387318492962</v>
      </c>
    </row>
    <row r="36" spans="1:20" ht="15.95">
      <c r="A36" s="50" t="s">
        <v>92</v>
      </c>
      <c r="B36" s="36"/>
      <c r="C36" s="36"/>
      <c r="D36" s="36"/>
      <c r="E36" s="36"/>
      <c r="F36" s="36"/>
      <c r="G36" s="36"/>
      <c r="H36" s="29"/>
    </row>
    <row r="37" spans="1:20" ht="15.95">
      <c r="A37" s="54" t="s">
        <v>93</v>
      </c>
      <c r="B37" s="58"/>
      <c r="C37" s="58"/>
      <c r="D37" s="58"/>
      <c r="E37" s="58"/>
      <c r="F37" s="58"/>
      <c r="G37" s="58"/>
      <c r="H37" s="61"/>
    </row>
    <row r="39" spans="1:20" ht="15.95">
      <c r="A39" s="48" t="s">
        <v>94</v>
      </c>
      <c r="B39" s="56"/>
      <c r="C39" s="56">
        <v>2024</v>
      </c>
      <c r="D39" s="56">
        <v>2025</v>
      </c>
      <c r="E39" s="56">
        <v>2026</v>
      </c>
      <c r="F39" s="56">
        <v>2027</v>
      </c>
      <c r="G39" s="56">
        <v>2028</v>
      </c>
      <c r="H39" s="49">
        <v>2029</v>
      </c>
    </row>
    <row r="40" spans="1:20" ht="15.95">
      <c r="A40" s="79" t="s">
        <v>27</v>
      </c>
      <c r="B40" s="80"/>
      <c r="C40" s="81">
        <f>'Forecasted Income Statement &amp;BS'!F25</f>
        <v>21526</v>
      </c>
      <c r="D40" s="81">
        <f>'Forecasted Income Statement &amp;BS'!G25</f>
        <v>21841.586447304195</v>
      </c>
      <c r="E40" s="81">
        <f>'Forecasted Income Statement &amp;BS'!H25</f>
        <v>22518.675627170622</v>
      </c>
      <c r="F40" s="81">
        <f>'Forecasted Income Statement &amp;BS'!I25</f>
        <v>23216.754571612917</v>
      </c>
      <c r="G40" s="81">
        <f>'Forecasted Income Statement &amp;BS'!J25</f>
        <v>23936.473963332915</v>
      </c>
      <c r="H40" s="81">
        <f>'Forecasted Income Statement &amp;BS'!K25</f>
        <v>24678.504656196234</v>
      </c>
    </row>
    <row r="41" spans="1:20" ht="15.95">
      <c r="A41" s="82" t="s">
        <v>95</v>
      </c>
      <c r="B41" s="83"/>
      <c r="C41" s="84">
        <f>C40*$B$11</f>
        <v>5166.24</v>
      </c>
      <c r="D41" s="84">
        <f t="shared" ref="D41:H41" si="4">D40*$B$11</f>
        <v>5241.9807473530063</v>
      </c>
      <c r="E41" s="84">
        <f t="shared" si="4"/>
        <v>5404.4821505209493</v>
      </c>
      <c r="F41" s="84">
        <f t="shared" si="4"/>
        <v>5572.0210971871002</v>
      </c>
      <c r="G41" s="84">
        <f t="shared" si="4"/>
        <v>5744.7537511998999</v>
      </c>
      <c r="H41" s="84">
        <f t="shared" si="4"/>
        <v>5922.8411174870962</v>
      </c>
    </row>
    <row r="42" spans="1:20" ht="15.95">
      <c r="A42" s="85" t="s">
        <v>89</v>
      </c>
      <c r="B42" s="86"/>
      <c r="C42" s="58">
        <v>799</v>
      </c>
      <c r="D42" s="59">
        <f>D28</f>
        <v>-288.88769388692162</v>
      </c>
      <c r="E42" s="59">
        <f t="shared" ref="E42:H42" si="5">E28</f>
        <v>1329.7670748398668</v>
      </c>
      <c r="F42" s="59">
        <f t="shared" si="5"/>
        <v>1370.9898541599105</v>
      </c>
      <c r="G42" s="59">
        <f t="shared" si="5"/>
        <v>1413.4905396388785</v>
      </c>
      <c r="H42" s="59">
        <f t="shared" si="5"/>
        <v>1457.3087463676638</v>
      </c>
    </row>
    <row r="43" spans="1:20" ht="15.95">
      <c r="A43" s="293" t="s">
        <v>96</v>
      </c>
      <c r="B43" s="294"/>
      <c r="C43" s="87">
        <f>C40-C41-C42</f>
        <v>15560.76</v>
      </c>
      <c r="D43" s="87">
        <f>D40-D41-D42</f>
        <v>16888.493393838111</v>
      </c>
      <c r="E43" s="87">
        <f t="shared" ref="E43:H43" si="6">E40-E41-E42</f>
        <v>15784.426401809804</v>
      </c>
      <c r="F43" s="87">
        <f t="shared" si="6"/>
        <v>16273.743620265908</v>
      </c>
      <c r="G43" s="87">
        <f t="shared" si="6"/>
        <v>16778.229672494137</v>
      </c>
      <c r="H43" s="87">
        <f t="shared" si="6"/>
        <v>17298.354792341474</v>
      </c>
    </row>
    <row r="44" spans="1:20" ht="15.95">
      <c r="A44" s="295" t="s">
        <v>97</v>
      </c>
      <c r="B44" s="296"/>
      <c r="C44" s="58"/>
      <c r="D44" s="253"/>
      <c r="E44" s="58"/>
      <c r="F44" s="58"/>
      <c r="G44" s="58"/>
      <c r="H44" s="88">
        <f>((H43*(1+B14)))/(B18-B14)</f>
        <v>283782.97677736328</v>
      </c>
    </row>
    <row r="45" spans="1:20" ht="15.95">
      <c r="A45" s="85" t="s">
        <v>98</v>
      </c>
      <c r="B45" s="86"/>
      <c r="C45" s="89">
        <f>C43</f>
        <v>15560.76</v>
      </c>
      <c r="D45" s="89"/>
      <c r="E45" s="89">
        <f t="shared" ref="D45:G45" si="7">E43</f>
        <v>15784.426401809804</v>
      </c>
      <c r="F45" s="89">
        <f t="shared" si="7"/>
        <v>16273.743620265908</v>
      </c>
      <c r="G45" s="89">
        <f t="shared" si="7"/>
        <v>16778.229672494137</v>
      </c>
      <c r="H45" s="90">
        <f>H43+H44</f>
        <v>301081.33156970475</v>
      </c>
    </row>
    <row r="46" spans="1:20" ht="15.95">
      <c r="A46" s="85" t="s">
        <v>99</v>
      </c>
      <c r="B46" s="86"/>
      <c r="C46" s="91">
        <f>NPV($B$18,C45:H45)</f>
        <v>250266.44655012377</v>
      </c>
      <c r="D46" s="91">
        <f t="shared" ref="D46:H46" si="8">NPV($B$18,D45:I45)</f>
        <v>256599.04227554525</v>
      </c>
      <c r="E46" s="91">
        <f t="shared" si="8"/>
        <v>256599.04227554525</v>
      </c>
      <c r="F46" s="91">
        <f t="shared" si="8"/>
        <v>263261.94826200203</v>
      </c>
      <c r="G46" s="91">
        <f t="shared" si="8"/>
        <v>270018.40929649054</v>
      </c>
      <c r="H46" s="91">
        <f t="shared" si="8"/>
        <v>276861.44075840322</v>
      </c>
    </row>
    <row r="47" spans="1:20" ht="15.95">
      <c r="A47" s="29"/>
      <c r="C47" s="92"/>
      <c r="D47" s="92"/>
      <c r="E47" s="29"/>
      <c r="F47" s="29"/>
      <c r="G47" s="29"/>
      <c r="H47" s="29"/>
    </row>
    <row r="48" spans="1:20" ht="15.95">
      <c r="A48" s="93" t="s">
        <v>100</v>
      </c>
      <c r="B48" s="94">
        <v>2024</v>
      </c>
    </row>
    <row r="49" spans="1:2" ht="15.95">
      <c r="A49" s="95" t="s">
        <v>99</v>
      </c>
      <c r="B49" s="96">
        <f>C46</f>
        <v>250266.44655012377</v>
      </c>
    </row>
    <row r="50" spans="1:2" ht="15.95">
      <c r="A50" s="50" t="s">
        <v>91</v>
      </c>
      <c r="B50" s="36">
        <f>C33</f>
        <v>-20196</v>
      </c>
    </row>
    <row r="51" spans="1:2" ht="15.95">
      <c r="A51" s="50" t="s">
        <v>101</v>
      </c>
      <c r="B51" s="97">
        <f>B49+B50</f>
        <v>230070.44655012377</v>
      </c>
    </row>
    <row r="52" spans="1:2" ht="15.95">
      <c r="A52" s="50" t="s">
        <v>102</v>
      </c>
      <c r="B52" s="36">
        <f>'Forecasted Income Statement &amp;BS'!F56</f>
        <v>53471</v>
      </c>
    </row>
    <row r="53" spans="1:2" ht="15.95">
      <c r="A53" s="50" t="s">
        <v>103</v>
      </c>
      <c r="B53" s="97">
        <f>B51-B52</f>
        <v>176599.44655012377</v>
      </c>
    </row>
    <row r="54" spans="1:2" ht="15.95">
      <c r="A54" s="50" t="s">
        <v>104</v>
      </c>
      <c r="B54" s="36">
        <v>994</v>
      </c>
    </row>
    <row r="55" spans="1:2" ht="15.95">
      <c r="A55" s="99" t="s">
        <v>105</v>
      </c>
      <c r="B55" s="100">
        <f>B53/B54</f>
        <v>177.66543918523519</v>
      </c>
    </row>
  </sheetData>
  <mergeCells count="7">
    <mergeCell ref="A43:B43"/>
    <mergeCell ref="A44:B44"/>
    <mergeCell ref="A2:M2"/>
    <mergeCell ref="A3:M3"/>
    <mergeCell ref="D5:H5"/>
    <mergeCell ref="D20:H20"/>
    <mergeCell ref="D30:H30"/>
  </mergeCells>
  <phoneticPr fontId="2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496A-ECD6-4D41-A4AB-116808DEB131}">
  <dimension ref="A2:AC78"/>
  <sheetViews>
    <sheetView zoomScale="125" workbookViewId="0">
      <selection activeCell="H13" sqref="H13"/>
    </sheetView>
  </sheetViews>
  <sheetFormatPr defaultColWidth="8.875" defaultRowHeight="15"/>
  <cols>
    <col min="1" max="1" width="24.5" customWidth="1"/>
    <col min="2" max="3" width="10" bestFit="1" customWidth="1"/>
    <col min="4" max="4" width="10.5" bestFit="1" customWidth="1"/>
    <col min="5" max="5" width="10" bestFit="1" customWidth="1"/>
    <col min="6" max="6" width="10.5" bestFit="1" customWidth="1"/>
    <col min="7" max="7" width="14.625" bestFit="1" customWidth="1"/>
    <col min="8" max="11" width="12.375" bestFit="1" customWidth="1"/>
    <col min="13" max="13" width="28.625" customWidth="1"/>
  </cols>
  <sheetData>
    <row r="2" spans="1:12">
      <c r="A2" s="303" t="s">
        <v>106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</row>
    <row r="3" spans="1:12">
      <c r="A3" s="304"/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</row>
    <row r="4" spans="1:12">
      <c r="A4" s="172" t="s">
        <v>107</v>
      </c>
      <c r="B4" s="172" t="s">
        <v>108</v>
      </c>
      <c r="C4" s="172" t="s">
        <v>109</v>
      </c>
      <c r="D4" s="172" t="s">
        <v>110</v>
      </c>
      <c r="E4" s="172" t="s">
        <v>111</v>
      </c>
      <c r="F4" s="172" t="s">
        <v>112</v>
      </c>
      <c r="G4" s="172" t="s">
        <v>113</v>
      </c>
      <c r="H4" s="172" t="s">
        <v>114</v>
      </c>
      <c r="I4" s="172" t="s">
        <v>115</v>
      </c>
      <c r="J4" s="172" t="s">
        <v>116</v>
      </c>
      <c r="K4" s="172" t="s">
        <v>117</v>
      </c>
      <c r="L4" s="172"/>
    </row>
    <row r="5" spans="1:12">
      <c r="A5" s="173" t="s">
        <v>118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</row>
    <row r="6" spans="1:12" s="112" customFormat="1">
      <c r="A6" s="174" t="s">
        <v>119</v>
      </c>
      <c r="B6" s="181">
        <f>'Forecasted Income Statement &amp;BS'!B17/'Forecasted Income Statement &amp;BS'!B13</f>
        <v>0.33951252743925514</v>
      </c>
      <c r="C6" s="181">
        <f>'Forecasted Income Statement &amp;BS'!C17/'Forecasted Income Statement &amp;BS'!C13</f>
        <v>0.33628611311417927</v>
      </c>
      <c r="D6" s="181">
        <f>'Forecasted Income Statement &amp;BS'!D17/'Forecasted Income Statement &amp;BS'!D13</f>
        <v>0.33530491794946732</v>
      </c>
      <c r="E6" s="181">
        <f>'Forecasted Income Statement &amp;BS'!E17/'Forecasted Income Statement &amp;BS'!E13</f>
        <v>0.33379402498215094</v>
      </c>
      <c r="F6" s="181">
        <f>'Forecasted Income Statement &amp;BS'!F17/'Forecasted Income Statement &amp;BS'!F13</f>
        <v>0.33419010243614983</v>
      </c>
      <c r="G6" s="181">
        <f>'Forecasted Income Statement &amp;BS'!G17/'Forecasted Income Statement &amp;BS'!G13</f>
        <v>0.33</v>
      </c>
      <c r="H6" s="181">
        <f>'Forecasted Income Statement &amp;BS'!H17/'Forecasted Income Statement &amp;BS'!H13</f>
        <v>0.33</v>
      </c>
      <c r="I6" s="181">
        <f>'Forecasted Income Statement &amp;BS'!I17/'Forecasted Income Statement &amp;BS'!I13</f>
        <v>0.33</v>
      </c>
      <c r="J6" s="181">
        <f>'Forecasted Income Statement &amp;BS'!J17/'Forecasted Income Statement &amp;BS'!J13</f>
        <v>0.33</v>
      </c>
      <c r="K6" s="181">
        <f>'Forecasted Income Statement &amp;BS'!K17/'Forecasted Income Statement &amp;BS'!K13</f>
        <v>0.33</v>
      </c>
      <c r="L6" s="174"/>
    </row>
    <row r="7" spans="1:12">
      <c r="A7" s="175" t="s">
        <v>120</v>
      </c>
      <c r="B7" s="176">
        <f>'Forecasted Income Statement &amp;BS'!B21/'Forecasted Income Statement &amp;BS'!B13</f>
        <v>0.15446219059874347</v>
      </c>
      <c r="C7" s="176">
        <f>'Forecasted Income Statement &amp;BS'!C21/'Forecasted Income Statement &amp;BS'!C13</f>
        <v>0.16820921293754176</v>
      </c>
      <c r="D7" s="176">
        <f>'Forecasted Income Statement &amp;BS'!D21/'Forecasted Income Statement &amp;BS'!D13</f>
        <v>0.16831953647643311</v>
      </c>
      <c r="E7" s="176">
        <f>'Forecasted Income Statement &amp;BS'!E21/'Forecasted Income Statement &amp;BS'!E13</f>
        <v>0.15957398031034462</v>
      </c>
      <c r="F7" s="176">
        <f>'Forecasted Income Statement &amp;BS'!F21/'Forecasted Income Statement &amp;BS'!F13</f>
        <v>0.1539676768183357</v>
      </c>
      <c r="G7" s="176">
        <f>'Forecasted Income Statement &amp;BS'!G21/'Forecasted Income Statement &amp;BS'!G13</f>
        <v>0.15000000000000002</v>
      </c>
      <c r="H7" s="176">
        <f>'Forecasted Income Statement &amp;BS'!H21/'Forecasted Income Statement &amp;BS'!H13</f>
        <v>0.15</v>
      </c>
      <c r="I7" s="176">
        <f>'Forecasted Income Statement &amp;BS'!I21/'Forecasted Income Statement &amp;BS'!I13</f>
        <v>0.15000000000000005</v>
      </c>
      <c r="J7" s="176">
        <f>'Forecasted Income Statement &amp;BS'!J21/'Forecasted Income Statement &amp;BS'!J13</f>
        <v>0.15000000000000005</v>
      </c>
      <c r="K7" s="176">
        <f>'Forecasted Income Statement &amp;BS'!K21/'Forecasted Income Statement &amp;BS'!K13</f>
        <v>0.15000000000000002</v>
      </c>
      <c r="L7" s="175"/>
    </row>
    <row r="8" spans="1:12">
      <c r="A8" s="175" t="s">
        <v>121</v>
      </c>
      <c r="B8" s="176">
        <f>'Forecasted Income Statement &amp;BS'!B25/'Forecasted Income Statement &amp;BS'!B13</f>
        <v>0.13835440163500112</v>
      </c>
      <c r="C8" s="176">
        <f>'Forecasted Income Statement &amp;BS'!C25/'Forecasted Income Statement &amp;BS'!C13</f>
        <v>0.15242430056166767</v>
      </c>
      <c r="D8" s="176">
        <f>'Forecasted Income Statement &amp;BS'!D25/'Forecasted Income Statement &amp;BS'!D13</f>
        <v>0.15272262917479337</v>
      </c>
      <c r="E8" s="176">
        <f>'Forecasted Income Statement &amp;BS'!E25/'Forecasted Income Statement &amp;BS'!E13</f>
        <v>0.14206551428253281</v>
      </c>
      <c r="F8" s="176">
        <f>'Forecasted Income Statement &amp;BS'!F25/'Forecasted Income Statement &amp;BS'!F13</f>
        <v>0.13494740273581002</v>
      </c>
      <c r="G8" s="176">
        <f>'Forecasted Income Statement &amp;BS'!G25/'Forecasted Income Statement &amp;BS'!G13</f>
        <v>0.13319633024968128</v>
      </c>
      <c r="H8" s="176">
        <f>'Forecasted Income Statement &amp;BS'!H25/'Forecasted Income Statement &amp;BS'!H13</f>
        <v>0.13319633024968128</v>
      </c>
      <c r="I8" s="176">
        <f>'Forecasted Income Statement &amp;BS'!I25/'Forecasted Income Statement &amp;BS'!I13</f>
        <v>0.13319633024968131</v>
      </c>
      <c r="J8" s="176">
        <f>'Forecasted Income Statement &amp;BS'!J25/'Forecasted Income Statement &amp;BS'!J13</f>
        <v>0.13319633024968131</v>
      </c>
      <c r="K8" s="176">
        <f>'Forecasted Income Statement &amp;BS'!K25/'Forecasted Income Statement &amp;BS'!K13</f>
        <v>0.13319633024968131</v>
      </c>
      <c r="L8" s="175"/>
    </row>
    <row r="9" spans="1:12">
      <c r="A9" s="175" t="s">
        <v>122</v>
      </c>
      <c r="B9" s="181">
        <f>'Forecasted Income Statement &amp;BS'!B35/'Forecasted Income Statement &amp;BS'!B13</f>
        <v>9.738853985315267E-2</v>
      </c>
      <c r="C9" s="181">
        <f>'Forecasted Income Statement &amp;BS'!C35/'Forecasted Income Statement &amp;BS'!C13</f>
        <v>0.10871477999695681</v>
      </c>
      <c r="D9" s="181">
        <f>'Forecasted Income Statement &amp;BS'!D35/'Forecasted Income Statement &amp;BS'!D13</f>
        <v>0.10867010158637383</v>
      </c>
      <c r="E9" s="181">
        <f>'Forecasted Income Statement &amp;BS'!E35/'Forecasted Income Statement &amp;BS'!E13</f>
        <v>9.9188440351348342E-2</v>
      </c>
      <c r="F9" s="181">
        <f>'Forecasted Income Statement &amp;BS'!F35/'Forecasted Income Statement &amp;BS'!F13</f>
        <v>9.2819439046102542E-2</v>
      </c>
      <c r="G9" s="181">
        <f>'Forecasted Income Statement &amp;BS'!G35/'Forecasted Income Statement &amp;BS'!G13</f>
        <v>8.9213212394023231E-2</v>
      </c>
      <c r="H9" s="181">
        <f>'Forecasted Income Statement &amp;BS'!H35/'Forecasted Income Statement &amp;BS'!H13</f>
        <v>8.9213212394023231E-2</v>
      </c>
      <c r="I9" s="181">
        <f>'Forecasted Income Statement &amp;BS'!I35/'Forecasted Income Statement &amp;BS'!I13</f>
        <v>8.9213212394023272E-2</v>
      </c>
      <c r="J9" s="181">
        <f>'Forecasted Income Statement &amp;BS'!J35/'Forecasted Income Statement &amp;BS'!J13</f>
        <v>8.9213212394023245E-2</v>
      </c>
      <c r="K9" s="181">
        <f>'Forecasted Income Statement &amp;BS'!K35/'Forecasted Income Statement &amp;BS'!K13</f>
        <v>8.9213212394023259E-2</v>
      </c>
      <c r="L9" s="175"/>
    </row>
    <row r="10" spans="1:12">
      <c r="A10" s="174" t="s">
        <v>123</v>
      </c>
      <c r="B10" s="181">
        <f>'Forecasted Income Statement &amp;BS'!B35/'Forecasted Income Statement &amp;BS'!B47</f>
        <v>0.25111249902412364</v>
      </c>
      <c r="C10" s="181">
        <f>'Forecasted Income Statement &amp;BS'!C35/'Forecasted Income Statement &amp;BS'!C47</f>
        <v>0.23282469786486448</v>
      </c>
      <c r="D10" s="181">
        <f>'Forecasted Income Statement &amp;BS'!D35/'Forecasted Income Statement &amp;BS'!D47</f>
        <v>0.23797929767933665</v>
      </c>
      <c r="E10" s="181">
        <f>'Forecasted Income Statement &amp;BS'!E35/'Forecasted Income Statement &amp;BS'!E47</f>
        <v>0.19809013015893781</v>
      </c>
      <c r="F10" s="181">
        <f>'Forecasted Income Statement &amp;BS'!F35/'Forecasted Income Statement &amp;BS'!F47</f>
        <v>0.19346661439958188</v>
      </c>
      <c r="G10" s="181">
        <f>'Forecasted Income Statement &amp;BS'!G35/'Forecasted Income Statement &amp;BS'!H47</f>
        <v>0.18595003739475005</v>
      </c>
      <c r="H10" s="181">
        <f>'Forecasted Income Statement &amp;BS'!H35/'Forecasted Income Statement &amp;BS'!I47</f>
        <v>0.18595003739475005</v>
      </c>
      <c r="I10" s="181">
        <f>'Forecasted Income Statement &amp;BS'!I35/'Forecasted Income Statement &amp;BS'!J47</f>
        <v>0.1917144885539874</v>
      </c>
      <c r="J10" s="181">
        <f>'Forecasted Income Statement &amp;BS'!J35/'Forecasted Income Statement &amp;BS'!K47</f>
        <v>0.19171448855398734</v>
      </c>
      <c r="K10" s="181">
        <f>'Forecasted Income Statement &amp;BS'!K35/'Forecasted Income Statement &amp;BS'!L47</f>
        <v>0.19765763769916098</v>
      </c>
      <c r="L10" s="175"/>
    </row>
    <row r="11" spans="1:12">
      <c r="A11" s="177" t="s">
        <v>124</v>
      </c>
      <c r="B11" s="178">
        <f>'Forecasted Income Statement &amp;BS'!B35/'Forecasted Income Statement &amp;BS'!B58</f>
        <v>-4.1290115532734273</v>
      </c>
      <c r="C11" s="178">
        <f>'Forecasted Income Statement &amp;BS'!C35/'Forecasted Income Statement &amp;BS'!C58</f>
        <v>4.9812064261897548</v>
      </c>
      <c r="D11" s="178">
        <f>'Forecasted Income Statement &amp;BS'!D35/'Forecasted Income Statement &amp;BS'!D58</f>
        <v>-10.085495283018869</v>
      </c>
      <c r="E11" s="178">
        <f>'Forecasted Income Statement &amp;BS'!E35/'Forecasted Income Statement &amp;BS'!E58</f>
        <v>9.6946222791293213</v>
      </c>
      <c r="F11" s="178">
        <f>'Forecasted Income Statement &amp;BS'!F35/'Forecasted Income Statement &amp;BS'!F58</f>
        <v>14.18199233716475</v>
      </c>
      <c r="G11" s="178">
        <f>'Forecasted Income Statement &amp;BS'!G35/'Forecasted Income Statement &amp;BS'!H58</f>
        <v>13.630992683735844</v>
      </c>
      <c r="H11" s="178">
        <f>'Forecasted Income Statement &amp;BS'!G35/'Forecasted Income Statement &amp;BS'!I58</f>
        <v>13.221137423604118</v>
      </c>
      <c r="I11" s="178">
        <f>'Forecasted Income Statement &amp;BS'!H35/'Forecasted Income Statement &amp;BS'!J58</f>
        <v>13.630992683735844</v>
      </c>
      <c r="J11" s="178">
        <f>'Forecasted Income Statement &amp;BS'!I35/'Forecasted Income Statement &amp;BS'!K58</f>
        <v>13.630992683735851</v>
      </c>
      <c r="K11" s="178">
        <f>'Forecasted Income Statement &amp;BS'!J35/'Forecasted Income Statement &amp;BS'!L58</f>
        <v>14.053553456931658</v>
      </c>
      <c r="L11" s="175"/>
    </row>
    <row r="12" spans="1:12">
      <c r="A12" s="173" t="s">
        <v>125</v>
      </c>
      <c r="B12" s="175"/>
      <c r="C12" s="175"/>
      <c r="D12" s="175"/>
      <c r="E12" s="175"/>
      <c r="F12" s="175"/>
      <c r="G12" s="175"/>
      <c r="H12" s="175"/>
      <c r="I12" s="175"/>
      <c r="J12" s="175"/>
      <c r="K12" s="175"/>
      <c r="L12" s="175"/>
    </row>
    <row r="13" spans="1:12">
      <c r="A13" s="175" t="s">
        <v>126</v>
      </c>
      <c r="B13" s="175"/>
      <c r="C13" s="155">
        <v>12.9</v>
      </c>
      <c r="D13" s="155">
        <v>12.41</v>
      </c>
      <c r="E13" s="155">
        <v>12.3</v>
      </c>
      <c r="F13" s="155">
        <v>12.6</v>
      </c>
      <c r="G13" s="175"/>
      <c r="H13" s="175"/>
      <c r="I13" s="175"/>
      <c r="J13" s="175"/>
      <c r="K13" s="175"/>
      <c r="L13" s="175"/>
    </row>
    <row r="14" spans="1:12">
      <c r="A14" s="175" t="s">
        <v>127</v>
      </c>
      <c r="B14" s="175"/>
      <c r="C14" s="155">
        <v>28.29</v>
      </c>
      <c r="D14" s="155">
        <v>29.4</v>
      </c>
      <c r="E14" s="155">
        <v>29.67</v>
      </c>
      <c r="F14" s="155">
        <v>28.97</v>
      </c>
      <c r="G14" s="175"/>
      <c r="H14" s="175"/>
      <c r="I14" s="175"/>
      <c r="J14" s="175"/>
      <c r="K14" s="175"/>
      <c r="L14" s="175"/>
    </row>
    <row r="15" spans="1:12">
      <c r="A15" s="177" t="s">
        <v>128</v>
      </c>
      <c r="B15" s="177"/>
      <c r="C15" s="179">
        <v>3.31</v>
      </c>
      <c r="D15" s="179">
        <v>3.54</v>
      </c>
      <c r="E15" s="179">
        <v>3.51</v>
      </c>
      <c r="F15" s="179">
        <v>3.64</v>
      </c>
      <c r="G15" s="177"/>
      <c r="H15" s="177"/>
      <c r="I15" s="177"/>
      <c r="J15" s="177"/>
      <c r="K15" s="177"/>
      <c r="L15" s="175"/>
    </row>
    <row r="16" spans="1:12">
      <c r="A16" s="173" t="s">
        <v>129</v>
      </c>
      <c r="B16" s="175"/>
      <c r="C16" s="175"/>
      <c r="D16" s="175"/>
      <c r="E16" s="175"/>
      <c r="F16" s="175"/>
      <c r="G16" s="175"/>
      <c r="H16" s="175"/>
      <c r="I16" s="175"/>
      <c r="J16" s="175"/>
      <c r="K16" s="175"/>
      <c r="L16" s="175"/>
    </row>
    <row r="17" spans="1:13">
      <c r="A17" s="175" t="s">
        <v>130</v>
      </c>
      <c r="B17" s="180">
        <f>'Forecasted Income Statement &amp;BS'!B45/'Forecasted Income Statement &amp;BS'!B53</f>
        <v>1.078095238095238</v>
      </c>
      <c r="C17" s="180">
        <f>'Forecasted Income Statement &amp;BS'!C45/'Forecasted Income Statement &amp;BS'!C53</f>
        <v>1.2292583959250627</v>
      </c>
      <c r="D17" s="180">
        <f>'Forecasted Income Statement &amp;BS'!D45/'Forecasted Income Statement &amp;BS'!D53</f>
        <v>1.012616317568745</v>
      </c>
      <c r="E17" s="180">
        <f>'Forecasted Income Statement &amp;BS'!E45/'Forecasted Income Statement &amp;BS'!E53</f>
        <v>1.4050627434011251</v>
      </c>
      <c r="F17" s="180">
        <f>'Forecasted Income Statement &amp;BS'!F45/'Forecasted Income Statement &amp;BS'!F53</f>
        <v>1.3524869407222349</v>
      </c>
      <c r="G17" s="180">
        <f>'Forecasted Income Statement &amp;BS'!H45/'Forecasted Income Statement &amp;BS'!H53</f>
        <v>1.3524869407222349</v>
      </c>
      <c r="H17" s="180">
        <f>'Forecasted Income Statement &amp;BS'!I45/'Forecasted Income Statement &amp;BS'!I53</f>
        <v>1.3524869407222349</v>
      </c>
      <c r="I17" s="180">
        <f>'Forecasted Income Statement &amp;BS'!J45/'Forecasted Income Statement &amp;BS'!J53</f>
        <v>1.3524869407222349</v>
      </c>
      <c r="J17" s="180">
        <f>'Forecasted Income Statement &amp;BS'!K45/'Forecasted Income Statement &amp;BS'!K53</f>
        <v>1.3524869407222349</v>
      </c>
      <c r="K17" s="180">
        <f>'Forecasted Income Statement &amp;BS'!L45/'Forecasted Income Statement &amp;BS'!L53</f>
        <v>1.3524869407222349</v>
      </c>
      <c r="L17" s="175"/>
    </row>
    <row r="18" spans="1:13">
      <c r="A18" s="173" t="s">
        <v>131</v>
      </c>
      <c r="B18" s="175"/>
      <c r="C18" s="175"/>
      <c r="D18" s="175"/>
      <c r="E18" s="175"/>
      <c r="F18" s="175"/>
      <c r="G18" s="175"/>
      <c r="H18" s="175"/>
      <c r="I18" s="175"/>
      <c r="J18" s="175"/>
      <c r="K18" s="175"/>
      <c r="L18" s="175"/>
    </row>
    <row r="19" spans="1:13">
      <c r="A19" s="174" t="s">
        <v>132</v>
      </c>
      <c r="B19" s="227">
        <f>'Forecasted Income Statement &amp;BS'!B47/-'Forecasted Income Statement &amp;BS'!B58</f>
        <v>16.442875481386391</v>
      </c>
      <c r="C19" s="227">
        <f>'Forecasted Income Statement &amp;BS'!C47/'Forecasted Income Statement &amp;BS'!C58</f>
        <v>21.394665050015156</v>
      </c>
      <c r="D19" s="227">
        <f>'Forecasted Income Statement &amp;BS'!D47/-'Forecasted Income Statement &amp;BS'!D58</f>
        <v>42.379716981132077</v>
      </c>
      <c r="E19" s="227">
        <f>'Forecasted Income Statement &amp;BS'!E47/'Forecasted Income Statement &amp;BS'!E58</f>
        <v>48.940460947503198</v>
      </c>
      <c r="F19" s="227">
        <f>'Forecasted Income Statement &amp;BS'!F47/'Forecasted Income Statement &amp;BS'!F58</f>
        <v>73.304597701149419</v>
      </c>
      <c r="G19" s="175"/>
      <c r="H19" s="175"/>
      <c r="I19" s="175"/>
      <c r="J19" s="175"/>
      <c r="K19" s="175"/>
      <c r="L19" s="175"/>
    </row>
    <row r="20" spans="1:13">
      <c r="A20" s="174" t="s">
        <v>133</v>
      </c>
      <c r="B20" s="227">
        <f>('Forecasted Income Statement &amp;BS'!B54+'Forecasted Income Statement &amp;BS'!B55+'Forecasted Income Statement &amp;BS'!B52)/-'Forecasted Income Statement &amp;BS'!B58</f>
        <v>11.858472400513479</v>
      </c>
      <c r="C20" s="227">
        <f>('Forecasted Income Statement &amp;BS'!C54+'Forecasted Income Statement &amp;BS'!C55+'Forecasted Income Statement &amp;BS'!C52)/'Forecasted Income Statement &amp;BS'!C58</f>
        <v>13.372537132464384</v>
      </c>
      <c r="D20" s="227">
        <f>('Forecasted Income Statement &amp;BS'!D54+'Forecasted Income Statement &amp;BS'!D55+'Forecasted Income Statement &amp;BS'!D52)/-'Forecasted Income Statement &amp;BS'!D58</f>
        <v>27.071933962264151</v>
      </c>
      <c r="E20" s="227">
        <f>('Forecasted Income Statement &amp;BS'!E54+'Forecasted Income Statement &amp;BS'!E55+'Forecasted Income Statement &amp;BS'!E52)/'Forecasted Income Statement &amp;BS'!E58</f>
        <v>33.145326504481432</v>
      </c>
      <c r="F20" s="227">
        <f>('Forecasted Income Statement &amp;BS'!F54+'Forecasted Income Statement &amp;BS'!F55+'Forecasted Income Statement &amp;BS'!F52)/'Forecasted Income Statement &amp;BS'!F58</f>
        <v>51.217432950191572</v>
      </c>
      <c r="G20" s="175"/>
      <c r="H20" s="175"/>
      <c r="I20" s="175"/>
      <c r="J20" s="175"/>
      <c r="K20" s="175"/>
      <c r="L20" s="175"/>
    </row>
    <row r="21" spans="1:13">
      <c r="A21" s="174" t="s">
        <v>134</v>
      </c>
      <c r="B21" s="227">
        <f>'Forecasted Income Statement &amp;BS'!B31/'Forecasted Income Statement &amp;BS'!B27</f>
        <v>12.60430586488493</v>
      </c>
      <c r="C21" s="227">
        <f>'Forecasted Income Statement &amp;BS'!C31/'Forecasted Income Statement &amp;BS'!C27</f>
        <v>16.137342242019301</v>
      </c>
      <c r="D21" s="227">
        <f>'Forecasted Income Statement &amp;BS'!D31/'Forecasted Income Statement &amp;BS'!D27</f>
        <v>13.9004329004329</v>
      </c>
      <c r="E21" s="227">
        <f>'Forecasted Income Statement &amp;BS'!E31/'Forecasted Income Statement &amp;BS'!E27</f>
        <v>10.254246011322698</v>
      </c>
      <c r="F21" s="227">
        <f>'Forecasted Income Statement &amp;BS'!F31/'Forecasted Income Statement &amp;BS'!F27</f>
        <v>8.3610512710038769</v>
      </c>
      <c r="G21" s="180">
        <f>'Forecasted Income Statement &amp;BS'!G31/'Forecasted Income Statement &amp;BS'!G27</f>
        <v>8.0675051372027813</v>
      </c>
      <c r="H21" s="180">
        <f>'Forecasted Income Statement &amp;BS'!H31/'Forecasted Income Statement &amp;BS'!H27</f>
        <v>8.0675051372027813</v>
      </c>
      <c r="I21" s="180">
        <f>'Forecasted Income Statement &amp;BS'!I31/'Forecasted Income Statement &amp;BS'!I27</f>
        <v>8.0675051372027866</v>
      </c>
      <c r="J21" s="180">
        <f>'Forecasted Income Statement &amp;BS'!J31/'Forecasted Income Statement &amp;BS'!J27</f>
        <v>8.0675051372027848</v>
      </c>
      <c r="K21" s="180">
        <f>'Forecasted Income Statement &amp;BS'!K31/'Forecasted Income Statement &amp;BS'!K27</f>
        <v>8.0675051372027866</v>
      </c>
      <c r="L21" s="175"/>
    </row>
    <row r="22" spans="1:13">
      <c r="A22" s="177" t="s">
        <v>135</v>
      </c>
      <c r="B22" s="178">
        <f>'Forecasted Income Statement &amp;BS'!B57/'Forecasted Income Statement &amp;BS'!B47</f>
        <v>1.0608166133187602</v>
      </c>
      <c r="C22" s="178">
        <f>'Forecasted Income Statement &amp;BS'!C57/'Forecasted Income Statement &amp;BS'!C47</f>
        <v>0.95325937575268127</v>
      </c>
      <c r="D22" s="178">
        <f>'Forecasted Income Statement &amp;BS'!D57/'Forecasted Income Statement &amp;BS'!D47</f>
        <v>1.0235961934442652</v>
      </c>
      <c r="E22" s="178">
        <f>'Forecasted Income Statement &amp;BS'!E57/'Forecasted Income Statement &amp;BS'!E47</f>
        <v>0.97956700896069071</v>
      </c>
      <c r="F22" s="178">
        <f>'Forecasted Income Statement &amp;BS'!F57/'Forecasted Income Statement &amp;BS'!F47</f>
        <v>0.98635829086632698</v>
      </c>
      <c r="G22" s="178">
        <f>'Forecasted Income Statement &amp;BS'!H57/'Forecasted Income Statement &amp;BS'!H47</f>
        <v>0.98635829086632709</v>
      </c>
      <c r="H22" s="178">
        <f>'Forecasted Income Statement &amp;BS'!I57/'Forecasted Income Statement &amp;BS'!I47</f>
        <v>0.98635829086632709</v>
      </c>
      <c r="I22" s="178">
        <f>'Forecasted Income Statement &amp;BS'!J57/'Forecasted Income Statement &amp;BS'!J47</f>
        <v>0.98635829086632709</v>
      </c>
      <c r="J22" s="178">
        <f>'Forecasted Income Statement &amp;BS'!K57/'Forecasted Income Statement &amp;BS'!K47</f>
        <v>0.98635829086632709</v>
      </c>
      <c r="K22" s="178">
        <f>'Forecasted Income Statement &amp;BS'!L57/'Forecasted Income Statement &amp;BS'!L47</f>
        <v>0.98635829086632709</v>
      </c>
      <c r="L22" s="175"/>
    </row>
    <row r="23" spans="1:13">
      <c r="A23" s="173" t="s">
        <v>136</v>
      </c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74"/>
    </row>
    <row r="24" spans="1:13">
      <c r="A24" s="175" t="s">
        <v>137</v>
      </c>
      <c r="B24" s="175">
        <f>DDM!G12</f>
        <v>11.98</v>
      </c>
      <c r="C24" s="175">
        <f>DDM!H12</f>
        <v>15.59</v>
      </c>
      <c r="D24" s="175">
        <f>DDM!I12</f>
        <v>16.739999999999998</v>
      </c>
      <c r="E24" s="175">
        <f>DDM!J12</f>
        <v>15.11</v>
      </c>
      <c r="F24" s="175">
        <f>DDM!K12</f>
        <v>14.91</v>
      </c>
      <c r="G24" s="180">
        <f>DDM!B20/DDM!B21</f>
        <v>14.718559194260347</v>
      </c>
      <c r="H24" s="180">
        <f>DDM!C20/DDM!C21</f>
        <v>15.174834529282418</v>
      </c>
      <c r="I24" s="180">
        <f>DDM!D20/DDM!D21</f>
        <v>15.645254399690179</v>
      </c>
      <c r="J24" s="180">
        <f>DDM!E20/DDM!E21</f>
        <v>16.130257286080571</v>
      </c>
      <c r="K24" s="180">
        <f>DDM!F20/DDM!F21</f>
        <v>16.630295261949069</v>
      </c>
      <c r="L24" s="175"/>
    </row>
    <row r="25" spans="1:13">
      <c r="A25" s="175" t="s">
        <v>138</v>
      </c>
      <c r="B25" s="176">
        <f>DDM!B13</f>
        <v>0.49789029535864976</v>
      </c>
      <c r="C25" s="176">
        <f>DDM!C13</f>
        <v>0.50273224043715836</v>
      </c>
      <c r="D25" s="176">
        <f>DDM!D13</f>
        <v>0.55023183925811436</v>
      </c>
      <c r="E25" s="176">
        <f>DDM!E13</f>
        <v>0.42126789366053174</v>
      </c>
      <c r="F25" s="176">
        <f>DDM!F13</f>
        <v>0.52866861030126344</v>
      </c>
      <c r="G25" s="176">
        <f>DDM!B19</f>
        <v>0.5</v>
      </c>
      <c r="H25" s="176">
        <f>DDM!C19</f>
        <v>0.5</v>
      </c>
      <c r="I25" s="176">
        <f>DDM!D19</f>
        <v>0.5</v>
      </c>
      <c r="J25" s="176">
        <f>DDM!E19</f>
        <v>0.5</v>
      </c>
      <c r="K25" s="176">
        <f>DDM!F19</f>
        <v>0.5</v>
      </c>
      <c r="L25" s="175"/>
      <c r="M25" s="155"/>
    </row>
    <row r="26" spans="1:13">
      <c r="A26" s="174" t="s">
        <v>139</v>
      </c>
      <c r="B26" s="174">
        <f>DDM!G11</f>
        <v>6</v>
      </c>
      <c r="C26" s="174">
        <f>DDM!H11</f>
        <v>6.6</v>
      </c>
      <c r="D26" s="174">
        <f>DDM!I11</f>
        <v>7.6</v>
      </c>
      <c r="E26" s="174">
        <f>DDM!J11</f>
        <v>8.36</v>
      </c>
      <c r="F26" s="174">
        <f>DDM!K11</f>
        <v>9</v>
      </c>
      <c r="G26" s="227">
        <v>9.1999999999999993</v>
      </c>
      <c r="H26" s="227">
        <f>DDM!C31</f>
        <v>12.44039905488123</v>
      </c>
      <c r="I26" s="227">
        <f>DDM!D31</f>
        <v>14.626156385361591</v>
      </c>
      <c r="J26" s="227">
        <f>DDM!E31</f>
        <v>17.195947627187756</v>
      </c>
      <c r="K26" s="227">
        <f>DDM!F31</f>
        <v>20.217246896999715</v>
      </c>
      <c r="L26" s="175"/>
      <c r="M26" s="155" t="s">
        <v>140</v>
      </c>
    </row>
    <row r="27" spans="1:13" ht="15" customHeight="1">
      <c r="A27" s="174" t="s">
        <v>141</v>
      </c>
      <c r="B27" s="229">
        <v>22.25</v>
      </c>
      <c r="C27" s="229">
        <v>22.53</v>
      </c>
      <c r="D27" s="229">
        <v>23.6</v>
      </c>
      <c r="E27" s="229">
        <v>18.97</v>
      </c>
      <c r="F27" s="229">
        <v>23.51</v>
      </c>
      <c r="G27" s="227">
        <f>360.49*(1+6.05%)/G24</f>
        <v>25.973985629590814</v>
      </c>
      <c r="H27" s="227">
        <f>360.49*((1+6.05%)*(1+6.05%))/H24</f>
        <v>26.717179204831289</v>
      </c>
      <c r="I27" s="227">
        <f>360.49*((1+6.05%)*(1+6.05%)*(1+6.05%))/I24</f>
        <v>27.481637775677566</v>
      </c>
      <c r="J27" s="227">
        <f>360.49*(1+6.05%)*(1+6.05%)*(1+6.05%)*(1+6.05%)/J24</f>
        <v>28.267969797387067</v>
      </c>
      <c r="K27" s="227">
        <f>360.49*(1+6.05%)*(1+6.05%)*(1+6.05%)*(1+6.05%)*(1+6.05%)/K24</f>
        <v>29.076801134945669</v>
      </c>
      <c r="L27" s="175"/>
      <c r="M27" s="185" t="s">
        <v>142</v>
      </c>
    </row>
    <row r="28" spans="1:13">
      <c r="A28" s="175" t="s">
        <v>143</v>
      </c>
      <c r="B28" s="155">
        <v>2.2599999999999998</v>
      </c>
      <c r="C28" s="155">
        <v>2.2000000000000002</v>
      </c>
      <c r="D28" s="155">
        <v>2.56</v>
      </c>
      <c r="E28" s="155">
        <v>2.06</v>
      </c>
      <c r="F28" s="155">
        <v>2.3199999999999998</v>
      </c>
      <c r="G28" s="180">
        <f>358*(1.0605)/('Forecasted Income Statement &amp;BS'!G13/'Financial Analysis'!G35)</f>
        <v>2.3013790941541354</v>
      </c>
      <c r="H28" s="180">
        <f>358*(1.01605)*(1.01605)/('Forecasted Income Statement &amp;BS'!H13/'Financial Analysis'!H35)</f>
        <v>2.1642020099886756</v>
      </c>
      <c r="I28" s="180">
        <f>358*(1.01605)*(1.01605)*(1.01605)/('Forecasted Income Statement &amp;BS'!I13/'Financial Analysis'!I35)</f>
        <v>2.1220482129395393</v>
      </c>
      <c r="J28" s="180">
        <f>358*(1.01605)*(1.01605)*(1.01605)*(1.01605)/('Forecasted Income Statement &amp;BS'!J13/'Financial Analysis'!J35)</f>
        <v>2.0806618629806697</v>
      </c>
      <c r="K28" s="180">
        <f>358*(1.01605)*(1.01605)*(1.01605)*(1.01505)*(1.01605)/('Forecasted Income Statement &amp;BS'!K13/'Financial Analysis'!K35)</f>
        <v>2.0380217625230763</v>
      </c>
      <c r="L28" s="175"/>
      <c r="M28" s="155" t="s">
        <v>144</v>
      </c>
    </row>
    <row r="29" spans="1:13">
      <c r="A29" s="182" t="s">
        <v>145</v>
      </c>
      <c r="B29" s="183">
        <v>14.82</v>
      </c>
      <c r="C29" s="183">
        <v>15.18</v>
      </c>
      <c r="D29" s="179">
        <v>15.69</v>
      </c>
      <c r="E29" s="179">
        <v>13.11</v>
      </c>
      <c r="F29" s="179">
        <v>15.26</v>
      </c>
      <c r="G29" s="178">
        <f>F29*(1.014)</f>
        <v>15.47364</v>
      </c>
      <c r="H29" s="178">
        <f>G29*(1.014)</f>
        <v>15.690270959999999</v>
      </c>
      <c r="I29" s="178">
        <f>H29*(1.014)</f>
        <v>15.90993475344</v>
      </c>
      <c r="J29" s="178">
        <f>I29*(1.014)</f>
        <v>16.132673839988161</v>
      </c>
      <c r="K29" s="178">
        <f>J29*(1.014)</f>
        <v>16.358531273747996</v>
      </c>
      <c r="L29" s="177"/>
      <c r="M29" s="155" t="s">
        <v>146</v>
      </c>
    </row>
    <row r="30" spans="1:13">
      <c r="A30" s="155"/>
      <c r="B30" s="155"/>
      <c r="C30" s="184"/>
      <c r="D30" s="184"/>
      <c r="E30" s="184"/>
      <c r="F30" s="184"/>
      <c r="G30" s="184"/>
      <c r="H30" s="155"/>
      <c r="I30" s="155"/>
      <c r="J30" s="155"/>
      <c r="K30" s="155"/>
      <c r="L30" s="155"/>
      <c r="M30" s="155"/>
    </row>
    <row r="31" spans="1:13">
      <c r="A31" s="150"/>
      <c r="B31" s="150"/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84"/>
    </row>
    <row r="32" spans="1:13" ht="15.95">
      <c r="A32" s="300" t="s">
        <v>147</v>
      </c>
      <c r="B32" s="301"/>
      <c r="C32" s="301"/>
      <c r="D32" s="301"/>
      <c r="E32" s="301"/>
      <c r="F32" s="301"/>
      <c r="G32" s="301"/>
      <c r="H32" s="301"/>
      <c r="I32" s="301"/>
      <c r="J32" s="301"/>
      <c r="K32" s="302"/>
      <c r="L32" s="150"/>
      <c r="M32" s="155"/>
    </row>
    <row r="33" spans="1:29">
      <c r="A33" s="168"/>
      <c r="B33" s="155">
        <v>2020</v>
      </c>
      <c r="C33" s="155">
        <v>2021</v>
      </c>
      <c r="D33" s="155">
        <v>2022</v>
      </c>
      <c r="E33" s="155">
        <v>2023</v>
      </c>
      <c r="F33" s="155">
        <v>2024</v>
      </c>
      <c r="G33" s="155" t="s">
        <v>10</v>
      </c>
      <c r="H33" s="155" t="s">
        <v>11</v>
      </c>
      <c r="I33" s="155" t="s">
        <v>12</v>
      </c>
      <c r="J33" s="155" t="s">
        <v>13</v>
      </c>
      <c r="K33" s="143" t="s">
        <v>14</v>
      </c>
      <c r="L33" s="150"/>
      <c r="M33" s="155"/>
    </row>
    <row r="34" spans="1:29" ht="18.95" customHeight="1">
      <c r="A34" s="168" t="s">
        <v>32</v>
      </c>
      <c r="B34" s="169">
        <f>'Forecasted Income Statement &amp;BS'!B35</f>
        <v>12866</v>
      </c>
      <c r="C34" s="169">
        <f>'Forecasted Income Statement &amp;BS'!C35</f>
        <v>16433</v>
      </c>
      <c r="D34" s="169">
        <f>'Forecasted Income Statement &amp;BS'!D35</f>
        <v>17105</v>
      </c>
      <c r="E34" s="169">
        <f>'Forecasted Income Statement &amp;BS'!E35</f>
        <v>15143</v>
      </c>
      <c r="F34" s="169">
        <f>'Forecasted Income Statement &amp;BS'!F35</f>
        <v>14806</v>
      </c>
      <c r="G34" s="169">
        <f>'Forecasted Income Statement &amp;BS'!G35</f>
        <v>14629.217539951187</v>
      </c>
      <c r="H34" s="169">
        <f>'Forecasted Income Statement &amp;BS'!H35</f>
        <v>15082.723283689673</v>
      </c>
      <c r="I34" s="169">
        <f>'Forecasted Income Statement &amp;BS'!I35</f>
        <v>15550.287705484059</v>
      </c>
      <c r="J34" s="169">
        <f>'Forecasted Income Statement &amp;BS'!J35</f>
        <v>16032.346624354061</v>
      </c>
      <c r="K34" s="169">
        <f>'Forecasted Income Statement &amp;BS'!K35</f>
        <v>16529.349369709038</v>
      </c>
      <c r="L34" s="150"/>
      <c r="M34" s="155"/>
    </row>
    <row r="35" spans="1:29" ht="21.75" customHeight="1">
      <c r="A35" s="168" t="s">
        <v>148</v>
      </c>
      <c r="B35" s="155">
        <v>1074</v>
      </c>
      <c r="C35" s="155">
        <v>1054</v>
      </c>
      <c r="D35" s="155">
        <v>1022</v>
      </c>
      <c r="E35" s="155">
        <v>999</v>
      </c>
      <c r="F35" s="155">
        <v>990</v>
      </c>
      <c r="G35" s="155">
        <v>994</v>
      </c>
      <c r="H35" s="155">
        <v>990</v>
      </c>
      <c r="I35" s="155">
        <v>985</v>
      </c>
      <c r="J35" s="155">
        <v>980</v>
      </c>
      <c r="K35" s="143">
        <v>975</v>
      </c>
      <c r="L35" s="232"/>
      <c r="M35" s="233" t="s">
        <v>149</v>
      </c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</row>
    <row r="36" spans="1:29" s="225" customFormat="1">
      <c r="A36" s="230" t="s">
        <v>150</v>
      </c>
      <c r="B36" s="231">
        <f t="shared" ref="B36:K36" si="0">B34/B35</f>
        <v>11.97951582867784</v>
      </c>
      <c r="C36" s="231">
        <f t="shared" si="0"/>
        <v>15.591081593927894</v>
      </c>
      <c r="D36" s="231">
        <f t="shared" si="0"/>
        <v>16.736790606653621</v>
      </c>
      <c r="E36" s="231">
        <f t="shared" si="0"/>
        <v>15.158158158158159</v>
      </c>
      <c r="F36" s="231">
        <f t="shared" si="0"/>
        <v>14.955555555555556</v>
      </c>
      <c r="G36" s="231">
        <f t="shared" si="0"/>
        <v>14.717522676007231</v>
      </c>
      <c r="H36" s="231">
        <f t="shared" si="0"/>
        <v>15.235074023928963</v>
      </c>
      <c r="I36" s="231">
        <f t="shared" si="0"/>
        <v>15.787094117242699</v>
      </c>
      <c r="J36" s="231">
        <f t="shared" si="0"/>
        <v>16.359537371789859</v>
      </c>
      <c r="K36" s="231">
        <f t="shared" si="0"/>
        <v>16.953178840727219</v>
      </c>
      <c r="L36" s="232"/>
      <c r="M36" s="229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</row>
    <row r="37" spans="1:29">
      <c r="A37" s="170" t="s">
        <v>151</v>
      </c>
      <c r="B37" s="171">
        <f t="shared" ref="B37:K37" si="1">B36*B27</f>
        <v>266.54422718808195</v>
      </c>
      <c r="C37" s="171">
        <f t="shared" si="1"/>
        <v>351.26706831119549</v>
      </c>
      <c r="D37" s="171">
        <f t="shared" si="1"/>
        <v>394.9882583170255</v>
      </c>
      <c r="E37" s="171">
        <f t="shared" si="1"/>
        <v>287.55026026026025</v>
      </c>
      <c r="F37" s="171">
        <f t="shared" si="1"/>
        <v>351.60511111111111</v>
      </c>
      <c r="G37" s="171">
        <f t="shared" si="1"/>
        <v>382.27272248978875</v>
      </c>
      <c r="H37" s="171">
        <f t="shared" si="1"/>
        <v>407.03820289618022</v>
      </c>
      <c r="I37" s="171">
        <f t="shared" si="1"/>
        <v>433.85520206059402</v>
      </c>
      <c r="J37" s="171">
        <f t="shared" si="1"/>
        <v>462.45090832498073</v>
      </c>
      <c r="K37" s="171">
        <f t="shared" si="1"/>
        <v>492.9442097569941</v>
      </c>
      <c r="L37" s="150"/>
    </row>
    <row r="38" spans="1:29">
      <c r="A38" s="155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0"/>
    </row>
    <row r="39" spans="1:29">
      <c r="A39" s="155"/>
      <c r="B39" s="155"/>
      <c r="C39" s="155"/>
      <c r="D39" s="155"/>
      <c r="E39" s="155"/>
      <c r="F39" s="155"/>
      <c r="G39" s="155"/>
      <c r="H39" s="169"/>
      <c r="I39" s="169"/>
      <c r="J39" s="169"/>
      <c r="K39" s="169"/>
      <c r="L39" s="150"/>
    </row>
    <row r="40" spans="1:29">
      <c r="A40" s="155"/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0"/>
    </row>
    <row r="48" spans="1:29"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</row>
    <row r="49" spans="3:13">
      <c r="C49" s="174"/>
      <c r="D49" s="181"/>
      <c r="E49" s="181"/>
      <c r="F49" s="181"/>
      <c r="G49" s="181"/>
      <c r="H49" s="181"/>
      <c r="I49" s="181"/>
      <c r="J49" s="181"/>
      <c r="K49" s="181"/>
      <c r="L49" s="181"/>
      <c r="M49" s="181"/>
    </row>
    <row r="50" spans="3:13"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</row>
    <row r="51" spans="3:13"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</row>
    <row r="52" spans="3:13"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</row>
    <row r="53" spans="3:13">
      <c r="C53" s="112"/>
      <c r="D53" s="228"/>
      <c r="E53" s="228"/>
      <c r="F53" s="228"/>
      <c r="G53" s="228"/>
      <c r="H53" s="228"/>
      <c r="I53" s="228"/>
      <c r="J53" s="228"/>
      <c r="K53" s="228"/>
      <c r="L53" s="228"/>
      <c r="M53" s="112"/>
    </row>
    <row r="54" spans="3:13"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</row>
    <row r="78" spans="3:13"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 t="s">
        <v>152</v>
      </c>
    </row>
  </sheetData>
  <mergeCells count="2">
    <mergeCell ref="A32:K32"/>
    <mergeCell ref="A2:L3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25FA-2E41-4F94-8731-8DF430E13A9E}">
  <dimension ref="A2:AB41"/>
  <sheetViews>
    <sheetView topLeftCell="A11" zoomScale="115" workbookViewId="0">
      <selection activeCell="D33" sqref="D33"/>
    </sheetView>
  </sheetViews>
  <sheetFormatPr defaultColWidth="8.875" defaultRowHeight="15"/>
  <cols>
    <col min="1" max="1" width="30.375" customWidth="1"/>
    <col min="2" max="2" width="21.5" customWidth="1"/>
    <col min="3" max="3" width="13.5" customWidth="1"/>
    <col min="4" max="4" width="15.375" customWidth="1"/>
    <col min="5" max="5" width="13.5" customWidth="1"/>
    <col min="6" max="6" width="14.375" customWidth="1"/>
    <col min="7" max="7" width="18.125" customWidth="1"/>
  </cols>
  <sheetData>
    <row r="2" spans="1:23" ht="14.25">
      <c r="A2" s="305" t="s">
        <v>153</v>
      </c>
      <c r="B2" s="305"/>
      <c r="C2" s="305"/>
      <c r="D2" s="305"/>
      <c r="E2" s="305"/>
      <c r="F2" s="305"/>
      <c r="G2" s="305"/>
      <c r="H2" s="305"/>
      <c r="I2" s="305"/>
    </row>
    <row r="3" spans="1:23" ht="14.25">
      <c r="A3" s="305"/>
      <c r="B3" s="305"/>
      <c r="C3" s="305"/>
      <c r="D3" s="305"/>
      <c r="E3" s="305"/>
      <c r="F3" s="305"/>
      <c r="G3" s="305"/>
      <c r="H3" s="305"/>
      <c r="I3" s="305"/>
    </row>
    <row r="4" spans="1:23" ht="14.25">
      <c r="A4" s="256" t="s">
        <v>154</v>
      </c>
      <c r="B4" s="256"/>
      <c r="C4" s="256">
        <v>2020</v>
      </c>
      <c r="D4" s="256">
        <v>2021</v>
      </c>
      <c r="E4" s="256">
        <v>2022</v>
      </c>
      <c r="F4" s="256">
        <v>2023</v>
      </c>
      <c r="G4" s="256">
        <v>2024</v>
      </c>
      <c r="H4" s="256" t="s">
        <v>64</v>
      </c>
      <c r="I4" s="256">
        <v>2029</v>
      </c>
    </row>
    <row r="5" spans="1:23">
      <c r="A5" s="257" t="s">
        <v>145</v>
      </c>
      <c r="B5" s="257"/>
      <c r="C5" s="257">
        <v>14.82</v>
      </c>
      <c r="D5" s="257">
        <v>15.18</v>
      </c>
      <c r="E5" s="257">
        <v>15.69</v>
      </c>
      <c r="F5" s="257">
        <v>13.11</v>
      </c>
      <c r="G5" s="257">
        <v>15.26</v>
      </c>
      <c r="H5" s="257">
        <f>AVERAGE(C5:G5)</f>
        <v>14.812000000000001</v>
      </c>
      <c r="I5" s="257">
        <f>FORECAST(I4,C5:G5,C4:G4)</f>
        <v>13.979000000000013</v>
      </c>
    </row>
    <row r="6" spans="1:23">
      <c r="A6" s="258"/>
      <c r="B6" s="258"/>
      <c r="C6" s="258"/>
      <c r="D6" s="258"/>
      <c r="E6" s="258"/>
      <c r="F6" s="258"/>
      <c r="G6" s="258"/>
      <c r="H6" s="258"/>
      <c r="I6" s="258"/>
    </row>
    <row r="7" spans="1:23">
      <c r="A7" s="258"/>
      <c r="B7" s="258"/>
      <c r="C7" s="258"/>
      <c r="D7" s="258"/>
      <c r="E7" s="258"/>
      <c r="F7" s="258"/>
      <c r="G7" s="258"/>
      <c r="H7" s="258"/>
      <c r="I7" s="258"/>
    </row>
    <row r="8" spans="1:23">
      <c r="A8" s="306" t="s">
        <v>155</v>
      </c>
      <c r="B8" s="306"/>
      <c r="C8" s="258"/>
      <c r="D8" s="258"/>
      <c r="E8" s="258"/>
      <c r="F8" s="258"/>
      <c r="G8" s="258"/>
      <c r="H8" s="258"/>
      <c r="I8" s="258"/>
    </row>
    <row r="9" spans="1:23">
      <c r="A9" s="257" t="s">
        <v>156</v>
      </c>
      <c r="B9" s="259">
        <f>'Forecasted Income Statement &amp;BS'!K25</f>
        <v>24678.504656196234</v>
      </c>
      <c r="C9" s="258"/>
      <c r="D9" s="258"/>
      <c r="E9" s="258"/>
      <c r="F9" s="258"/>
      <c r="G9" s="258"/>
      <c r="H9" s="258"/>
      <c r="I9" s="258"/>
    </row>
    <row r="10" spans="1:23">
      <c r="A10" s="257" t="s">
        <v>157</v>
      </c>
      <c r="B10" s="259">
        <f>'Forecasted Income Statement &amp;BS'!K23</f>
        <v>3113.3698758597498</v>
      </c>
      <c r="C10" s="258"/>
      <c r="D10" s="258"/>
      <c r="E10" s="258"/>
      <c r="F10" s="258"/>
      <c r="G10" s="258"/>
      <c r="H10" s="258"/>
      <c r="I10" s="258"/>
    </row>
    <row r="11" spans="1:23">
      <c r="A11" s="257" t="s">
        <v>158</v>
      </c>
      <c r="B11" s="259">
        <f>B9+B10</f>
        <v>27791.874532055983</v>
      </c>
      <c r="C11" s="258"/>
      <c r="D11" s="258"/>
      <c r="E11" s="258"/>
      <c r="F11" s="258"/>
      <c r="G11" s="258"/>
      <c r="H11" s="258"/>
      <c r="I11" s="258"/>
      <c r="R11" s="118"/>
      <c r="S11" s="118"/>
      <c r="T11" s="118"/>
      <c r="U11" s="118"/>
      <c r="V11" s="118"/>
      <c r="W11" s="98"/>
    </row>
    <row r="12" spans="1:23">
      <c r="A12" s="257" t="s">
        <v>145</v>
      </c>
      <c r="B12" s="257">
        <f>AVERAGE(H5:I5)</f>
        <v>14.395500000000007</v>
      </c>
      <c r="C12" s="258"/>
      <c r="D12" s="258"/>
      <c r="E12" s="258"/>
      <c r="F12" s="258"/>
      <c r="G12" s="258"/>
      <c r="H12" s="258"/>
      <c r="I12" s="258"/>
      <c r="V12" s="126"/>
      <c r="W12" s="98"/>
    </row>
    <row r="13" spans="1:23">
      <c r="A13" s="258"/>
      <c r="B13" s="258"/>
      <c r="C13" s="258"/>
      <c r="D13" s="258"/>
      <c r="E13" s="258"/>
      <c r="F13" s="258"/>
      <c r="G13" s="258"/>
      <c r="H13" s="258"/>
      <c r="I13" s="258"/>
      <c r="V13" s="127"/>
    </row>
    <row r="14" spans="1:23">
      <c r="A14" s="258"/>
      <c r="B14" s="258"/>
      <c r="C14" s="258"/>
      <c r="D14" s="258"/>
      <c r="E14" s="258"/>
      <c r="F14" s="258"/>
      <c r="G14" s="258"/>
      <c r="H14" s="258"/>
      <c r="I14" s="258"/>
      <c r="V14" s="28"/>
    </row>
    <row r="15" spans="1:23">
      <c r="A15" s="313" t="s">
        <v>159</v>
      </c>
      <c r="B15" s="314"/>
      <c r="C15" s="258"/>
      <c r="D15" s="258"/>
      <c r="E15" s="258"/>
      <c r="F15" s="258"/>
      <c r="G15" s="258"/>
      <c r="H15" s="258"/>
      <c r="I15" s="258"/>
      <c r="V15" s="25"/>
    </row>
    <row r="16" spans="1:23">
      <c r="A16" s="260" t="s">
        <v>160</v>
      </c>
      <c r="B16" s="261">
        <f>'DCF Valuation'!B14</f>
        <v>2.5000000000000001E-2</v>
      </c>
      <c r="C16" s="258"/>
      <c r="D16" s="258"/>
      <c r="E16" s="258"/>
      <c r="F16" s="258"/>
      <c r="G16" s="258"/>
      <c r="H16" s="258"/>
      <c r="I16" s="258"/>
      <c r="V16" s="131"/>
    </row>
    <row r="17" spans="1:22">
      <c r="A17" s="260" t="s">
        <v>161</v>
      </c>
      <c r="B17" s="262">
        <f>'DCF Valuation'!B18</f>
        <v>8.7480187724792227E-2</v>
      </c>
      <c r="C17" s="258"/>
      <c r="D17" s="258"/>
      <c r="E17" s="258"/>
      <c r="F17" s="258"/>
      <c r="G17" s="258"/>
      <c r="H17" s="258"/>
      <c r="I17" s="258"/>
      <c r="V17" s="126"/>
    </row>
    <row r="18" spans="1:22">
      <c r="A18" s="260" t="s">
        <v>162</v>
      </c>
      <c r="B18" s="263">
        <f>'DCF Valuation'!H43*(1+'Exit Multiple'!B16)</f>
        <v>17730.813662150009</v>
      </c>
      <c r="C18" s="258"/>
      <c r="D18" s="258"/>
      <c r="E18" s="258"/>
      <c r="F18" s="258"/>
      <c r="G18" s="258"/>
      <c r="H18" s="258"/>
      <c r="I18" s="258"/>
      <c r="V18" s="128"/>
    </row>
    <row r="19" spans="1:22">
      <c r="A19" s="260" t="s">
        <v>163</v>
      </c>
      <c r="B19" s="263">
        <f>B18/(B17-B16)</f>
        <v>283782.97677736328</v>
      </c>
      <c r="C19" s="258"/>
      <c r="D19" s="258"/>
      <c r="E19" s="258"/>
      <c r="F19" s="258"/>
      <c r="G19" s="258"/>
      <c r="H19" s="258"/>
      <c r="I19" s="258"/>
      <c r="V19" s="25"/>
    </row>
    <row r="20" spans="1:22">
      <c r="A20" s="260" t="s">
        <v>5</v>
      </c>
      <c r="B20" s="263">
        <f>B12*B11</f>
        <v>400077.92982621212</v>
      </c>
      <c r="C20" s="258"/>
      <c r="D20" s="258"/>
      <c r="E20" s="258"/>
      <c r="F20" s="258"/>
      <c r="G20" s="258"/>
      <c r="H20" s="258"/>
      <c r="I20" s="258"/>
      <c r="V20" s="131"/>
    </row>
    <row r="21" spans="1:22">
      <c r="A21" s="260" t="s">
        <v>164</v>
      </c>
      <c r="B21" s="263">
        <f>AVERAGE(B19:B20)</f>
        <v>341930.45330178773</v>
      </c>
      <c r="C21" s="258"/>
      <c r="D21" s="258"/>
      <c r="E21" s="258"/>
      <c r="F21" s="258"/>
      <c r="G21" s="258"/>
      <c r="H21" s="258"/>
      <c r="I21" s="258"/>
      <c r="V21" s="126"/>
    </row>
    <row r="22" spans="1:22">
      <c r="A22" s="258"/>
      <c r="B22" s="258"/>
      <c r="C22" s="258"/>
      <c r="D22" s="258"/>
      <c r="E22" s="258"/>
      <c r="F22" s="258"/>
      <c r="G22" s="258"/>
      <c r="H22" s="258"/>
      <c r="I22" s="258"/>
      <c r="V22" s="128"/>
    </row>
    <row r="23" spans="1:22">
      <c r="A23" s="258"/>
      <c r="B23" s="258"/>
      <c r="C23" s="258"/>
      <c r="D23" s="258"/>
      <c r="E23" s="258"/>
      <c r="F23" s="258"/>
      <c r="G23" s="258"/>
      <c r="H23" s="258"/>
      <c r="I23" s="258"/>
    </row>
    <row r="24" spans="1:22">
      <c r="A24" s="264"/>
      <c r="B24" s="264"/>
      <c r="C24" s="264">
        <v>2025</v>
      </c>
      <c r="D24" s="264">
        <v>2026</v>
      </c>
      <c r="E24" s="264">
        <v>2027</v>
      </c>
      <c r="F24" s="264">
        <v>2028</v>
      </c>
      <c r="G24" s="264">
        <v>2029</v>
      </c>
      <c r="H24" s="258"/>
      <c r="I24" s="258"/>
    </row>
    <row r="25" spans="1:22">
      <c r="A25" s="265" t="s">
        <v>96</v>
      </c>
      <c r="B25" s="266"/>
      <c r="C25" s="266">
        <f>'DCF Valuation'!D43</f>
        <v>16888.493393838111</v>
      </c>
      <c r="D25" s="266">
        <f>'DCF Valuation'!E43</f>
        <v>15784.426401809804</v>
      </c>
      <c r="E25" s="266">
        <f>'DCF Valuation'!F43</f>
        <v>16273.743620265908</v>
      </c>
      <c r="F25" s="266">
        <f>'DCF Valuation'!G43</f>
        <v>16778.229672494137</v>
      </c>
      <c r="G25" s="266">
        <f>'DCF Valuation'!H43</f>
        <v>17298.354792341474</v>
      </c>
      <c r="H25" s="258"/>
      <c r="I25" s="258"/>
    </row>
    <row r="26" spans="1:22">
      <c r="A26" s="265" t="s">
        <v>165</v>
      </c>
      <c r="B26" s="265"/>
      <c r="C26" s="265"/>
      <c r="D26" s="265"/>
      <c r="E26" s="265"/>
      <c r="F26" s="265"/>
      <c r="G26" s="266">
        <f>B20</f>
        <v>400077.92982621212</v>
      </c>
      <c r="H26" s="258"/>
      <c r="I26" s="258"/>
    </row>
    <row r="27" spans="1:22">
      <c r="A27" s="265" t="s">
        <v>166</v>
      </c>
      <c r="B27" s="266"/>
      <c r="C27" s="266">
        <f>C25</f>
        <v>16888.493393838111</v>
      </c>
      <c r="D27" s="266">
        <f>'DCF Valuation'!E45</f>
        <v>15784.426401809804</v>
      </c>
      <c r="E27" s="266">
        <f>'DCF Valuation'!F45</f>
        <v>16273.743620265908</v>
      </c>
      <c r="F27" s="266">
        <f>'DCF Valuation'!G45</f>
        <v>16778.229672494137</v>
      </c>
      <c r="G27" s="266">
        <f>G25+G26</f>
        <v>417376.28461855359</v>
      </c>
      <c r="H27" s="258"/>
      <c r="I27" s="258"/>
    </row>
    <row r="28" spans="1:22">
      <c r="A28" s="265" t="s">
        <v>167</v>
      </c>
      <c r="B28" s="267"/>
      <c r="C28" s="267">
        <f>$C27/((1+'DCF Valuation'!$B18)^1)</f>
        <v>15529.932024942849</v>
      </c>
      <c r="D28" s="267">
        <f>D27/((1+'DCF Valuation'!$B$18)^2)</f>
        <v>13347.074895768757</v>
      </c>
      <c r="E28" s="267">
        <f>E27/((1+'DCF Valuation'!$B$18)^3)</f>
        <v>12653.871190359592</v>
      </c>
      <c r="F28" s="267">
        <f>F27/((1+'DCF Valuation'!$B$18)^4)</f>
        <v>11996.670233188936</v>
      </c>
      <c r="G28" s="267">
        <f>G27/(1+'DCF Valuation'!$B$18)^5</f>
        <v>274423.31184814521</v>
      </c>
      <c r="H28" s="258"/>
      <c r="I28" s="258"/>
    </row>
    <row r="29" spans="1:22">
      <c r="A29" s="265" t="s">
        <v>168</v>
      </c>
      <c r="B29" s="265"/>
      <c r="C29" s="265"/>
      <c r="D29" s="265"/>
      <c r="E29" s="265"/>
      <c r="F29" s="267"/>
      <c r="G29" s="267">
        <f>SUM(B28:G28)</f>
        <v>327950.86019240535</v>
      </c>
      <c r="H29" s="258"/>
      <c r="I29" s="258"/>
    </row>
    <row r="30" spans="1:22">
      <c r="A30" s="265" t="s">
        <v>169</v>
      </c>
      <c r="B30" s="265"/>
      <c r="C30" s="265"/>
      <c r="D30" s="265"/>
      <c r="E30" s="265"/>
      <c r="F30" s="265"/>
      <c r="G30" s="265">
        <v>994</v>
      </c>
      <c r="H30" s="258"/>
      <c r="I30" s="258"/>
    </row>
    <row r="31" spans="1:22">
      <c r="A31" s="268" t="s">
        <v>170</v>
      </c>
      <c r="B31" s="268"/>
      <c r="C31" s="268"/>
      <c r="D31" s="268"/>
      <c r="E31" s="268"/>
      <c r="F31" s="269"/>
      <c r="G31" s="269">
        <f>G29/G30</f>
        <v>329.93044284950236</v>
      </c>
      <c r="H31" s="258"/>
      <c r="I31" s="258"/>
    </row>
    <row r="32" spans="1:22">
      <c r="A32" s="258"/>
      <c r="B32" s="258"/>
      <c r="C32" s="258"/>
      <c r="D32" s="258"/>
      <c r="E32" s="258"/>
      <c r="F32" s="258"/>
      <c r="G32" s="258"/>
      <c r="H32" s="258"/>
      <c r="I32" s="258"/>
    </row>
    <row r="34" spans="24:28" ht="15.95">
      <c r="X34" s="34"/>
      <c r="Y34" s="34"/>
      <c r="Z34" s="34"/>
      <c r="AA34" s="34"/>
      <c r="AB34" s="34"/>
    </row>
    <row r="35" spans="24:28" ht="15.95">
      <c r="X35" s="129"/>
      <c r="Y35" s="130"/>
      <c r="Z35" s="130"/>
      <c r="AA35" s="130"/>
      <c r="AB35" s="130"/>
    </row>
    <row r="36" spans="24:28" ht="15.95">
      <c r="X36" s="130"/>
    </row>
    <row r="37" spans="24:28" ht="15.95">
      <c r="X37" s="130"/>
    </row>
    <row r="38" spans="24:28" ht="15.95">
      <c r="X38" s="130"/>
    </row>
    <row r="39" spans="24:28" ht="15.95">
      <c r="X39" s="130"/>
    </row>
    <row r="40" spans="24:28" ht="15.95">
      <c r="X40" s="130"/>
    </row>
    <row r="41" spans="24:28" ht="15.95">
      <c r="X41" s="130"/>
    </row>
  </sheetData>
  <mergeCells count="3">
    <mergeCell ref="A15:B15"/>
    <mergeCell ref="A2:I3"/>
    <mergeCell ref="A8:B8"/>
  </mergeCells>
  <phoneticPr fontId="2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96F9-F25E-4F03-9238-9C71B8FB13C7}">
  <dimension ref="A1:AH51"/>
  <sheetViews>
    <sheetView topLeftCell="A11" workbookViewId="0">
      <selection activeCell="C24" sqref="C24"/>
    </sheetView>
  </sheetViews>
  <sheetFormatPr defaultColWidth="8.875" defaultRowHeight="15"/>
  <cols>
    <col min="1" max="1" width="42.875" customWidth="1"/>
    <col min="2" max="2" width="38.125" customWidth="1"/>
    <col min="3" max="3" width="34.625" customWidth="1"/>
    <col min="4" max="4" width="24.875" customWidth="1"/>
    <col min="13" max="13" width="10.5" bestFit="1" customWidth="1"/>
    <col min="26" max="29" width="10.625" bestFit="1" customWidth="1"/>
    <col min="30" max="30" width="11.375" bestFit="1" customWidth="1"/>
    <col min="31" max="34" width="10.625" bestFit="1" customWidth="1"/>
  </cols>
  <sheetData>
    <row r="1" spans="1:4" ht="24.95">
      <c r="A1" s="288" t="s">
        <v>171</v>
      </c>
      <c r="B1" s="288"/>
      <c r="C1" s="288"/>
      <c r="D1" s="288"/>
    </row>
    <row r="2" spans="1:4">
      <c r="A2" s="25"/>
      <c r="B2" s="25"/>
      <c r="C2" s="25"/>
      <c r="D2" s="25"/>
    </row>
    <row r="3" spans="1:4">
      <c r="A3" s="315" t="s">
        <v>172</v>
      </c>
      <c r="B3" s="316"/>
      <c r="C3" s="317"/>
      <c r="D3" s="25"/>
    </row>
    <row r="4" spans="1:4">
      <c r="A4" s="68" t="s">
        <v>173</v>
      </c>
      <c r="B4" s="69"/>
      <c r="C4" s="69"/>
      <c r="D4" s="25"/>
    </row>
    <row r="5" spans="1:4">
      <c r="A5" s="3" t="s">
        <v>174</v>
      </c>
      <c r="B5" s="3">
        <v>1.0900000000000001</v>
      </c>
      <c r="C5" s="3" t="s">
        <v>175</v>
      </c>
      <c r="D5" s="25"/>
    </row>
    <row r="6" spans="1:4">
      <c r="A6" s="3" t="s">
        <v>176</v>
      </c>
      <c r="B6" s="4">
        <v>0.04</v>
      </c>
      <c r="C6" s="3" t="s">
        <v>177</v>
      </c>
      <c r="D6" s="25"/>
    </row>
    <row r="7" spans="1:4">
      <c r="A7" s="3" t="s">
        <v>178</v>
      </c>
      <c r="B7" s="4">
        <v>0.05</v>
      </c>
      <c r="C7" s="3" t="s">
        <v>179</v>
      </c>
      <c r="D7" s="25"/>
    </row>
    <row r="8" spans="1:4">
      <c r="A8" s="5" t="s">
        <v>180</v>
      </c>
      <c r="B8" s="26">
        <f>B6+B5*B7</f>
        <v>9.4500000000000001E-2</v>
      </c>
      <c r="C8" s="3"/>
      <c r="D8" s="25"/>
    </row>
    <row r="9" spans="1:4">
      <c r="A9" s="25"/>
      <c r="B9" s="25"/>
      <c r="C9" s="25"/>
      <c r="D9" s="25"/>
    </row>
    <row r="10" spans="1:4">
      <c r="A10" s="6" t="s">
        <v>181</v>
      </c>
      <c r="B10" s="70"/>
      <c r="C10" s="70"/>
      <c r="D10" s="25"/>
    </row>
    <row r="11" spans="1:4">
      <c r="A11" s="3" t="s">
        <v>182</v>
      </c>
      <c r="B11" s="3">
        <v>345.99</v>
      </c>
      <c r="C11" s="3" t="s">
        <v>183</v>
      </c>
      <c r="D11" s="25"/>
    </row>
    <row r="12" spans="1:4">
      <c r="A12" s="3" t="s">
        <v>184</v>
      </c>
      <c r="B12" s="3">
        <v>994</v>
      </c>
      <c r="C12" s="3" t="s">
        <v>185</v>
      </c>
      <c r="D12" s="25"/>
    </row>
    <row r="13" spans="1:4">
      <c r="A13" s="3"/>
      <c r="B13" s="27"/>
      <c r="C13" s="3"/>
      <c r="D13" s="25"/>
    </row>
    <row r="14" spans="1:4">
      <c r="A14" s="5" t="s">
        <v>186</v>
      </c>
      <c r="B14" s="67">
        <f>B11*B12</f>
        <v>343914.06</v>
      </c>
      <c r="C14" s="3"/>
      <c r="D14" s="25"/>
    </row>
    <row r="15" spans="1:4">
      <c r="A15" s="28"/>
      <c r="B15" s="28"/>
      <c r="C15" s="25"/>
      <c r="D15" s="25"/>
    </row>
    <row r="16" spans="1:4">
      <c r="A16" s="6" t="s">
        <v>187</v>
      </c>
      <c r="B16" s="70"/>
      <c r="C16" s="70"/>
      <c r="D16" s="25"/>
    </row>
    <row r="17" spans="1:4">
      <c r="A17" s="72" t="s">
        <v>188</v>
      </c>
      <c r="B17" s="73">
        <f>'Forecasted Income Statement &amp;BS'!F27</f>
        <v>2321</v>
      </c>
      <c r="C17" s="72" t="s">
        <v>185</v>
      </c>
      <c r="D17" s="25"/>
    </row>
    <row r="18" spans="1:4">
      <c r="A18" s="72" t="s">
        <v>189</v>
      </c>
      <c r="B18" s="72">
        <f>'Forecasted Income Statement &amp;BS'!F54</f>
        <v>42743</v>
      </c>
      <c r="C18" s="72" t="s">
        <v>185</v>
      </c>
      <c r="D18" s="25"/>
    </row>
    <row r="19" spans="1:4">
      <c r="A19" s="71" t="s">
        <v>190</v>
      </c>
      <c r="B19" s="76">
        <f>B17/B18</f>
        <v>5.4301289099969584E-2</v>
      </c>
      <c r="C19" s="72"/>
      <c r="D19" s="25"/>
    </row>
    <row r="20" spans="1:4">
      <c r="A20" s="72" t="s">
        <v>191</v>
      </c>
      <c r="B20" s="75">
        <f>'DCF Valuation'!B11</f>
        <v>0.24</v>
      </c>
      <c r="C20" s="72" t="s">
        <v>192</v>
      </c>
      <c r="D20" s="25"/>
    </row>
    <row r="21" spans="1:4">
      <c r="A21" s="71" t="s">
        <v>193</v>
      </c>
      <c r="B21" s="74">
        <f>B19*(1-B20)</f>
        <v>4.1268979715976886E-2</v>
      </c>
      <c r="C21" s="72"/>
      <c r="D21" s="25"/>
    </row>
    <row r="22" spans="1:4">
      <c r="A22" s="71" t="s">
        <v>194</v>
      </c>
      <c r="B22" s="77">
        <v>52243</v>
      </c>
      <c r="C22" s="72" t="s">
        <v>175</v>
      </c>
      <c r="D22" s="25"/>
    </row>
    <row r="23" spans="1:4">
      <c r="A23" s="5" t="s">
        <v>195</v>
      </c>
      <c r="B23" s="67">
        <f>B14+B22</f>
        <v>396157.06</v>
      </c>
      <c r="C23" s="3"/>
      <c r="D23" s="25"/>
    </row>
    <row r="24" spans="1:4">
      <c r="A24" s="25"/>
      <c r="B24" s="25"/>
      <c r="C24" s="25"/>
      <c r="D24" s="25"/>
    </row>
    <row r="25" spans="1:4">
      <c r="A25" s="159" t="s">
        <v>161</v>
      </c>
      <c r="B25" s="159" t="s">
        <v>196</v>
      </c>
      <c r="C25" s="25"/>
      <c r="D25" s="25"/>
    </row>
    <row r="26" spans="1:4">
      <c r="A26" s="3" t="s">
        <v>197</v>
      </c>
      <c r="B26" s="4">
        <f>B22/B23</f>
        <v>0.13187446413298806</v>
      </c>
    </row>
    <row r="27" spans="1:4">
      <c r="A27" s="3" t="s">
        <v>198</v>
      </c>
      <c r="B27" s="4">
        <f>B14/B23</f>
        <v>0.86812553586701191</v>
      </c>
    </row>
    <row r="28" spans="1:4">
      <c r="A28" s="5" t="s">
        <v>161</v>
      </c>
      <c r="B28" s="26">
        <f>(B27*B8)+(B26*B21)</f>
        <v>8.7480187724792227E-2</v>
      </c>
    </row>
    <row r="34" spans="12:34">
      <c r="L34" s="118"/>
      <c r="M34" s="118"/>
      <c r="N34" s="118"/>
      <c r="O34" s="118"/>
      <c r="P34" s="118"/>
      <c r="R34" s="98"/>
    </row>
    <row r="43" spans="12:34" ht="18">
      <c r="L43" s="318"/>
      <c r="M43" s="318"/>
      <c r="N43" s="318"/>
      <c r="O43" s="318"/>
    </row>
    <row r="44" spans="12:34" ht="18">
      <c r="L44" s="119"/>
      <c r="M44" s="119"/>
      <c r="N44" s="119"/>
      <c r="O44" s="119"/>
    </row>
    <row r="45" spans="12:34" ht="18">
      <c r="L45" s="120"/>
      <c r="M45" s="120"/>
      <c r="N45" s="121"/>
      <c r="O45" s="120"/>
    </row>
    <row r="46" spans="12:34" ht="18">
      <c r="L46" s="120"/>
      <c r="M46" s="122"/>
      <c r="N46" s="121"/>
      <c r="O46" s="120"/>
    </row>
    <row r="47" spans="12:34" ht="18">
      <c r="L47" s="120"/>
      <c r="M47" s="122"/>
      <c r="N47" s="121"/>
      <c r="O47" s="120"/>
      <c r="Z47" s="34"/>
      <c r="AA47" s="34"/>
      <c r="AB47" s="34"/>
      <c r="AC47" s="34"/>
      <c r="AD47" s="34"/>
      <c r="AE47" s="34"/>
      <c r="AF47" s="34"/>
      <c r="AG47" s="34"/>
      <c r="AH47" s="34"/>
    </row>
    <row r="48" spans="12:34" ht="18">
      <c r="L48" s="120"/>
      <c r="M48" s="120"/>
      <c r="N48" s="120"/>
      <c r="O48" s="120"/>
      <c r="Z48" s="123"/>
      <c r="AA48" s="124"/>
      <c r="AB48" s="124"/>
      <c r="AC48" s="124"/>
      <c r="AD48" s="124"/>
      <c r="AE48" s="124"/>
      <c r="AF48" s="124"/>
      <c r="AG48" s="124"/>
      <c r="AH48" s="124"/>
    </row>
    <row r="49" spans="26:34" ht="15.95">
      <c r="Z49" s="124"/>
      <c r="AA49" s="109"/>
      <c r="AB49" s="125"/>
      <c r="AC49" s="125"/>
      <c r="AD49" s="125"/>
      <c r="AE49" s="125"/>
      <c r="AF49" s="125"/>
      <c r="AG49" s="125"/>
      <c r="AH49" s="125"/>
    </row>
    <row r="50" spans="26:34" ht="15.95">
      <c r="Z50" s="124"/>
      <c r="AA50" s="125"/>
      <c r="AB50" s="125"/>
      <c r="AC50" s="125"/>
      <c r="AD50" s="125"/>
      <c r="AE50" s="125"/>
      <c r="AF50" s="125"/>
      <c r="AG50" s="125"/>
      <c r="AH50" s="125"/>
    </row>
    <row r="51" spans="26:34" ht="15.95">
      <c r="Z51" s="124"/>
      <c r="AA51" s="125"/>
      <c r="AB51" s="125"/>
      <c r="AC51" s="125"/>
      <c r="AD51" s="125"/>
      <c r="AE51" s="125"/>
      <c r="AF51" s="125"/>
      <c r="AG51" s="125"/>
      <c r="AH51" s="125"/>
    </row>
  </sheetData>
  <mergeCells count="3">
    <mergeCell ref="A1:D1"/>
    <mergeCell ref="A3:C3"/>
    <mergeCell ref="L43:O43"/>
  </mergeCells>
  <phoneticPr fontId="2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B7E5-5AB5-4C59-ACB0-25C84B7B518A}">
  <dimension ref="A2:L33"/>
  <sheetViews>
    <sheetView workbookViewId="0">
      <selection activeCell="M16" sqref="M16"/>
    </sheetView>
  </sheetViews>
  <sheetFormatPr defaultColWidth="8.875" defaultRowHeight="15"/>
  <cols>
    <col min="1" max="1" width="26.375" customWidth="1"/>
    <col min="2" max="2" width="14.625" customWidth="1"/>
    <col min="3" max="3" width="21.125" customWidth="1"/>
    <col min="4" max="4" width="13.125" customWidth="1"/>
    <col min="5" max="5" width="15" customWidth="1"/>
    <col min="6" max="7" width="12.125" customWidth="1"/>
    <col min="8" max="8" width="11.5" customWidth="1"/>
    <col min="12" max="12" width="13.375" customWidth="1"/>
  </cols>
  <sheetData>
    <row r="2" spans="1:12">
      <c r="A2" s="303" t="s">
        <v>199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</row>
    <row r="3" spans="1:12">
      <c r="A3" s="303"/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</row>
    <row r="4" spans="1:12">
      <c r="A4" s="212"/>
      <c r="B4" s="203" t="s">
        <v>200</v>
      </c>
      <c r="C4" s="203" t="s">
        <v>201</v>
      </c>
      <c r="D4" s="203" t="s">
        <v>202</v>
      </c>
      <c r="E4" s="203" t="s">
        <v>203</v>
      </c>
      <c r="F4" s="203" t="s">
        <v>204</v>
      </c>
      <c r="G4" s="203" t="s">
        <v>108</v>
      </c>
      <c r="H4" s="203" t="s">
        <v>109</v>
      </c>
      <c r="I4" s="203" t="s">
        <v>110</v>
      </c>
      <c r="J4" s="203" t="s">
        <v>111</v>
      </c>
      <c r="K4" s="203" t="s">
        <v>112</v>
      </c>
      <c r="L4" s="203" t="s">
        <v>205</v>
      </c>
    </row>
    <row r="5" spans="1:12" ht="15.95">
      <c r="A5" s="194" t="s">
        <v>199</v>
      </c>
      <c r="B5" s="213">
        <v>2.36</v>
      </c>
      <c r="C5" s="213">
        <v>2.76</v>
      </c>
      <c r="D5" s="213">
        <v>3.56</v>
      </c>
      <c r="E5" s="213">
        <v>4.12</v>
      </c>
      <c r="F5" s="213">
        <v>5.44</v>
      </c>
      <c r="G5" s="213">
        <v>6</v>
      </c>
      <c r="H5" s="213">
        <v>6.6</v>
      </c>
      <c r="I5" s="213">
        <v>7.6</v>
      </c>
      <c r="J5" s="213">
        <v>8.36</v>
      </c>
      <c r="K5" s="213">
        <v>9</v>
      </c>
      <c r="L5" s="213"/>
    </row>
    <row r="6" spans="1:12" ht="15.95">
      <c r="A6" s="190" t="s">
        <v>206</v>
      </c>
      <c r="B6" s="191"/>
      <c r="C6" s="192">
        <f t="shared" ref="C6:K6" si="0">(C5/B5)-1</f>
        <v>0.16949152542372881</v>
      </c>
      <c r="D6" s="192">
        <f t="shared" si="0"/>
        <v>0.28985507246376829</v>
      </c>
      <c r="E6" s="192">
        <f t="shared" si="0"/>
        <v>0.15730337078651679</v>
      </c>
      <c r="F6" s="192">
        <f t="shared" si="0"/>
        <v>0.32038834951456319</v>
      </c>
      <c r="G6" s="192">
        <f>(G5/F5)-1</f>
        <v>0.10294117647058809</v>
      </c>
      <c r="H6" s="192">
        <f>(H5/F5)-1</f>
        <v>0.21323529411764697</v>
      </c>
      <c r="I6" s="192">
        <f t="shared" si="0"/>
        <v>0.1515151515151516</v>
      </c>
      <c r="J6" s="192">
        <f t="shared" si="0"/>
        <v>9.9999999999999867E-2</v>
      </c>
      <c r="K6" s="192">
        <f t="shared" si="0"/>
        <v>7.6555023923445153E-2</v>
      </c>
      <c r="L6" s="192">
        <f>AVERAGE(C6:K6)</f>
        <v>0.17569832935726765</v>
      </c>
    </row>
    <row r="8" spans="1:12">
      <c r="A8" s="307" t="s">
        <v>207</v>
      </c>
      <c r="B8" s="307"/>
      <c r="C8" s="307"/>
      <c r="D8" s="307"/>
      <c r="E8" s="307"/>
      <c r="F8" s="307"/>
      <c r="G8" s="307"/>
      <c r="H8" s="307"/>
      <c r="I8" s="307"/>
      <c r="J8" s="307"/>
      <c r="K8" s="307"/>
      <c r="L8" s="307"/>
    </row>
    <row r="9" spans="1:12" ht="15" customHeight="1">
      <c r="A9" s="307"/>
      <c r="B9" s="307"/>
      <c r="C9" s="307"/>
      <c r="D9" s="307"/>
      <c r="E9" s="307"/>
      <c r="F9" s="307"/>
      <c r="G9" s="307"/>
      <c r="H9" s="307"/>
      <c r="I9" s="307"/>
      <c r="J9" s="307"/>
      <c r="K9" s="307"/>
      <c r="L9" s="307"/>
    </row>
    <row r="10" spans="1:12">
      <c r="A10" s="209"/>
      <c r="B10" s="210" t="s">
        <v>200</v>
      </c>
      <c r="C10" s="210" t="s">
        <v>201</v>
      </c>
      <c r="D10" s="210" t="s">
        <v>202</v>
      </c>
      <c r="E10" s="210" t="s">
        <v>203</v>
      </c>
      <c r="F10" s="210" t="s">
        <v>204</v>
      </c>
      <c r="G10" s="210" t="s">
        <v>108</v>
      </c>
      <c r="H10" s="210" t="s">
        <v>109</v>
      </c>
      <c r="I10" s="210" t="s">
        <v>110</v>
      </c>
      <c r="J10" s="210" t="s">
        <v>111</v>
      </c>
      <c r="K10" s="210" t="s">
        <v>112</v>
      </c>
      <c r="L10" s="211" t="s">
        <v>205</v>
      </c>
    </row>
    <row r="11" spans="1:12" ht="15.95">
      <c r="A11" s="194" t="s">
        <v>208</v>
      </c>
      <c r="B11" s="186">
        <v>2.36</v>
      </c>
      <c r="C11" s="186">
        <v>2.76</v>
      </c>
      <c r="D11" s="186">
        <v>3.56</v>
      </c>
      <c r="E11" s="186">
        <v>4.12</v>
      </c>
      <c r="F11" s="186">
        <v>5.44</v>
      </c>
      <c r="G11" s="186">
        <v>6</v>
      </c>
      <c r="H11" s="186">
        <v>6.6</v>
      </c>
      <c r="I11" s="186">
        <v>7.6</v>
      </c>
      <c r="J11" s="186">
        <v>8.36</v>
      </c>
      <c r="K11" s="186">
        <v>9</v>
      </c>
      <c r="L11" s="186"/>
    </row>
    <row r="12" spans="1:12" ht="16.5" customHeight="1">
      <c r="A12" s="194" t="s">
        <v>209</v>
      </c>
      <c r="B12" s="186">
        <v>4.74</v>
      </c>
      <c r="C12" s="186">
        <v>5.49</v>
      </c>
      <c r="D12" s="186">
        <v>6.47</v>
      </c>
      <c r="E12" s="186">
        <v>9.7799999999999994</v>
      </c>
      <c r="F12" s="186">
        <v>10.29</v>
      </c>
      <c r="G12" s="186">
        <v>11.98</v>
      </c>
      <c r="H12" s="186">
        <v>15.59</v>
      </c>
      <c r="I12" s="186">
        <v>16.739999999999998</v>
      </c>
      <c r="J12" s="186">
        <v>15.11</v>
      </c>
      <c r="K12" s="186">
        <v>14.91</v>
      </c>
      <c r="L12" s="186"/>
    </row>
    <row r="13" spans="1:12" ht="17.25" customHeight="1">
      <c r="A13" s="194" t="s">
        <v>210</v>
      </c>
      <c r="B13" s="196">
        <f t="shared" ref="B13:K13" si="1">B11/B12</f>
        <v>0.49789029535864976</v>
      </c>
      <c r="C13" s="196">
        <f t="shared" si="1"/>
        <v>0.50273224043715836</v>
      </c>
      <c r="D13" s="196">
        <f t="shared" si="1"/>
        <v>0.55023183925811436</v>
      </c>
      <c r="E13" s="196">
        <f t="shared" si="1"/>
        <v>0.42126789366053174</v>
      </c>
      <c r="F13" s="196">
        <f t="shared" si="1"/>
        <v>0.52866861030126344</v>
      </c>
      <c r="G13" s="196">
        <f>G11/G12</f>
        <v>0.5008347245409015</v>
      </c>
      <c r="H13" s="196">
        <f t="shared" si="1"/>
        <v>0.42334830019243103</v>
      </c>
      <c r="I13" s="196">
        <f t="shared" si="1"/>
        <v>0.45400238948626048</v>
      </c>
      <c r="J13" s="196">
        <f t="shared" si="1"/>
        <v>0.55327597617471869</v>
      </c>
      <c r="K13" s="196">
        <f t="shared" si="1"/>
        <v>0.60362173038229372</v>
      </c>
      <c r="L13" s="196">
        <f>(B13+C13+D13+E13+F13+G13+H13+I13+J13+K13)/10</f>
        <v>0.5035873999792323</v>
      </c>
    </row>
    <row r="15" spans="1:12" ht="15" customHeight="1">
      <c r="A15" s="307" t="s">
        <v>211</v>
      </c>
      <c r="B15" s="307"/>
      <c r="C15" s="307"/>
      <c r="D15" s="307"/>
      <c r="E15" s="307"/>
      <c r="F15" s="307"/>
      <c r="G15" s="193"/>
      <c r="H15" s="63"/>
    </row>
    <row r="16" spans="1:12" ht="43.5" customHeight="1">
      <c r="A16" s="307"/>
      <c r="B16" s="307"/>
      <c r="C16" s="307"/>
      <c r="D16" s="307"/>
      <c r="E16" s="307"/>
      <c r="F16" s="307"/>
      <c r="G16" s="193"/>
      <c r="H16" s="63"/>
    </row>
    <row r="17" spans="1:8">
      <c r="A17" s="202"/>
      <c r="B17" s="203" t="s">
        <v>212</v>
      </c>
      <c r="C17" s="203" t="s">
        <v>213</v>
      </c>
      <c r="D17" s="203" t="s">
        <v>115</v>
      </c>
      <c r="E17" s="203" t="s">
        <v>214</v>
      </c>
      <c r="F17" s="204" t="s">
        <v>215</v>
      </c>
      <c r="G17" s="204"/>
      <c r="H17" s="205">
        <v>2030</v>
      </c>
    </row>
    <row r="18" spans="1:8" ht="15.95">
      <c r="A18" s="194" t="s">
        <v>216</v>
      </c>
      <c r="B18" s="186">
        <v>1</v>
      </c>
      <c r="C18" s="186">
        <v>2</v>
      </c>
      <c r="D18" s="186">
        <v>3</v>
      </c>
      <c r="E18" s="186">
        <v>4</v>
      </c>
      <c r="F18" s="195">
        <v>5</v>
      </c>
      <c r="G18" s="195"/>
      <c r="H18" s="186"/>
    </row>
    <row r="19" spans="1:8" ht="30.95">
      <c r="A19" s="194" t="s">
        <v>217</v>
      </c>
      <c r="B19" s="196">
        <v>0.5</v>
      </c>
      <c r="C19" s="196">
        <v>0.5</v>
      </c>
      <c r="D19" s="196">
        <v>0.5</v>
      </c>
      <c r="E19" s="196">
        <v>0.5</v>
      </c>
      <c r="F19" s="197">
        <v>0.5</v>
      </c>
      <c r="G19" s="197"/>
      <c r="H19" s="186"/>
    </row>
    <row r="20" spans="1:8" ht="15.95">
      <c r="A20" s="194" t="s">
        <v>32</v>
      </c>
      <c r="B20" s="206">
        <f>'Forecasted Income Statement &amp;BS'!G35</f>
        <v>14629.217539951187</v>
      </c>
      <c r="C20" s="206">
        <f>'Forecasted Income Statement &amp;BS'!H35</f>
        <v>15082.723283689673</v>
      </c>
      <c r="D20" s="206">
        <f>'Forecasted Income Statement &amp;BS'!I35</f>
        <v>15550.287705484059</v>
      </c>
      <c r="E20" s="206">
        <f>'Forecasted Income Statement &amp;BS'!J35</f>
        <v>16032.346624354061</v>
      </c>
      <c r="F20" s="207">
        <f>'Forecasted Income Statement &amp;BS'!K35</f>
        <v>16529.349369709038</v>
      </c>
      <c r="G20" s="207"/>
      <c r="H20" s="208" t="s">
        <v>218</v>
      </c>
    </row>
    <row r="21" spans="1:8" ht="15.95">
      <c r="A21" s="194" t="s">
        <v>219</v>
      </c>
      <c r="B21" s="186">
        <v>993.93</v>
      </c>
      <c r="C21" s="186">
        <v>993.93</v>
      </c>
      <c r="D21" s="186">
        <v>993.93</v>
      </c>
      <c r="E21" s="186">
        <v>993.93</v>
      </c>
      <c r="F21" s="195">
        <v>993.93</v>
      </c>
      <c r="G21" s="195"/>
      <c r="H21" s="186"/>
    </row>
    <row r="22" spans="1:8" ht="15.95">
      <c r="A22" s="194" t="s">
        <v>220</v>
      </c>
      <c r="B22" s="198">
        <f>(B20/B21)*B19</f>
        <v>7.3592795971301737</v>
      </c>
      <c r="C22" s="198">
        <f>(C20/C21)*C19</f>
        <v>7.5874172646412088</v>
      </c>
      <c r="D22" s="198">
        <f>(D20/D21)*D19</f>
        <v>7.8226271998450896</v>
      </c>
      <c r="E22" s="198">
        <f>(E20/E21)*E19</f>
        <v>8.0651286430402855</v>
      </c>
      <c r="F22" s="199">
        <f>(F20/F21)*F19</f>
        <v>8.3151476309745345</v>
      </c>
      <c r="G22" s="199"/>
      <c r="H22" s="198">
        <f>F22*(1+'DCF Valuation'!B14)/('DCF Valuation'!B18-'DCF Valuation'!B14)</f>
        <v>136.41166315457386</v>
      </c>
    </row>
    <row r="23" spans="1:8" ht="15.95">
      <c r="A23" s="194" t="s">
        <v>221</v>
      </c>
      <c r="B23" s="198">
        <f>B22/(1+WACC!B28)^1</f>
        <v>6.7672769400306363</v>
      </c>
      <c r="C23" s="198">
        <f>C22/(1+WACC!C28)^1</f>
        <v>7.5874172646412088</v>
      </c>
      <c r="D23" s="198">
        <f>D22/(1+WACC!D28)^1</f>
        <v>7.8226271998450896</v>
      </c>
      <c r="E23" s="198">
        <f>E22/(1+WACC!E28)^1</f>
        <v>8.0651286430402855</v>
      </c>
      <c r="F23" s="199">
        <f>F22/(1+WACC!F28)^1</f>
        <v>8.3151476309745345</v>
      </c>
      <c r="G23" s="199"/>
      <c r="H23" s="198">
        <f>H22/(1+WACC!B28)^6</f>
        <v>82.475201062224443</v>
      </c>
    </row>
    <row r="24" spans="1:8" ht="15.95">
      <c r="A24" s="201" t="s">
        <v>222</v>
      </c>
      <c r="B24" s="188">
        <f>B23+C23+D23+E23+F23+H23</f>
        <v>121.03279874075619</v>
      </c>
      <c r="C24" s="186"/>
      <c r="D24" s="186"/>
      <c r="E24" s="186"/>
      <c r="F24" s="195"/>
      <c r="G24" s="195"/>
      <c r="H24" s="186"/>
    </row>
    <row r="26" spans="1:8" ht="18.75" customHeight="1">
      <c r="A26" s="307" t="s">
        <v>223</v>
      </c>
      <c r="B26" s="307"/>
      <c r="C26" s="307"/>
      <c r="D26" s="307"/>
      <c r="E26" s="307"/>
      <c r="F26" s="307"/>
      <c r="G26" s="193"/>
      <c r="H26" s="63"/>
    </row>
    <row r="27" spans="1:8" ht="54" customHeight="1">
      <c r="A27" s="307"/>
      <c r="B27" s="307"/>
      <c r="C27" s="307"/>
      <c r="D27" s="307"/>
      <c r="E27" s="307"/>
      <c r="F27" s="307"/>
      <c r="G27" s="193"/>
      <c r="H27" s="63"/>
    </row>
    <row r="28" spans="1:8">
      <c r="A28" s="101"/>
      <c r="B28" s="78" t="s">
        <v>212</v>
      </c>
      <c r="C28" s="78" t="s">
        <v>213</v>
      </c>
      <c r="D28" s="78" t="s">
        <v>115</v>
      </c>
      <c r="E28" s="78" t="s">
        <v>214</v>
      </c>
      <c r="F28" s="102" t="s">
        <v>215</v>
      </c>
      <c r="G28" s="102"/>
      <c r="H28" s="78" t="s">
        <v>224</v>
      </c>
    </row>
    <row r="29" spans="1:8" ht="15.95">
      <c r="A29" s="194" t="s">
        <v>216</v>
      </c>
      <c r="B29" s="186">
        <v>1</v>
      </c>
      <c r="C29" s="186">
        <v>2</v>
      </c>
      <c r="D29" s="186">
        <v>3</v>
      </c>
      <c r="E29" s="186">
        <v>4</v>
      </c>
      <c r="F29" s="195">
        <v>5</v>
      </c>
      <c r="G29" s="195"/>
      <c r="H29" s="186"/>
    </row>
    <row r="30" spans="1:8" ht="15" customHeight="1">
      <c r="A30" s="194" t="s">
        <v>225</v>
      </c>
      <c r="B30" s="196">
        <f>$L$6</f>
        <v>0.17569832935726765</v>
      </c>
      <c r="C30" s="196">
        <f t="shared" ref="C30:F30" si="2">$L$6</f>
        <v>0.17569832935726765</v>
      </c>
      <c r="D30" s="196">
        <f t="shared" si="2"/>
        <v>0.17569832935726765</v>
      </c>
      <c r="E30" s="196">
        <f t="shared" si="2"/>
        <v>0.17569832935726765</v>
      </c>
      <c r="F30" s="197">
        <f t="shared" si="2"/>
        <v>0.17569832935726765</v>
      </c>
      <c r="G30" s="197"/>
      <c r="H30" s="186"/>
    </row>
    <row r="31" spans="1:8" ht="15.95">
      <c r="A31" s="194" t="s">
        <v>220</v>
      </c>
      <c r="B31" s="198">
        <f>K5*(1+L6)</f>
        <v>10.581284964215408</v>
      </c>
      <c r="C31" s="198">
        <f>B31*(1+C30)</f>
        <v>12.44039905488123</v>
      </c>
      <c r="D31" s="198">
        <f t="shared" ref="D31:F31" si="3">C31*(1+D30)</f>
        <v>14.626156385361591</v>
      </c>
      <c r="E31" s="198">
        <f t="shared" si="3"/>
        <v>17.195947627187756</v>
      </c>
      <c r="F31" s="199">
        <f t="shared" si="3"/>
        <v>20.217246896999715</v>
      </c>
      <c r="G31" s="199"/>
      <c r="H31" s="198">
        <f>F31*(1+'DCF Valuation'!B14)/('DCF Valuation'!B18-'DCF Valuation'!B14)</f>
        <v>331.66798666966741</v>
      </c>
    </row>
    <row r="32" spans="1:8" ht="15.95">
      <c r="A32" s="194" t="s">
        <v>221</v>
      </c>
      <c r="B32" s="187">
        <f>B31/(1+'DCF Valuation'!B18)^1</f>
        <v>9.7300944731263517</v>
      </c>
      <c r="C32" s="187">
        <f>C31/(1+'DCF Valuation'!B18)^2</f>
        <v>10.519415383995998</v>
      </c>
      <c r="D32" s="187">
        <f>D31/(1+'DCF Valuation'!B18)^3</f>
        <v>11.372767276482197</v>
      </c>
      <c r="E32" s="187">
        <f>E31/(1+'DCF Valuation'!B18)^4</f>
        <v>12.29534444678352</v>
      </c>
      <c r="F32" s="200">
        <f>F31/(1+'DCF Valuation'!B18)^5</f>
        <v>13.292762560759234</v>
      </c>
      <c r="G32" s="200"/>
      <c r="H32" s="187">
        <f>H31/(1+'DCF Valuation'!B18)^6</f>
        <v>200.52818984757613</v>
      </c>
    </row>
    <row r="33" spans="1:8" ht="15.95">
      <c r="A33" s="201" t="s">
        <v>222</v>
      </c>
      <c r="B33" s="188">
        <f>B32+C32+D32+E32+F32+H32</f>
        <v>257.73857398872343</v>
      </c>
      <c r="C33" s="186"/>
      <c r="D33" s="186"/>
      <c r="E33" s="186"/>
      <c r="F33" s="195"/>
      <c r="G33" s="195"/>
      <c r="H33" s="186"/>
    </row>
  </sheetData>
  <mergeCells count="4">
    <mergeCell ref="A2:L3"/>
    <mergeCell ref="A8:L9"/>
    <mergeCell ref="A15:F16"/>
    <mergeCell ref="A26:F27"/>
  </mergeCells>
  <phoneticPr fontId="2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D1A6-B1A7-4149-A450-EC14A2795337}">
  <dimension ref="A1:O66"/>
  <sheetViews>
    <sheetView tabSelected="1" topLeftCell="A30" zoomScale="107" workbookViewId="0">
      <selection activeCell="B47" sqref="B47:E50"/>
    </sheetView>
  </sheetViews>
  <sheetFormatPr defaultColWidth="8.875" defaultRowHeight="15"/>
  <cols>
    <col min="1" max="1" width="16.5" bestFit="1" customWidth="1"/>
    <col min="2" max="2" width="37.5" customWidth="1"/>
    <col min="3" max="3" width="14.125" bestFit="1" customWidth="1"/>
    <col min="4" max="4" width="14.375" bestFit="1" customWidth="1"/>
    <col min="5" max="6" width="14.125" bestFit="1" customWidth="1"/>
    <col min="7" max="9" width="14.375" bestFit="1" customWidth="1"/>
    <col min="10" max="10" width="10.625" bestFit="1" customWidth="1"/>
    <col min="12" max="12" width="12" bestFit="1" customWidth="1"/>
  </cols>
  <sheetData>
    <row r="1" spans="1:15">
      <c r="A1" t="s">
        <v>226</v>
      </c>
      <c r="B1" s="98">
        <f>2.5%</f>
        <v>2.5000000000000001E-2</v>
      </c>
    </row>
    <row r="2" spans="1:15">
      <c r="A2" t="s">
        <v>161</v>
      </c>
      <c r="B2" s="98">
        <f>8.75%</f>
        <v>8.7499999999999994E-2</v>
      </c>
    </row>
    <row r="3" spans="1:15">
      <c r="A3" t="s">
        <v>165</v>
      </c>
      <c r="B3">
        <f>'DCF Valuation'!H44</f>
        <v>283782.97677736328</v>
      </c>
    </row>
    <row r="4" spans="1:15">
      <c r="A4" t="s">
        <v>227</v>
      </c>
      <c r="B4" s="98">
        <f>('Forecasted Income Statement &amp;BS'!F10/'Forecasted Income Statement &amp;BS'!B10)^(1/4)-1</f>
        <v>4.8252189666142309E-2</v>
      </c>
    </row>
    <row r="5" spans="1:15">
      <c r="A5" t="s">
        <v>228</v>
      </c>
      <c r="B5" s="98">
        <f>'Forecasted Income Statement &amp;BS'!F75</f>
        <v>2.1847612121820029E-2</v>
      </c>
    </row>
    <row r="6" spans="1:15">
      <c r="A6" t="s">
        <v>229</v>
      </c>
      <c r="B6">
        <f>'Forecasted Income Statement &amp;BS'!F13</f>
        <v>159514</v>
      </c>
    </row>
    <row r="7" spans="1:15">
      <c r="A7" t="s">
        <v>230</v>
      </c>
      <c r="B7" s="109">
        <f>'Target Price'!E7</f>
        <v>273.81622471824085</v>
      </c>
    </row>
    <row r="9" spans="1:15" ht="15.95">
      <c r="A9" s="105"/>
      <c r="B9" s="219" t="s">
        <v>231</v>
      </c>
      <c r="C9" s="220" t="s">
        <v>231</v>
      </c>
      <c r="D9" s="220" t="s">
        <v>231</v>
      </c>
      <c r="E9" s="220" t="s">
        <v>161</v>
      </c>
      <c r="F9" s="220" t="s">
        <v>231</v>
      </c>
      <c r="G9" s="220" t="s">
        <v>231</v>
      </c>
      <c r="H9" s="220" t="s">
        <v>231</v>
      </c>
      <c r="I9" s="220" t="s">
        <v>231</v>
      </c>
    </row>
    <row r="10" spans="1:15" ht="15.95">
      <c r="A10" s="105"/>
      <c r="B10" s="217">
        <f>B3</f>
        <v>283782.97677736328</v>
      </c>
      <c r="C10" s="108">
        <f>D10-0.25%</f>
        <v>7.9999999999999988E-2</v>
      </c>
      <c r="D10" s="108">
        <f>E10-0.25%</f>
        <v>8.249999999999999E-2</v>
      </c>
      <c r="E10" s="108">
        <f>F10-0.25%</f>
        <v>8.4999999999999992E-2</v>
      </c>
      <c r="F10" s="218">
        <f>B2</f>
        <v>8.7499999999999994E-2</v>
      </c>
      <c r="G10" s="218">
        <f>F10+0.25%</f>
        <v>0.09</v>
      </c>
      <c r="H10" s="218">
        <f t="shared" ref="H10:I10" si="0">G10+0.25%</f>
        <v>9.2499999999999999E-2</v>
      </c>
      <c r="I10" s="218">
        <f t="shared" si="0"/>
        <v>9.5000000000000001E-2</v>
      </c>
    </row>
    <row r="11" spans="1:15" ht="15.95">
      <c r="A11" s="105"/>
      <c r="B11" s="218">
        <f t="shared" ref="B11:B12" si="1">B12-0.5%</f>
        <v>9.9999999999999985E-3</v>
      </c>
      <c r="C11" s="221">
        <v>253377.71</v>
      </c>
      <c r="D11" s="221">
        <v>244640.55</v>
      </c>
      <c r="E11" s="221">
        <v>236485.87</v>
      </c>
      <c r="F11" s="221">
        <v>228857.29</v>
      </c>
      <c r="G11" s="221">
        <v>221705.5</v>
      </c>
      <c r="H11" s="221">
        <v>214987.15</v>
      </c>
      <c r="I11" s="221">
        <v>208664</v>
      </c>
      <c r="L11" s="234"/>
      <c r="M11" s="235"/>
      <c r="N11" s="235"/>
      <c r="O11" s="235"/>
    </row>
    <row r="12" spans="1:15" ht="15.95">
      <c r="A12" s="105"/>
      <c r="B12" s="218">
        <f t="shared" si="1"/>
        <v>1.4999999999999999E-2</v>
      </c>
      <c r="C12" s="221">
        <v>272868.31</v>
      </c>
      <c r="D12" s="221">
        <v>262762.07</v>
      </c>
      <c r="E12" s="221">
        <v>253377.71</v>
      </c>
      <c r="F12" s="221">
        <v>244640.55</v>
      </c>
      <c r="G12" s="221">
        <v>236485.87</v>
      </c>
      <c r="H12" s="221">
        <v>228857.29</v>
      </c>
      <c r="I12" s="221">
        <v>221705.5</v>
      </c>
      <c r="L12" s="234"/>
    </row>
    <row r="13" spans="1:15" ht="15.95">
      <c r="A13" s="105"/>
      <c r="B13" s="218">
        <f>B14-0.5%</f>
        <v>0.02</v>
      </c>
      <c r="C13" s="221">
        <v>295607.33</v>
      </c>
      <c r="D13" s="221">
        <v>283783.03999999998</v>
      </c>
      <c r="E13" s="221">
        <v>272868.31</v>
      </c>
      <c r="F13" s="221">
        <v>262762.07</v>
      </c>
      <c r="G13" s="221">
        <v>253377.71</v>
      </c>
      <c r="H13" s="221">
        <v>244640.55</v>
      </c>
      <c r="I13" s="221">
        <v>236485.87</v>
      </c>
      <c r="K13" s="105"/>
      <c r="L13" s="234"/>
    </row>
    <row r="14" spans="1:15" ht="15.95">
      <c r="A14" s="105" t="s">
        <v>226</v>
      </c>
      <c r="B14" s="218">
        <f>B1</f>
        <v>2.5000000000000001E-2</v>
      </c>
      <c r="C14" s="221">
        <v>322480.73</v>
      </c>
      <c r="D14" s="221">
        <v>308459.83</v>
      </c>
      <c r="E14" s="221">
        <v>295607.33</v>
      </c>
      <c r="F14" s="221">
        <v>283783.03999999998</v>
      </c>
      <c r="G14" s="221">
        <v>272868.31</v>
      </c>
      <c r="H14" s="221">
        <v>262762.07</v>
      </c>
      <c r="I14" s="221">
        <v>253377.71</v>
      </c>
      <c r="L14" s="234"/>
    </row>
    <row r="15" spans="1:15" ht="15.95">
      <c r="A15" s="105"/>
      <c r="B15" s="218">
        <f>B14+0.5%</f>
        <v>3.0000000000000002E-2</v>
      </c>
      <c r="C15" s="221">
        <v>354728.8</v>
      </c>
      <c r="D15" s="221">
        <v>337836.95</v>
      </c>
      <c r="E15" s="221">
        <v>322480.73</v>
      </c>
      <c r="F15" s="221">
        <v>308459.83</v>
      </c>
      <c r="G15" s="221">
        <v>295607.33</v>
      </c>
      <c r="H15" s="221">
        <v>283783.03999999998</v>
      </c>
      <c r="I15" s="221">
        <v>272868.31</v>
      </c>
      <c r="L15" s="234"/>
    </row>
    <row r="16" spans="1:15" ht="15.95">
      <c r="A16" s="105"/>
      <c r="B16" s="218">
        <f t="shared" ref="B16:B17" si="2">B15+0.5%</f>
        <v>3.5000000000000003E-2</v>
      </c>
      <c r="C16" s="221">
        <v>394143.11</v>
      </c>
      <c r="D16" s="221">
        <v>373398.74</v>
      </c>
      <c r="E16" s="221">
        <v>354728.8</v>
      </c>
      <c r="F16" s="221">
        <v>337836.95</v>
      </c>
      <c r="G16" s="221">
        <v>322480.73</v>
      </c>
      <c r="H16" s="221">
        <v>308459.83</v>
      </c>
      <c r="I16" s="221">
        <v>295607.33</v>
      </c>
      <c r="L16" s="234"/>
    </row>
    <row r="17" spans="1:15" ht="15.95">
      <c r="A17" s="105"/>
      <c r="B17" s="218">
        <f t="shared" si="2"/>
        <v>0.04</v>
      </c>
      <c r="C17" s="221">
        <v>443411</v>
      </c>
      <c r="D17" s="221">
        <v>417328</v>
      </c>
      <c r="E17" s="221">
        <v>394143.11</v>
      </c>
      <c r="F17" s="221">
        <v>373398.74</v>
      </c>
      <c r="G17" s="221">
        <v>354728.8</v>
      </c>
      <c r="H17" s="221">
        <v>337836.95</v>
      </c>
      <c r="I17" s="221">
        <v>322480.73</v>
      </c>
      <c r="L17" s="234"/>
    </row>
    <row r="18" spans="1:15">
      <c r="L18" s="234"/>
    </row>
    <row r="21" spans="1:15">
      <c r="G21" t="s">
        <v>232</v>
      </c>
    </row>
    <row r="24" spans="1:15" ht="15.95">
      <c r="B24" s="56"/>
      <c r="C24" s="56"/>
      <c r="D24" s="56"/>
      <c r="E24" s="56" t="s">
        <v>233</v>
      </c>
      <c r="F24" s="56"/>
      <c r="G24" s="56"/>
      <c r="H24" s="56"/>
      <c r="I24" s="56"/>
      <c r="J24" s="56"/>
    </row>
    <row r="25" spans="1:15" ht="15.95">
      <c r="B25" s="236">
        <f>B7</f>
        <v>273.81622471824085</v>
      </c>
      <c r="C25" s="242">
        <f>D25-0.25%</f>
        <v>7.9999999999999988E-2</v>
      </c>
      <c r="D25" s="242">
        <f>E25-0.25%</f>
        <v>8.249999999999999E-2</v>
      </c>
      <c r="E25" s="242">
        <f>F25-0.25%</f>
        <v>8.4999999999999992E-2</v>
      </c>
      <c r="F25" s="242">
        <f>B2</f>
        <v>8.7499999999999994E-2</v>
      </c>
      <c r="G25" s="242">
        <f>F25+0.25%</f>
        <v>0.09</v>
      </c>
      <c r="H25" s="242">
        <f t="shared" ref="H25:J25" si="3">G25+0.25%</f>
        <v>9.2499999999999999E-2</v>
      </c>
      <c r="I25" s="242">
        <f t="shared" si="3"/>
        <v>9.5000000000000001E-2</v>
      </c>
      <c r="J25" s="242">
        <f t="shared" si="3"/>
        <v>9.7500000000000003E-2</v>
      </c>
    </row>
    <row r="26" spans="1:15" ht="15.95">
      <c r="B26" s="241">
        <f>B27-1%</f>
        <v>3.8252189666142307E-2</v>
      </c>
      <c r="C26" s="243">
        <v>253.84</v>
      </c>
      <c r="D26" s="244">
        <v>239.48</v>
      </c>
      <c r="E26" s="244">
        <v>226.66</v>
      </c>
      <c r="F26" s="244">
        <v>215.15</v>
      </c>
      <c r="G26" s="244">
        <v>204.74</v>
      </c>
      <c r="H26" s="244">
        <v>195.3</v>
      </c>
      <c r="I26" s="244">
        <v>186.69</v>
      </c>
      <c r="J26" s="244">
        <v>178.8</v>
      </c>
    </row>
    <row r="27" spans="1:15" ht="15.95">
      <c r="A27" t="s">
        <v>234</v>
      </c>
      <c r="B27" s="241">
        <f>B4</f>
        <v>4.8252189666142309E-2</v>
      </c>
      <c r="C27" s="239">
        <v>337.13</v>
      </c>
      <c r="D27" s="239">
        <v>312.49</v>
      </c>
      <c r="E27" s="239">
        <v>291.2</v>
      </c>
      <c r="F27" s="240">
        <v>273.82</v>
      </c>
      <c r="G27" s="239">
        <v>256.29000000000002</v>
      </c>
      <c r="H27" s="239">
        <v>241.79</v>
      </c>
      <c r="I27" s="239">
        <v>228.85</v>
      </c>
      <c r="J27" s="239">
        <v>217.22</v>
      </c>
      <c r="L27" s="235"/>
      <c r="M27" s="235"/>
      <c r="N27" s="235"/>
      <c r="O27" s="235"/>
    </row>
    <row r="28" spans="1:15" ht="15.95">
      <c r="B28" s="241">
        <f>B27+0.01</f>
        <v>5.8252189666142311E-2</v>
      </c>
      <c r="C28" s="239">
        <v>497.19</v>
      </c>
      <c r="D28" s="239">
        <v>445.83</v>
      </c>
      <c r="E28" s="239">
        <v>404.08</v>
      </c>
      <c r="F28" s="239">
        <v>369.49</v>
      </c>
      <c r="G28" s="239">
        <v>340.35</v>
      </c>
      <c r="H28" s="239">
        <v>315.47000000000003</v>
      </c>
      <c r="I28" s="239">
        <v>293.98</v>
      </c>
      <c r="J28" s="239">
        <v>275.23</v>
      </c>
      <c r="L28" s="235"/>
    </row>
    <row r="29" spans="1:15">
      <c r="L29" s="235"/>
    </row>
    <row r="30" spans="1:15">
      <c r="L30" s="235"/>
    </row>
    <row r="31" spans="1:15" ht="14.25">
      <c r="B31" s="249" t="s">
        <v>235</v>
      </c>
      <c r="C31" s="250">
        <v>0.02</v>
      </c>
      <c r="D31" s="250">
        <v>2.5000000000000001E-2</v>
      </c>
      <c r="E31" s="250">
        <v>0.03</v>
      </c>
    </row>
    <row r="32" spans="1:15" ht="14.25">
      <c r="B32" s="252">
        <v>8.2500000000000004E-2</v>
      </c>
      <c r="C32" s="247">
        <v>264</v>
      </c>
      <c r="D32" s="247">
        <v>272</v>
      </c>
      <c r="E32" s="247">
        <v>279.5</v>
      </c>
    </row>
    <row r="33" spans="1:9" ht="14.25">
      <c r="B33" s="248" t="s">
        <v>236</v>
      </c>
      <c r="C33" s="247">
        <v>268</v>
      </c>
      <c r="D33" s="251">
        <v>273.82</v>
      </c>
      <c r="E33" s="247">
        <v>275</v>
      </c>
    </row>
    <row r="34" spans="1:9" ht="14.25">
      <c r="B34" s="248">
        <v>9.2499999999999999E-2</v>
      </c>
      <c r="C34" s="247">
        <v>272.5</v>
      </c>
      <c r="D34" s="247">
        <v>273</v>
      </c>
      <c r="E34" s="247">
        <v>273.5</v>
      </c>
    </row>
    <row r="37" spans="1:9" ht="15.95">
      <c r="A37" s="112"/>
      <c r="B37" s="113"/>
      <c r="C37" s="113"/>
      <c r="D37" s="113"/>
      <c r="E37" s="113"/>
      <c r="F37" s="113"/>
      <c r="G37" s="113"/>
      <c r="H37" s="113"/>
      <c r="I37" s="113"/>
    </row>
    <row r="38" spans="1:9" ht="15.95">
      <c r="A38" s="112"/>
      <c r="B38" s="279"/>
      <c r="C38" s="280"/>
      <c r="D38" s="280"/>
      <c r="E38" s="280"/>
      <c r="F38" s="280"/>
      <c r="G38" s="281"/>
      <c r="H38" s="281"/>
      <c r="I38" s="281"/>
    </row>
    <row r="39" spans="1:9" ht="15.95">
      <c r="A39" s="112"/>
      <c r="B39" s="280"/>
      <c r="C39" s="282"/>
      <c r="D39" s="282"/>
      <c r="E39" s="282"/>
      <c r="F39" s="282"/>
      <c r="G39" s="282"/>
      <c r="H39" s="282"/>
      <c r="I39" s="282"/>
    </row>
    <row r="40" spans="1:9" ht="15.95">
      <c r="A40" s="112"/>
      <c r="B40" s="280"/>
      <c r="C40" s="282"/>
      <c r="D40" s="282"/>
      <c r="E40" s="282"/>
      <c r="F40" s="282"/>
      <c r="G40" s="282"/>
      <c r="H40" s="282"/>
      <c r="I40" s="282"/>
    </row>
    <row r="41" spans="1:9" ht="15.95">
      <c r="A41" s="112"/>
      <c r="B41" s="280"/>
      <c r="C41" s="282"/>
      <c r="D41" s="282"/>
      <c r="E41" s="282"/>
      <c r="F41" s="282"/>
      <c r="G41" s="282"/>
      <c r="H41" s="282"/>
      <c r="I41" s="282"/>
    </row>
    <row r="42" spans="1:9" ht="15.95">
      <c r="A42" s="112"/>
      <c r="B42" s="280"/>
      <c r="C42" s="282"/>
      <c r="D42" s="282"/>
      <c r="E42" s="282"/>
      <c r="F42" s="282"/>
      <c r="G42" s="282"/>
      <c r="H42" s="282"/>
      <c r="I42" s="282"/>
    </row>
    <row r="43" spans="1:9" ht="15.95">
      <c r="A43" s="112"/>
      <c r="B43" s="280"/>
      <c r="C43" s="282"/>
      <c r="D43" s="282"/>
      <c r="E43" s="282"/>
      <c r="F43" s="282"/>
      <c r="G43" s="282"/>
      <c r="H43" s="282"/>
      <c r="I43" s="282"/>
    </row>
    <row r="44" spans="1:9" ht="15.95">
      <c r="A44" s="112"/>
      <c r="B44" s="280"/>
      <c r="C44" s="282"/>
      <c r="D44" s="282"/>
      <c r="E44" s="282"/>
      <c r="F44" s="282"/>
      <c r="G44" s="282"/>
      <c r="H44" s="282"/>
      <c r="I44" s="282"/>
    </row>
    <row r="47" spans="1:9">
      <c r="B47" s="66"/>
      <c r="C47" s="276"/>
      <c r="D47" s="276"/>
      <c r="E47" s="276"/>
    </row>
    <row r="48" spans="1:9">
      <c r="B48" s="276"/>
      <c r="C48" s="278"/>
      <c r="D48" s="278"/>
      <c r="E48" s="278"/>
    </row>
    <row r="49" spans="2:8">
      <c r="B49" s="276"/>
      <c r="C49" s="278"/>
      <c r="D49" s="283"/>
      <c r="E49" s="278"/>
    </row>
    <row r="50" spans="2:8">
      <c r="B50" s="276"/>
      <c r="C50" s="278"/>
      <c r="D50" s="278"/>
      <c r="E50" s="278"/>
    </row>
    <row r="51" spans="2:8">
      <c r="B51" s="245"/>
      <c r="C51" s="216"/>
      <c r="D51" s="98"/>
      <c r="E51" s="98"/>
      <c r="F51" s="216"/>
      <c r="G51" s="98"/>
    </row>
    <row r="52" spans="2:8" ht="14.25">
      <c r="B52" s="271"/>
      <c r="C52" s="272"/>
      <c r="D52" s="273"/>
      <c r="E52" s="272"/>
    </row>
    <row r="53" spans="2:8" ht="14.25">
      <c r="B53" s="271"/>
      <c r="C53" s="270"/>
      <c r="D53" s="270"/>
      <c r="E53" s="270"/>
    </row>
    <row r="54" spans="2:8" ht="14.25">
      <c r="B54" s="274"/>
      <c r="C54" s="270"/>
      <c r="D54" s="270"/>
      <c r="E54" s="270"/>
    </row>
    <row r="55" spans="2:8" ht="14.25">
      <c r="B55" s="271"/>
      <c r="C55" s="270"/>
      <c r="D55" s="270"/>
      <c r="E55" s="270"/>
    </row>
    <row r="57" spans="2:8">
      <c r="C57" s="216"/>
      <c r="D57" s="98"/>
      <c r="E57" s="216"/>
      <c r="F57" s="98"/>
      <c r="H57" s="98"/>
    </row>
    <row r="58" spans="2:8">
      <c r="B58" s="276"/>
      <c r="C58" s="66"/>
      <c r="D58" s="66"/>
      <c r="E58" s="66"/>
    </row>
    <row r="59" spans="2:8">
      <c r="B59" s="277"/>
      <c r="C59" s="278"/>
      <c r="D59" s="278"/>
      <c r="E59" s="278"/>
    </row>
    <row r="60" spans="2:8">
      <c r="B60" s="276"/>
      <c r="C60" s="278"/>
      <c r="D60" s="278"/>
      <c r="E60" s="278"/>
    </row>
    <row r="61" spans="2:8">
      <c r="B61" s="275"/>
      <c r="C61" s="246"/>
      <c r="D61" s="246"/>
      <c r="E61" s="246"/>
    </row>
    <row r="62" spans="2:8">
      <c r="B62" s="98"/>
    </row>
    <row r="63" spans="2:8">
      <c r="C63" s="98"/>
      <c r="D63" s="98"/>
      <c r="E63" s="98"/>
    </row>
    <row r="64" spans="2:8">
      <c r="C64" s="246"/>
      <c r="D64" s="246"/>
      <c r="E64" s="246"/>
    </row>
    <row r="65" spans="3:5">
      <c r="C65" s="246"/>
      <c r="D65" s="246"/>
      <c r="E65" s="246"/>
    </row>
    <row r="66" spans="3:5">
      <c r="C66" s="246"/>
      <c r="D66" s="246"/>
      <c r="E66" s="246"/>
    </row>
  </sheetData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2025-04-30T00:22:02Z</dcterms:created>
  <dcterms:modified xsi:type="dcterms:W3CDTF">2025-10-20T20:21:49Z</dcterms:modified>
  <cp:category/>
  <cp:contentStatus/>
</cp:coreProperties>
</file>